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orte-my.sharepoint.com/personal/carteta_uninorte_edu_co1/Documents/Journal Papers/GMPE SubCOL/+Published/"/>
    </mc:Choice>
  </mc:AlternateContent>
  <xr:revisionPtr revIDLastSave="0" documentId="8_{A5B02DFF-05F6-4AD6-8423-3A83B21EA19A}" xr6:coauthVersionLast="47" xr6:coauthVersionMax="47" xr10:uidLastSave="{00000000-0000-0000-0000-000000000000}"/>
  <workbookProtection workbookAlgorithmName="SHA-512" workbookHashValue="jAn3zEONALz92CwNJwyj4LmxmQ9dwFSAf5WGCz/uQd7+S41IAQ+GrHiCa7UM26dbOdkk9o0U28sE1CqFqE6/gw==" workbookSaltValue="3dDL28pAzLk/e7TouiH7qA==" workbookSpinCount="100000" lockStructure="1"/>
  <bookViews>
    <workbookView xWindow="28680" yWindow="-120" windowWidth="29040" windowHeight="15840" xr2:uid="{E147C012-7269-493C-9F47-1EF2A84C558B}"/>
  </bookViews>
  <sheets>
    <sheet name="MAIN" sheetId="1" r:id="rId1"/>
    <sheet name="Coefficients_Interface" sheetId="2" r:id="rId2"/>
    <sheet name="Coefficients_Intra-slab" sheetId="4" r:id="rId3"/>
    <sheet name="Sigma_Interface" sheetId="3" r:id="rId4"/>
    <sheet name="Sigma__Intra-sla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3" i="5"/>
  <c r="K3" i="5" s="1"/>
  <c r="J2" i="5"/>
  <c r="W1" i="4"/>
  <c r="L1" i="4"/>
  <c r="J1" i="4"/>
  <c r="G1" i="4"/>
  <c r="S3" i="4" s="1"/>
  <c r="D1" i="4"/>
  <c r="R22" i="4" s="1"/>
  <c r="B1" i="4"/>
  <c r="O5" i="4" s="1"/>
  <c r="K15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S22" i="4" l="1"/>
  <c r="S13" i="4"/>
  <c r="S12" i="4"/>
  <c r="S5" i="4"/>
  <c r="S10" i="4"/>
  <c r="S14" i="4"/>
  <c r="S4" i="4"/>
  <c r="S24" i="4"/>
  <c r="S19" i="4"/>
  <c r="S9" i="4"/>
  <c r="S23" i="4"/>
  <c r="S18" i="4"/>
  <c r="S21" i="4"/>
  <c r="S17" i="4"/>
  <c r="S8" i="4"/>
  <c r="S20" i="4"/>
  <c r="S16" i="4"/>
  <c r="S6" i="4"/>
  <c r="S15" i="4"/>
  <c r="S11" i="4"/>
  <c r="S7" i="4"/>
  <c r="T9" i="4"/>
  <c r="T4" i="4"/>
  <c r="T7" i="4"/>
  <c r="T23" i="4"/>
  <c r="T12" i="4"/>
  <c r="T20" i="4"/>
  <c r="T15" i="4"/>
  <c r="R17" i="4"/>
  <c r="R14" i="4"/>
  <c r="R3" i="4"/>
  <c r="R6" i="4"/>
  <c r="P16" i="4"/>
  <c r="P8" i="4"/>
  <c r="P5" i="4"/>
  <c r="O21" i="4"/>
  <c r="O16" i="4"/>
  <c r="O8" i="4"/>
  <c r="O13" i="4"/>
  <c r="P24" i="4"/>
  <c r="Q22" i="4"/>
  <c r="O24" i="4"/>
  <c r="Q19" i="4"/>
  <c r="P19" i="4"/>
  <c r="Q11" i="4"/>
  <c r="Q3" i="4"/>
  <c r="P11" i="4"/>
  <c r="O3" i="4"/>
  <c r="T18" i="4"/>
  <c r="P14" i="4"/>
  <c r="R12" i="4"/>
  <c r="R4" i="4"/>
  <c r="T24" i="4"/>
  <c r="Q23" i="4"/>
  <c r="P20" i="4"/>
  <c r="R18" i="4"/>
  <c r="O17" i="4"/>
  <c r="T16" i="4"/>
  <c r="Q15" i="4"/>
  <c r="P12" i="4"/>
  <c r="R10" i="4"/>
  <c r="O9" i="4"/>
  <c r="T8" i="4"/>
  <c r="Q7" i="4"/>
  <c r="P4" i="4"/>
  <c r="R20" i="4"/>
  <c r="T10" i="4"/>
  <c r="Q9" i="4"/>
  <c r="P6" i="4"/>
  <c r="R23" i="4"/>
  <c r="O22" i="4"/>
  <c r="T21" i="4"/>
  <c r="Q20" i="4"/>
  <c r="P17" i="4"/>
  <c r="R15" i="4"/>
  <c r="O14" i="4"/>
  <c r="T13" i="4"/>
  <c r="Q12" i="4"/>
  <c r="P9" i="4"/>
  <c r="R7" i="4"/>
  <c r="O6" i="4"/>
  <c r="T5" i="4"/>
  <c r="Q4" i="4"/>
  <c r="P23" i="4"/>
  <c r="R21" i="4"/>
  <c r="O20" i="4"/>
  <c r="T19" i="4"/>
  <c r="Q18" i="4"/>
  <c r="P15" i="4"/>
  <c r="R13" i="4"/>
  <c r="O12" i="4"/>
  <c r="T11" i="4"/>
  <c r="Q10" i="4"/>
  <c r="P7" i="4"/>
  <c r="R5" i="4"/>
  <c r="O4" i="4"/>
  <c r="T3" i="4"/>
  <c r="Q14" i="4"/>
  <c r="R9" i="4"/>
  <c r="Q6" i="4"/>
  <c r="P3" i="4"/>
  <c r="P22" i="4"/>
  <c r="O19" i="4"/>
  <c r="Q17" i="4"/>
  <c r="O11" i="4"/>
  <c r="R24" i="4"/>
  <c r="O23" i="4"/>
  <c r="T22" i="4"/>
  <c r="Q21" i="4"/>
  <c r="P18" i="4"/>
  <c r="R16" i="4"/>
  <c r="O15" i="4"/>
  <c r="T14" i="4"/>
  <c r="Q13" i="4"/>
  <c r="P10" i="4"/>
  <c r="R8" i="4"/>
  <c r="O7" i="4"/>
  <c r="T6" i="4"/>
  <c r="Q5" i="4"/>
  <c r="Q24" i="4"/>
  <c r="P21" i="4"/>
  <c r="R19" i="4"/>
  <c r="O18" i="4"/>
  <c r="T17" i="4"/>
  <c r="Q16" i="4"/>
  <c r="P13" i="4"/>
  <c r="R11" i="4"/>
  <c r="O10" i="4"/>
  <c r="Q8" i="4"/>
  <c r="U21" i="4" l="1"/>
  <c r="V21" i="4" s="1"/>
  <c r="U18" i="4"/>
  <c r="V18" i="4" s="1"/>
  <c r="U5" i="4"/>
  <c r="V5" i="4" s="1"/>
  <c r="X5" i="4" s="1"/>
  <c r="U24" i="4"/>
  <c r="V24" i="4" s="1"/>
  <c r="U19" i="4"/>
  <c r="V19" i="4" s="1"/>
  <c r="U20" i="4"/>
  <c r="V20" i="4" s="1"/>
  <c r="U4" i="4"/>
  <c r="V4" i="4" s="1"/>
  <c r="U14" i="4"/>
  <c r="V14" i="4" s="1"/>
  <c r="U11" i="4"/>
  <c r="V11" i="4" s="1"/>
  <c r="U10" i="4"/>
  <c r="V10" i="4" s="1"/>
  <c r="U15" i="4"/>
  <c r="V15" i="4" s="1"/>
  <c r="U8" i="4"/>
  <c r="V8" i="4" s="1"/>
  <c r="U6" i="4"/>
  <c r="V6" i="4" s="1"/>
  <c r="U22" i="4"/>
  <c r="V22" i="4" s="1"/>
  <c r="U13" i="4"/>
  <c r="V13" i="4" s="1"/>
  <c r="U12" i="4"/>
  <c r="V12" i="4" s="1"/>
  <c r="U16" i="4"/>
  <c r="V16" i="4" s="1"/>
  <c r="U3" i="4"/>
  <c r="V3" i="4" s="1"/>
  <c r="U7" i="4"/>
  <c r="V7" i="4" s="1"/>
  <c r="U23" i="4"/>
  <c r="V23" i="4" s="1"/>
  <c r="U17" i="4"/>
  <c r="V17" i="4" s="1"/>
  <c r="U9" i="4"/>
  <c r="V9" i="4" s="1"/>
  <c r="X14" i="4" l="1"/>
  <c r="W20" i="4"/>
  <c r="X15" i="4"/>
  <c r="Z5" i="4"/>
  <c r="W4" i="4"/>
  <c r="X22" i="4"/>
  <c r="X6" i="4"/>
  <c r="W19" i="4"/>
  <c r="Z8" i="4"/>
  <c r="Y3" i="4"/>
  <c r="X10" i="4"/>
  <c r="W18" i="4"/>
  <c r="Z12" i="4"/>
  <c r="Y13" i="4"/>
  <c r="Y24" i="4"/>
  <c r="Y16" i="4"/>
  <c r="X11" i="4"/>
  <c r="X21" i="4"/>
  <c r="Z18" i="4"/>
  <c r="Y18" i="4"/>
  <c r="X18" i="4"/>
  <c r="W21" i="4"/>
  <c r="Z21" i="4"/>
  <c r="Z19" i="4"/>
  <c r="Y21" i="4"/>
  <c r="W5" i="4"/>
  <c r="Y5" i="4"/>
  <c r="Y20" i="4"/>
  <c r="X4" i="4"/>
  <c r="X20" i="4"/>
  <c r="Z4" i="4"/>
  <c r="Z20" i="4"/>
  <c r="X16" i="4"/>
  <c r="Y4" i="4"/>
  <c r="W14" i="4"/>
  <c r="Z11" i="4"/>
  <c r="Z14" i="4"/>
  <c r="Y14" i="4"/>
  <c r="Z3" i="4"/>
  <c r="X8" i="4"/>
  <c r="W8" i="4"/>
  <c r="W24" i="4"/>
  <c r="W16" i="4"/>
  <c r="W10" i="4"/>
  <c r="Z24" i="4"/>
  <c r="Z16" i="4"/>
  <c r="Z6" i="4"/>
  <c r="X24" i="4"/>
  <c r="W15" i="4"/>
  <c r="X19" i="4"/>
  <c r="Y11" i="4"/>
  <c r="W6" i="4"/>
  <c r="W11" i="4"/>
  <c r="Y15" i="4"/>
  <c r="X3" i="4"/>
  <c r="Y19" i="4"/>
  <c r="Z10" i="4"/>
  <c r="Z15" i="4"/>
  <c r="W3" i="4"/>
  <c r="Y10" i="4"/>
  <c r="Y12" i="4"/>
  <c r="X12" i="4"/>
  <c r="Y6" i="4"/>
  <c r="W12" i="4"/>
  <c r="X13" i="4"/>
  <c r="Y22" i="4"/>
  <c r="Y8" i="4"/>
  <c r="W13" i="4"/>
  <c r="W22" i="4"/>
  <c r="Z13" i="4"/>
  <c r="Z22" i="4"/>
  <c r="Z9" i="4"/>
  <c r="X9" i="4"/>
  <c r="W9" i="4"/>
  <c r="Y9" i="4"/>
  <c r="Z17" i="4"/>
  <c r="X17" i="4"/>
  <c r="Y17" i="4"/>
  <c r="W17" i="4"/>
  <c r="W7" i="4"/>
  <c r="X7" i="4"/>
  <c r="Z7" i="4"/>
  <c r="Y7" i="4"/>
  <c r="W23" i="4"/>
  <c r="X23" i="4"/>
  <c r="Z23" i="4"/>
  <c r="Y23" i="4"/>
  <c r="W1" i="2"/>
  <c r="G1" i="2"/>
  <c r="S11" i="2" s="1"/>
  <c r="J2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3" i="3"/>
  <c r="K3" i="3" s="1"/>
  <c r="D36" i="1"/>
  <c r="D24" i="1"/>
  <c r="D25" i="1"/>
  <c r="D26" i="1"/>
  <c r="D27" i="1"/>
  <c r="D28" i="1"/>
  <c r="D29" i="1"/>
  <c r="D30" i="1"/>
  <c r="D31" i="1"/>
  <c r="D32" i="1"/>
  <c r="D33" i="1"/>
  <c r="D34" i="1"/>
  <c r="D35" i="1"/>
  <c r="D16" i="1"/>
  <c r="D17" i="1"/>
  <c r="D18" i="1"/>
  <c r="D19" i="1"/>
  <c r="D20" i="1"/>
  <c r="D21" i="1"/>
  <c r="D22" i="1"/>
  <c r="D23" i="1"/>
  <c r="D15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3" i="2"/>
  <c r="L1" i="2"/>
  <c r="J1" i="2"/>
  <c r="D1" i="2"/>
  <c r="R4" i="2" s="1"/>
  <c r="B1" i="2"/>
  <c r="P6" i="2" s="1"/>
  <c r="O24" i="1"/>
  <c r="T20" i="2" l="1"/>
  <c r="S21" i="2"/>
  <c r="S13" i="2"/>
  <c r="S5" i="2"/>
  <c r="S18" i="2"/>
  <c r="S10" i="2"/>
  <c r="S9" i="2"/>
  <c r="S8" i="2"/>
  <c r="S23" i="2"/>
  <c r="S15" i="2"/>
  <c r="S7" i="2"/>
  <c r="S3" i="2"/>
  <c r="S17" i="2"/>
  <c r="S24" i="2"/>
  <c r="S16" i="2"/>
  <c r="S22" i="2"/>
  <c r="S14" i="2"/>
  <c r="S6" i="2"/>
  <c r="S20" i="2"/>
  <c r="S12" i="2"/>
  <c r="S4" i="2"/>
  <c r="S19" i="2"/>
  <c r="T11" i="2"/>
  <c r="T6" i="2"/>
  <c r="T12" i="2"/>
  <c r="P20" i="2"/>
  <c r="O14" i="2"/>
  <c r="P3" i="2"/>
  <c r="P12" i="2"/>
  <c r="O17" i="2"/>
  <c r="O22" i="2"/>
  <c r="R10" i="2"/>
  <c r="P9" i="2"/>
  <c r="P4" i="2"/>
  <c r="T5" i="2"/>
  <c r="R23" i="2"/>
  <c r="O9" i="2"/>
  <c r="T4" i="2"/>
  <c r="P17" i="2"/>
  <c r="Q12" i="2"/>
  <c r="T21" i="2"/>
  <c r="T19" i="2"/>
  <c r="O6" i="2"/>
  <c r="T13" i="2"/>
  <c r="R21" i="2"/>
  <c r="Q20" i="2"/>
  <c r="R5" i="2"/>
  <c r="Q4" i="2"/>
  <c r="Q15" i="2"/>
  <c r="R7" i="2"/>
  <c r="Q23" i="2"/>
  <c r="R15" i="2"/>
  <c r="R18" i="2"/>
  <c r="Q7" i="2"/>
  <c r="R3" i="2"/>
  <c r="R13" i="2"/>
  <c r="Q3" i="2"/>
  <c r="O20" i="2"/>
  <c r="R24" i="2"/>
  <c r="O23" i="2"/>
  <c r="Q21" i="2"/>
  <c r="P18" i="2"/>
  <c r="R16" i="2"/>
  <c r="O15" i="2"/>
  <c r="Q13" i="2"/>
  <c r="P10" i="2"/>
  <c r="R8" i="2"/>
  <c r="O7" i="2"/>
  <c r="Q5" i="2"/>
  <c r="T18" i="2"/>
  <c r="T10" i="2"/>
  <c r="P23" i="2"/>
  <c r="Q18" i="2"/>
  <c r="O12" i="2"/>
  <c r="P7" i="2"/>
  <c r="Q24" i="2"/>
  <c r="P21" i="2"/>
  <c r="R19" i="2"/>
  <c r="O18" i="2"/>
  <c r="Q16" i="2"/>
  <c r="P13" i="2"/>
  <c r="R11" i="2"/>
  <c r="O10" i="2"/>
  <c r="Q8" i="2"/>
  <c r="P5" i="2"/>
  <c r="T3" i="2"/>
  <c r="T17" i="2"/>
  <c r="T9" i="2"/>
  <c r="P15" i="2"/>
  <c r="Q10" i="2"/>
  <c r="O4" i="2"/>
  <c r="P24" i="2"/>
  <c r="R22" i="2"/>
  <c r="O21" i="2"/>
  <c r="Q19" i="2"/>
  <c r="P16" i="2"/>
  <c r="R14" i="2"/>
  <c r="O13" i="2"/>
  <c r="Q11" i="2"/>
  <c r="P8" i="2"/>
  <c r="R6" i="2"/>
  <c r="O5" i="2"/>
  <c r="T24" i="2"/>
  <c r="T16" i="2"/>
  <c r="T8" i="2"/>
  <c r="O24" i="2"/>
  <c r="Q22" i="2"/>
  <c r="P19" i="2"/>
  <c r="R17" i="2"/>
  <c r="O16" i="2"/>
  <c r="Q14" i="2"/>
  <c r="P11" i="2"/>
  <c r="R9" i="2"/>
  <c r="O8" i="2"/>
  <c r="Q6" i="2"/>
  <c r="T23" i="2"/>
  <c r="T15" i="2"/>
  <c r="T7" i="2"/>
  <c r="O3" i="2"/>
  <c r="P22" i="2"/>
  <c r="R20" i="2"/>
  <c r="O19" i="2"/>
  <c r="Q17" i="2"/>
  <c r="P14" i="2"/>
  <c r="R12" i="2"/>
  <c r="O11" i="2"/>
  <c r="Q9" i="2"/>
  <c r="T22" i="2"/>
  <c r="T14" i="2"/>
  <c r="U17" i="2" l="1"/>
  <c r="V17" i="2" s="1"/>
  <c r="E29" i="1" s="1"/>
  <c r="U6" i="2"/>
  <c r="V6" i="2" s="1"/>
  <c r="U19" i="2"/>
  <c r="V19" i="2" s="1"/>
  <c r="U13" i="2"/>
  <c r="V13" i="2" s="1"/>
  <c r="U14" i="2"/>
  <c r="V14" i="2" s="1"/>
  <c r="E26" i="1" s="1"/>
  <c r="U4" i="2"/>
  <c r="V4" i="2" s="1"/>
  <c r="E16" i="1" s="1"/>
  <c r="U12" i="2"/>
  <c r="V12" i="2" s="1"/>
  <c r="E24" i="1" s="1"/>
  <c r="U20" i="2"/>
  <c r="V20" i="2" s="1"/>
  <c r="E32" i="1" s="1"/>
  <c r="U9" i="2"/>
  <c r="V9" i="2" s="1"/>
  <c r="E21" i="1" s="1"/>
  <c r="U10" i="2"/>
  <c r="V10" i="2" s="1"/>
  <c r="E22" i="1" s="1"/>
  <c r="U22" i="2"/>
  <c r="V22" i="2" s="1"/>
  <c r="E34" i="1" s="1"/>
  <c r="U24" i="2"/>
  <c r="V24" i="2" s="1"/>
  <c r="E36" i="1" s="1"/>
  <c r="U15" i="2"/>
  <c r="V15" i="2" s="1"/>
  <c r="E27" i="1" s="1"/>
  <c r="U3" i="2"/>
  <c r="V3" i="2" s="1"/>
  <c r="E15" i="1" s="1"/>
  <c r="U18" i="2"/>
  <c r="V18" i="2" s="1"/>
  <c r="E30" i="1" s="1"/>
  <c r="U8" i="2"/>
  <c r="V8" i="2" s="1"/>
  <c r="E20" i="1" s="1"/>
  <c r="U11" i="2"/>
  <c r="V11" i="2" s="1"/>
  <c r="E23" i="1" s="1"/>
  <c r="U16" i="2"/>
  <c r="V16" i="2" s="1"/>
  <c r="E28" i="1" s="1"/>
  <c r="U5" i="2"/>
  <c r="V5" i="2" s="1"/>
  <c r="E17" i="1" s="1"/>
  <c r="U21" i="2"/>
  <c r="V21" i="2" s="1"/>
  <c r="E33" i="1" s="1"/>
  <c r="U7" i="2"/>
  <c r="V7" i="2" s="1"/>
  <c r="E19" i="1" s="1"/>
  <c r="U23" i="2"/>
  <c r="V23" i="2" s="1"/>
  <c r="E35" i="1" s="1"/>
  <c r="X6" i="2" l="1"/>
  <c r="G18" i="1" s="1"/>
  <c r="E18" i="1"/>
  <c r="W13" i="2"/>
  <c r="F25" i="1" s="1"/>
  <c r="E25" i="1"/>
  <c r="W19" i="2"/>
  <c r="F31" i="1" s="1"/>
  <c r="E31" i="1"/>
  <c r="Y13" i="2"/>
  <c r="H25" i="1" s="1"/>
  <c r="Y6" i="2"/>
  <c r="H18" i="1" s="1"/>
  <c r="X17" i="2"/>
  <c r="G29" i="1" s="1"/>
  <c r="Z19" i="2"/>
  <c r="I31" i="1" s="1"/>
  <c r="X19" i="2"/>
  <c r="G31" i="1" s="1"/>
  <c r="W17" i="2"/>
  <c r="F29" i="1" s="1"/>
  <c r="Z17" i="2"/>
  <c r="I29" i="1" s="1"/>
  <c r="Z6" i="2"/>
  <c r="I18" i="1" s="1"/>
  <c r="Y17" i="2"/>
  <c r="H29" i="1" s="1"/>
  <c r="W6" i="2"/>
  <c r="F18" i="1" s="1"/>
  <c r="Y19" i="2"/>
  <c r="H31" i="1" s="1"/>
  <c r="X13" i="2"/>
  <c r="G25" i="1" s="1"/>
  <c r="Z13" i="2"/>
  <c r="I25" i="1" s="1"/>
  <c r="Y18" i="2"/>
  <c r="H30" i="1" s="1"/>
  <c r="W18" i="2"/>
  <c r="F30" i="1" s="1"/>
  <c r="X18" i="2"/>
  <c r="G30" i="1" s="1"/>
  <c r="Z18" i="2"/>
  <c r="I30" i="1" s="1"/>
  <c r="Z3" i="2"/>
  <c r="I15" i="1" s="1"/>
  <c r="X3" i="2"/>
  <c r="G15" i="1" s="1"/>
  <c r="W3" i="2"/>
  <c r="F15" i="1" s="1"/>
  <c r="Y3" i="2"/>
  <c r="H15" i="1" s="1"/>
  <c r="W7" i="2"/>
  <c r="F19" i="1" s="1"/>
  <c r="X7" i="2"/>
  <c r="G19" i="1" s="1"/>
  <c r="Z7" i="2"/>
  <c r="I19" i="1" s="1"/>
  <c r="Y7" i="2"/>
  <c r="H19" i="1" s="1"/>
  <c r="W15" i="2"/>
  <c r="F27" i="1" s="1"/>
  <c r="X15" i="2"/>
  <c r="G27" i="1" s="1"/>
  <c r="Y15" i="2"/>
  <c r="H27" i="1" s="1"/>
  <c r="Z15" i="2"/>
  <c r="I27" i="1" s="1"/>
  <c r="Y8" i="2"/>
  <c r="H20" i="1" s="1"/>
  <c r="Z8" i="2"/>
  <c r="I20" i="1" s="1"/>
  <c r="W8" i="2"/>
  <c r="F20" i="1" s="1"/>
  <c r="X8" i="2"/>
  <c r="G20" i="1" s="1"/>
  <c r="Y24" i="2"/>
  <c r="H36" i="1" s="1"/>
  <c r="Z24" i="2"/>
  <c r="I36" i="1" s="1"/>
  <c r="W24" i="2"/>
  <c r="F36" i="1" s="1"/>
  <c r="X24" i="2"/>
  <c r="G36" i="1" s="1"/>
  <c r="Y20" i="2"/>
  <c r="H32" i="1" s="1"/>
  <c r="Z20" i="2"/>
  <c r="I32" i="1" s="1"/>
  <c r="W20" i="2"/>
  <c r="F32" i="1" s="1"/>
  <c r="X20" i="2"/>
  <c r="G32" i="1" s="1"/>
  <c r="Y21" i="2"/>
  <c r="H33" i="1" s="1"/>
  <c r="Z21" i="2"/>
  <c r="I33" i="1" s="1"/>
  <c r="W21" i="2"/>
  <c r="F33" i="1" s="1"/>
  <c r="X21" i="2"/>
  <c r="G33" i="1" s="1"/>
  <c r="X22" i="2"/>
  <c r="G34" i="1" s="1"/>
  <c r="Y22" i="2"/>
  <c r="H34" i="1" s="1"/>
  <c r="Z22" i="2"/>
  <c r="I34" i="1" s="1"/>
  <c r="W22" i="2"/>
  <c r="F34" i="1" s="1"/>
  <c r="Y16" i="2"/>
  <c r="H28" i="1" s="1"/>
  <c r="Z16" i="2"/>
  <c r="I28" i="1" s="1"/>
  <c r="W16" i="2"/>
  <c r="F28" i="1" s="1"/>
  <c r="X16" i="2"/>
  <c r="G28" i="1" s="1"/>
  <c r="W10" i="2"/>
  <c r="F22" i="1" s="1"/>
  <c r="Y10" i="2"/>
  <c r="H22" i="1" s="1"/>
  <c r="X10" i="2"/>
  <c r="G22" i="1" s="1"/>
  <c r="Z10" i="2"/>
  <c r="I22" i="1" s="1"/>
  <c r="Y12" i="2"/>
  <c r="H24" i="1" s="1"/>
  <c r="Z12" i="2"/>
  <c r="I24" i="1" s="1"/>
  <c r="W12" i="2"/>
  <c r="F24" i="1" s="1"/>
  <c r="X12" i="2"/>
  <c r="G24" i="1" s="1"/>
  <c r="W23" i="2"/>
  <c r="F35" i="1" s="1"/>
  <c r="X23" i="2"/>
  <c r="G35" i="1" s="1"/>
  <c r="Z23" i="2"/>
  <c r="I35" i="1" s="1"/>
  <c r="Y23" i="2"/>
  <c r="H35" i="1" s="1"/>
  <c r="Y4" i="2"/>
  <c r="H16" i="1" s="1"/>
  <c r="Z4" i="2"/>
  <c r="I16" i="1" s="1"/>
  <c r="W4" i="2"/>
  <c r="F16" i="1" s="1"/>
  <c r="X4" i="2"/>
  <c r="G16" i="1" s="1"/>
  <c r="Y5" i="2"/>
  <c r="H17" i="1" s="1"/>
  <c r="Z5" i="2"/>
  <c r="I17" i="1" s="1"/>
  <c r="W5" i="2"/>
  <c r="F17" i="1" s="1"/>
  <c r="X5" i="2"/>
  <c r="G17" i="1" s="1"/>
  <c r="W11" i="2"/>
  <c r="F23" i="1" s="1"/>
  <c r="X11" i="2"/>
  <c r="G23" i="1" s="1"/>
  <c r="Z11" i="2"/>
  <c r="I23" i="1" s="1"/>
  <c r="Y11" i="2"/>
  <c r="H23" i="1" s="1"/>
  <c r="Y9" i="2"/>
  <c r="H21" i="1" s="1"/>
  <c r="Z9" i="2"/>
  <c r="I21" i="1" s="1"/>
  <c r="W9" i="2"/>
  <c r="F21" i="1" s="1"/>
  <c r="X9" i="2"/>
  <c r="G21" i="1" s="1"/>
  <c r="X14" i="2"/>
  <c r="G26" i="1" s="1"/>
  <c r="Y14" i="2"/>
  <c r="H26" i="1" s="1"/>
  <c r="Z14" i="2"/>
  <c r="I26" i="1" s="1"/>
  <c r="W14" i="2"/>
  <c r="F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Arteta</author>
  </authors>
  <commentList>
    <comment ref="A19" authorId="0" shapeId="0" xr:uid="{38017FB6-315C-46EA-8191-9A5C19DBD82E}">
      <text>
        <r>
          <rPr>
            <b/>
            <sz val="9"/>
            <color indexed="81"/>
            <rFont val="Tahoma"/>
            <family val="2"/>
          </rPr>
          <t>4.5 &lt; Mw &lt; 9.5</t>
        </r>
      </text>
    </comment>
    <comment ref="A22" authorId="0" shapeId="0" xr:uid="{1E87EC2E-2E50-4C6C-A256-78474953C608}">
      <text>
        <r>
          <rPr>
            <b/>
            <sz val="9"/>
            <color indexed="81"/>
            <rFont val="Tahoma"/>
            <family val="2"/>
          </rPr>
          <t>70 &lt; Rhypo &lt; 450 km
10 &lt; Rrup &lt; 450 km</t>
        </r>
      </text>
    </comment>
    <comment ref="A25" authorId="0" shapeId="0" xr:uid="{95B82D01-DD8F-45AB-9034-68870EAE748D}">
      <text>
        <r>
          <rPr>
            <b/>
            <sz val="9"/>
            <color indexed="81"/>
            <rFont val="Tahoma"/>
            <family val="2"/>
          </rPr>
          <t>Cat s1 = 1
s2 = 2
s3 = 3
s4 = 4
s5 = 5</t>
        </r>
      </text>
    </comment>
    <comment ref="A28" authorId="0" shapeId="0" xr:uid="{101D844F-BCE3-46AF-A7F6-2FDFE7DD9081}">
      <text>
        <r>
          <rPr>
            <b/>
            <sz val="9"/>
            <color indexed="81"/>
            <rFont val="Tahoma"/>
            <family val="2"/>
          </rPr>
          <t>See Table 1 (C42)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10CBAEBF-1881-4C5F-810F-63F46F0CE9E2}">
      <text>
        <r>
          <rPr>
            <b/>
            <sz val="9"/>
            <color indexed="81"/>
            <rFont val="Tahoma"/>
            <family val="2"/>
          </rPr>
          <t>Applies to Intra-slab events only. Does not affect Interface events.
FBA = 0 if both, the station and the event epicenter are on the same side of the volcanic Arc, FBA = 1 otherwise.</t>
        </r>
      </text>
    </comment>
    <comment ref="A34" authorId="0" shapeId="0" xr:uid="{E78A6620-6790-4E3F-A564-6D123CDA2A24}">
      <text>
        <r>
          <rPr>
            <b/>
            <sz val="9"/>
            <color indexed="81"/>
            <rFont val="Tahoma"/>
            <family val="2"/>
          </rPr>
          <t xml:space="preserve">Number of estándar deviations </t>
        </r>
        <r>
          <rPr>
            <b/>
            <sz val="9"/>
            <color indexed="81"/>
            <rFont val="Symbol"/>
            <family val="1"/>
            <charset val="2"/>
          </rPr>
          <t xml:space="preserve">s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<sst xmlns="http://schemas.openxmlformats.org/spreadsheetml/2006/main" count="111" uniqueCount="63">
  <si>
    <t>Carlos A. Arteta, Cesar A. Pajaro, Vicente Mercado, Julián Montejo, Mónica Arcila, Norman A. Abrahamson</t>
  </si>
  <si>
    <t>https://doi.org/10.1177/87552930211027585</t>
  </si>
  <si>
    <t>Input Parameters</t>
  </si>
  <si>
    <r>
      <t>T</t>
    </r>
    <r>
      <rPr>
        <b/>
        <sz val="11"/>
        <rFont val="Times New Roman"/>
        <family val="1"/>
      </rPr>
      <t xml:space="preserve"> (s)</t>
    </r>
  </si>
  <si>
    <t>PSa Median for 5% damping</t>
  </si>
  <si>
    <t>PSa (g)</t>
  </si>
  <si>
    <t>Soil Cat</t>
  </si>
  <si>
    <t>P*</t>
  </si>
  <si>
    <t>Mw</t>
  </si>
  <si>
    <t>Rrup [km]</t>
  </si>
  <si>
    <t>Soil Category</t>
  </si>
  <si>
    <t>Prediction by parts</t>
  </si>
  <si>
    <t>Period</t>
  </si>
  <si>
    <t>s1</t>
  </si>
  <si>
    <t>s2</t>
  </si>
  <si>
    <t>s3</t>
  </si>
  <si>
    <t>s4</t>
  </si>
  <si>
    <t>s5</t>
  </si>
  <si>
    <t>C1</t>
  </si>
  <si>
    <t>ln(PSA)</t>
  </si>
  <si>
    <t>PSA Median</t>
  </si>
  <si>
    <t>Intercept</t>
  </si>
  <si>
    <t>q1</t>
  </si>
  <si>
    <t>q2</t>
  </si>
  <si>
    <t>q3</t>
  </si>
  <si>
    <t>q4</t>
  </si>
  <si>
    <t>q5</t>
  </si>
  <si>
    <t>t</t>
  </si>
  <si>
    <t>f</t>
  </si>
  <si>
    <t>s</t>
  </si>
  <si>
    <r>
      <t>f</t>
    </r>
    <r>
      <rPr>
        <b/>
        <vertAlign val="subscript"/>
        <sz val="9"/>
        <color rgb="FF000000"/>
        <rFont val="Times New Roman"/>
        <family val="1"/>
      </rPr>
      <t>s2s</t>
    </r>
  </si>
  <si>
    <r>
      <t>f</t>
    </r>
    <r>
      <rPr>
        <b/>
        <vertAlign val="subscript"/>
        <sz val="9"/>
        <color rgb="FF000000"/>
        <rFont val="Times New Roman"/>
        <family val="1"/>
      </rPr>
      <t>ss</t>
    </r>
  </si>
  <si>
    <r>
      <t>s</t>
    </r>
    <r>
      <rPr>
        <b/>
        <vertAlign val="subscript"/>
        <sz val="9"/>
        <color rgb="FF000000"/>
        <rFont val="Times New Roman"/>
        <family val="1"/>
      </rPr>
      <t>ss</t>
    </r>
  </si>
  <si>
    <t>(sec)</t>
  </si>
  <si>
    <r>
      <t>f</t>
    </r>
    <r>
      <rPr>
        <b/>
        <i/>
        <vertAlign val="subscript"/>
        <sz val="9"/>
        <color rgb="FF000000"/>
        <rFont val="Symbol"/>
        <family val="1"/>
        <charset val="2"/>
      </rPr>
      <t>1</t>
    </r>
  </si>
  <si>
    <t>f2</t>
  </si>
  <si>
    <r>
      <t>s</t>
    </r>
    <r>
      <rPr>
        <b/>
        <i/>
        <vertAlign val="subscript"/>
        <sz val="9"/>
        <color rgb="FF000000"/>
        <rFont val="Symbol"/>
        <family val="1"/>
        <charset val="2"/>
      </rPr>
      <t>1</t>
    </r>
  </si>
  <si>
    <t>e</t>
  </si>
  <si>
    <r>
      <rPr>
        <b/>
        <sz val="11"/>
        <rFont val="Times New Roman"/>
        <family val="1"/>
      </rPr>
      <t xml:space="preserve">PSa Median + </t>
    </r>
    <r>
      <rPr>
        <b/>
        <sz val="11"/>
        <rFont val="Symbol"/>
        <family val="1"/>
        <charset val="2"/>
      </rPr>
      <t>e</t>
    </r>
    <r>
      <rPr>
        <b/>
        <sz val="11"/>
        <rFont val="Calibri"/>
        <family val="2"/>
        <scheme val="minor"/>
      </rPr>
      <t>σ</t>
    </r>
    <r>
      <rPr>
        <b/>
        <sz val="11"/>
        <rFont val="Times New Roman"/>
        <family val="1"/>
      </rPr>
      <t xml:space="preserve"> for 5% damping</t>
    </r>
  </si>
  <si>
    <r>
      <rPr>
        <b/>
        <sz val="11"/>
        <rFont val="Times New Roman"/>
        <family val="1"/>
      </rPr>
      <t xml:space="preserve">PSa Median - </t>
    </r>
    <r>
      <rPr>
        <b/>
        <sz val="11"/>
        <rFont val="Symbol"/>
        <family val="1"/>
        <charset val="2"/>
      </rPr>
      <t>e</t>
    </r>
    <r>
      <rPr>
        <b/>
        <sz val="11"/>
        <rFont val="Calibri"/>
        <family val="2"/>
        <scheme val="minor"/>
      </rPr>
      <t>σ</t>
    </r>
    <r>
      <rPr>
        <b/>
        <sz val="11"/>
        <rFont val="Times New Roman"/>
        <family val="1"/>
      </rPr>
      <t xml:space="preserve"> for 5% damping</t>
    </r>
  </si>
  <si>
    <r>
      <rPr>
        <b/>
        <sz val="11"/>
        <rFont val="Times New Roman"/>
        <family val="1"/>
      </rPr>
      <t xml:space="preserve">PSa Median + </t>
    </r>
    <r>
      <rPr>
        <b/>
        <sz val="11"/>
        <rFont val="Symbol"/>
        <family val="1"/>
        <charset val="2"/>
      </rPr>
      <t>e</t>
    </r>
    <r>
      <rPr>
        <b/>
        <sz val="11"/>
        <rFont val="Calibri"/>
        <family val="2"/>
        <scheme val="minor"/>
      </rPr>
      <t>σ</t>
    </r>
    <r>
      <rPr>
        <b/>
        <sz val="8"/>
        <rFont val="Calibri"/>
        <family val="2"/>
        <scheme val="minor"/>
      </rPr>
      <t>ss</t>
    </r>
    <r>
      <rPr>
        <b/>
        <sz val="11"/>
        <rFont val="Times New Roman"/>
        <family val="1"/>
      </rPr>
      <t xml:space="preserve"> for 5% damping</t>
    </r>
  </si>
  <si>
    <r>
      <rPr>
        <b/>
        <sz val="11"/>
        <rFont val="Times New Roman"/>
        <family val="1"/>
      </rPr>
      <t xml:space="preserve">PSa Median   - </t>
    </r>
    <r>
      <rPr>
        <b/>
        <sz val="11"/>
        <rFont val="Symbol"/>
        <family val="1"/>
        <charset val="2"/>
      </rPr>
      <t>e</t>
    </r>
    <r>
      <rPr>
        <b/>
        <sz val="11"/>
        <rFont val="Calibri"/>
        <family val="2"/>
        <scheme val="minor"/>
      </rPr>
      <t>σ</t>
    </r>
    <r>
      <rPr>
        <b/>
        <sz val="8"/>
        <rFont val="Calibri"/>
        <family val="2"/>
        <scheme val="minor"/>
      </rPr>
      <t>ss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rFont val="Times New Roman"/>
        <family val="1"/>
      </rPr>
      <t>for 5% damping</t>
    </r>
  </si>
  <si>
    <r>
      <t>f</t>
    </r>
    <r>
      <rPr>
        <b/>
        <vertAlign val="subscript"/>
        <sz val="12"/>
        <color theme="1"/>
        <rFont val="Times New Roman"/>
        <family val="1"/>
      </rPr>
      <t>magGL</t>
    </r>
    <r>
      <rPr>
        <b/>
        <sz val="12"/>
        <color theme="1"/>
        <rFont val="Times New Roman"/>
        <family val="1"/>
      </rPr>
      <t>(M)</t>
    </r>
  </si>
  <si>
    <r>
      <t>f</t>
    </r>
    <r>
      <rPr>
        <b/>
        <vertAlign val="subscript"/>
        <sz val="12"/>
        <color theme="1"/>
        <rFont val="Times New Roman"/>
        <family val="1"/>
      </rPr>
      <t>magREG</t>
    </r>
    <r>
      <rPr>
        <b/>
        <sz val="12"/>
        <color theme="1"/>
        <rFont val="Times New Roman"/>
        <family val="1"/>
      </rPr>
      <t>(M)</t>
    </r>
  </si>
  <si>
    <r>
      <t>fpath</t>
    </r>
    <r>
      <rPr>
        <b/>
        <vertAlign val="subscript"/>
        <sz val="12"/>
        <color theme="1"/>
        <rFont val="Times New Roman"/>
        <family val="1"/>
      </rPr>
      <t>GL</t>
    </r>
    <r>
      <rPr>
        <b/>
        <sz val="12"/>
        <color theme="1"/>
        <rFont val="Times New Roman"/>
        <family val="1"/>
      </rPr>
      <t>(M, R)</t>
    </r>
  </si>
  <si>
    <r>
      <t>fpath</t>
    </r>
    <r>
      <rPr>
        <b/>
        <vertAlign val="subscript"/>
        <sz val="12"/>
        <color theme="1"/>
        <rFont val="Times New Roman"/>
        <family val="1"/>
      </rPr>
      <t>REG</t>
    </r>
    <r>
      <rPr>
        <b/>
        <sz val="12"/>
        <color theme="1"/>
        <rFont val="Times New Roman"/>
        <family val="1"/>
      </rPr>
      <t>(M, R)</t>
    </r>
  </si>
  <si>
    <t>q6</t>
  </si>
  <si>
    <r>
      <t>F</t>
    </r>
    <r>
      <rPr>
        <b/>
        <vertAlign val="subscript"/>
        <sz val="12"/>
        <color theme="1"/>
        <rFont val="Times New Roman"/>
        <family val="1"/>
      </rPr>
      <t>FABA</t>
    </r>
  </si>
  <si>
    <r>
      <rPr>
        <b/>
        <sz val="12"/>
        <color theme="1"/>
        <rFont val="Symbol"/>
        <family val="1"/>
        <charset val="2"/>
      </rPr>
      <t>q</t>
    </r>
    <r>
      <rPr>
        <b/>
        <sz val="12"/>
        <color theme="1"/>
        <rFont val="Times New Roman"/>
        <family val="1"/>
      </rPr>
      <t>6*F</t>
    </r>
    <r>
      <rPr>
        <b/>
        <vertAlign val="subscript"/>
        <sz val="12"/>
        <color theme="1"/>
        <rFont val="Times New Roman"/>
        <family val="1"/>
      </rPr>
      <t>FABA</t>
    </r>
  </si>
  <si>
    <t>fsoil(M)</t>
  </si>
  <si>
    <r>
      <t xml:space="preserve">PSA Median + </t>
    </r>
    <r>
      <rPr>
        <b/>
        <sz val="12"/>
        <color theme="1"/>
        <rFont val="Symbol"/>
        <family val="1"/>
        <charset val="2"/>
      </rPr>
      <t>e</t>
    </r>
    <r>
      <rPr>
        <b/>
        <sz val="12"/>
        <color theme="1"/>
        <rFont val="Times New Roman"/>
        <family val="1"/>
      </rPr>
      <t>σ</t>
    </r>
  </si>
  <si>
    <r>
      <t xml:space="preserve">PSA Median - </t>
    </r>
    <r>
      <rPr>
        <b/>
        <sz val="12"/>
        <color theme="1"/>
        <rFont val="Symbol"/>
        <family val="1"/>
        <charset val="2"/>
      </rPr>
      <t>e</t>
    </r>
    <r>
      <rPr>
        <b/>
        <sz val="12"/>
        <color theme="1"/>
        <rFont val="Times New Roman"/>
        <family val="1"/>
      </rPr>
      <t>σ</t>
    </r>
  </si>
  <si>
    <r>
      <t xml:space="preserve">PSA Median + </t>
    </r>
    <r>
      <rPr>
        <b/>
        <sz val="12"/>
        <color theme="1"/>
        <rFont val="Symbol"/>
        <family val="1"/>
        <charset val="2"/>
      </rPr>
      <t>e</t>
    </r>
    <r>
      <rPr>
        <b/>
        <sz val="12"/>
        <color theme="1"/>
        <rFont val="Times New Roman"/>
        <family val="1"/>
      </rPr>
      <t>σ</t>
    </r>
    <r>
      <rPr>
        <b/>
        <vertAlign val="subscript"/>
        <sz val="12"/>
        <color theme="1"/>
        <rFont val="Times New Roman"/>
        <family val="1"/>
      </rPr>
      <t>ss</t>
    </r>
  </si>
  <si>
    <r>
      <t xml:space="preserve">PSA Median - </t>
    </r>
    <r>
      <rPr>
        <b/>
        <sz val="12"/>
        <color theme="1"/>
        <rFont val="Symbol"/>
        <family val="1"/>
        <charset val="2"/>
      </rPr>
      <t>e</t>
    </r>
    <r>
      <rPr>
        <b/>
        <sz val="12"/>
        <color theme="1"/>
        <rFont val="Times New Roman"/>
        <family val="1"/>
      </rPr>
      <t>σ</t>
    </r>
    <r>
      <rPr>
        <b/>
        <vertAlign val="subscript"/>
        <sz val="12"/>
        <color theme="1"/>
        <rFont val="Times New Roman"/>
        <family val="1"/>
      </rPr>
      <t>ss</t>
    </r>
  </si>
  <si>
    <t>Rhypo [km]</t>
  </si>
  <si>
    <t>Tec. Environment</t>
  </si>
  <si>
    <t>Ground-motion model for subduction earthquakes in northern South America</t>
  </si>
  <si>
    <t>Intra-slab</t>
  </si>
  <si>
    <t>FBA Intra-slab</t>
  </si>
  <si>
    <t>Partially non-ergodic</t>
  </si>
  <si>
    <r>
      <rPr>
        <b/>
        <sz val="11"/>
        <color theme="1"/>
        <rFont val="Times New Roman"/>
        <family val="1"/>
      </rPr>
      <t>USER GUIDANCE</t>
    </r>
    <r>
      <rPr>
        <sz val="11"/>
        <color theme="1"/>
        <rFont val="Times New Roman"/>
        <family val="1"/>
      </rPr>
      <t xml:space="preserve">
The NSAm SUB GMM models the horizontal-component RotD50, 5% damped, spectral acceleration of interface and intra-slab subduction earthquakes for spectral periods up to 10 s. The input parameters required to use the NSAm SUB GMM are (1) the moment magnitude, Mw; (2) the rupture (for interface) or hypocentral (for intra-slab) distance to the site, Rrup or Rhypo (km); (3) a site category based on natural period according to Table 1; and (4) a fore/back arc flag for intra-slab events, for example, FFABA = 0 for forearc sites and FFABA = 1 for backarc sites. ‘‘Category s2 can be used to represent sites which have been typically characterized as ‘‘generic rock’’ in previous models for Colombia; this category includes sites with a Vs of around 760 m/s. Average values of P* found in Table 1 may be used to characterize such ‘‘generic rock’’ stations in case no HVRSR information is available’’. The range of magnitudes for the application of the NSAm SUB GMM is 4.5 &lt; Mw &lt; 9.5, for interface earthquakes, and 4.5 &lt; Mw 8.0 for intra-slab events. The large-magnitude extrapolation is feasible thanks to the constraints imposed by the global model. The distance range is 10 &lt; Rrup &lt; 450 km for interface earthquakes and 70 &lt; Rhypo &lt; 450 km for intra-slab. This model is only intended for applications in Colombia and Ecuador. For other regions, without region-specific models, the global GMMs should be considered.
</t>
    </r>
  </si>
  <si>
    <t>V1.0 12JUL-2021</t>
  </si>
  <si>
    <r>
      <t>M</t>
    </r>
    <r>
      <rPr>
        <b/>
        <vertAlign val="subscript"/>
        <sz val="12"/>
        <rFont val="Times New Roman"/>
        <family val="1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</si>
</sst>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u/>
      <sz val="16"/>
      <color theme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1"/>
      <scheme val="minor"/>
    </font>
    <font>
      <b/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  <font>
      <b/>
      <i/>
      <sz val="11"/>
      <color rgb="FFFF33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i/>
      <sz val="9"/>
      <color rgb="FF000000"/>
      <name val="Symbol"/>
      <family val="1"/>
      <charset val="2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Symbol"/>
      <family val="1"/>
      <charset val="2"/>
    </font>
    <font>
      <b/>
      <sz val="9"/>
      <color rgb="FF000000"/>
      <name val="Symbol"/>
      <family val="1"/>
      <charset val="2"/>
    </font>
    <font>
      <b/>
      <i/>
      <sz val="9"/>
      <color rgb="FF000000"/>
      <name val="Times New Roman"/>
      <family val="1"/>
    </font>
    <font>
      <b/>
      <sz val="11"/>
      <name val="Symbol"/>
      <family val="1"/>
      <charset val="2"/>
    </font>
    <font>
      <b/>
      <sz val="9"/>
      <color indexed="81"/>
      <name val="Symbol"/>
      <family val="1"/>
      <charset val="2"/>
    </font>
    <font>
      <b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  <charset val="2"/>
    </font>
    <font>
      <b/>
      <sz val="11"/>
      <color rgb="FFC00000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vertAlign val="subscript"/>
      <sz val="12"/>
      <name val="Times New Roman"/>
      <family val="1"/>
    </font>
    <font>
      <b/>
      <sz val="12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vertical="top" wrapText="1"/>
    </xf>
    <xf numFmtId="0" fontId="1" fillId="2" borderId="0" xfId="1" applyFill="1" applyAlignment="1" applyProtection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3" fillId="2" borderId="1" xfId="0" applyFont="1" applyFill="1" applyBorder="1"/>
    <xf numFmtId="164" fontId="14" fillId="2" borderId="1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Alignment="1">
      <alignment horizontal="center" vertical="center"/>
    </xf>
    <xf numFmtId="0" fontId="1" fillId="2" borderId="0" xfId="1" applyFill="1" applyAlignment="1" applyProtection="1">
      <alignment vertical="center"/>
    </xf>
    <xf numFmtId="0" fontId="12" fillId="2" borderId="0" xfId="0" applyFont="1" applyFill="1" applyAlignment="1">
      <alignment horizontal="left" vertical="center"/>
    </xf>
    <xf numFmtId="0" fontId="1" fillId="2" borderId="0" xfId="1" applyFill="1" applyAlignment="1" applyProtection="1">
      <alignment horizontal="left" vertical="center" indent="2"/>
    </xf>
    <xf numFmtId="0" fontId="1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7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top"/>
    </xf>
    <xf numFmtId="0" fontId="23" fillId="0" borderId="0" xfId="0" applyFont="1"/>
    <xf numFmtId="0" fontId="25" fillId="0" borderId="13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164" fontId="24" fillId="0" borderId="12" xfId="0" applyNumberFormat="1" applyFont="1" applyBorder="1" applyAlignment="1">
      <alignment vertical="center"/>
    </xf>
    <xf numFmtId="164" fontId="29" fillId="0" borderId="1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23" fillId="0" borderId="8" xfId="0" applyFont="1" applyBorder="1"/>
    <xf numFmtId="0" fontId="23" fillId="0" borderId="0" xfId="0" applyFont="1" applyBorder="1"/>
    <xf numFmtId="0" fontId="23" fillId="0" borderId="9" xfId="0" applyFont="1" applyBorder="1"/>
    <xf numFmtId="0" fontId="23" fillId="0" borderId="10" xfId="0" applyFont="1" applyBorder="1"/>
    <xf numFmtId="0" fontId="23" fillId="0" borderId="11" xfId="0" applyFont="1" applyBorder="1"/>
    <xf numFmtId="164" fontId="23" fillId="0" borderId="8" xfId="0" applyNumberFormat="1" applyFont="1" applyBorder="1"/>
    <xf numFmtId="164" fontId="23" fillId="0" borderId="0" xfId="0" applyNumberFormat="1" applyFont="1" applyBorder="1"/>
    <xf numFmtId="164" fontId="23" fillId="0" borderId="9" xfId="0" applyNumberFormat="1" applyFont="1" applyBorder="1"/>
    <xf numFmtId="164" fontId="23" fillId="0" borderId="10" xfId="0" applyNumberFormat="1" applyFont="1" applyBorder="1"/>
    <xf numFmtId="164" fontId="23" fillId="0" borderId="11" xfId="0" applyNumberFormat="1" applyFont="1" applyBorder="1"/>
    <xf numFmtId="164" fontId="23" fillId="0" borderId="12" xfId="0" applyNumberFormat="1" applyFont="1" applyBorder="1"/>
    <xf numFmtId="0" fontId="33" fillId="0" borderId="5" xfId="0" applyFont="1" applyBorder="1"/>
    <xf numFmtId="0" fontId="33" fillId="0" borderId="6" xfId="0" applyFont="1" applyBorder="1"/>
    <xf numFmtId="0" fontId="33" fillId="0" borderId="7" xfId="0" applyFont="1" applyBorder="1"/>
    <xf numFmtId="0" fontId="34" fillId="0" borderId="5" xfId="0" applyFont="1" applyBorder="1"/>
    <xf numFmtId="0" fontId="33" fillId="0" borderId="15" xfId="0" applyFont="1" applyBorder="1"/>
    <xf numFmtId="0" fontId="34" fillId="0" borderId="17" xfId="0" applyFont="1" applyBorder="1"/>
    <xf numFmtId="0" fontId="33" fillId="0" borderId="17" xfId="0" applyFont="1" applyBorder="1"/>
    <xf numFmtId="0" fontId="33" fillId="0" borderId="16" xfId="0" applyFont="1" applyBorder="1"/>
    <xf numFmtId="0" fontId="36" fillId="0" borderId="6" xfId="0" applyFont="1" applyBorder="1"/>
    <xf numFmtId="0" fontId="37" fillId="0" borderId="17" xfId="0" applyFont="1" applyBorder="1"/>
    <xf numFmtId="164" fontId="23" fillId="0" borderId="0" xfId="0" applyNumberFormat="1" applyFont="1"/>
    <xf numFmtId="2" fontId="23" fillId="0" borderId="9" xfId="0" applyNumberFormat="1" applyFont="1" applyBorder="1"/>
    <xf numFmtId="2" fontId="23" fillId="0" borderId="12" xfId="0" applyNumberFormat="1" applyFont="1" applyBorder="1"/>
    <xf numFmtId="0" fontId="38" fillId="2" borderId="0" xfId="0" applyFont="1" applyFill="1" applyAlignment="1">
      <alignment horizontal="right"/>
    </xf>
    <xf numFmtId="0" fontId="39" fillId="3" borderId="2" xfId="0" applyFont="1" applyFill="1" applyBorder="1" applyAlignment="1" applyProtection="1">
      <alignment horizontal="center" vertical="center"/>
      <protection locked="0"/>
    </xf>
    <xf numFmtId="0" fontId="40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/>
    </xf>
    <xf numFmtId="0" fontId="39" fillId="3" borderId="4" xfId="0" applyFont="1" applyFill="1" applyBorder="1" applyAlignment="1" applyProtection="1">
      <alignment horizontal="center" vertical="center"/>
      <protection locked="0"/>
    </xf>
    <xf numFmtId="0" fontId="4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/>
    </xf>
    <xf numFmtId="0" fontId="9" fillId="2" borderId="3" xfId="0" applyFont="1" applyFill="1" applyBorder="1" applyAlignment="1">
      <alignment horizontal="center" vertical="center" textRotation="90"/>
    </xf>
    <xf numFmtId="0" fontId="9" fillId="2" borderId="2" xfId="0" applyFont="1" applyFill="1" applyBorder="1" applyAlignment="1">
      <alignment horizontal="center" vertical="center" textRotation="90"/>
    </xf>
    <xf numFmtId="0" fontId="9" fillId="2" borderId="4" xfId="0" applyFont="1" applyFill="1" applyBorder="1" applyAlignment="1">
      <alignment horizontal="center" vertical="center" textRotation="90"/>
    </xf>
    <xf numFmtId="0" fontId="20" fillId="4" borderId="5" xfId="0" applyFont="1" applyFill="1" applyBorder="1" applyAlignment="1">
      <alignment horizontal="left" vertical="top" wrapText="1"/>
    </xf>
    <xf numFmtId="0" fontId="20" fillId="4" borderId="6" xfId="0" applyFont="1" applyFill="1" applyBorder="1" applyAlignment="1">
      <alignment horizontal="left" vertical="top" wrapText="1"/>
    </xf>
    <xf numFmtId="0" fontId="20" fillId="4" borderId="7" xfId="0" applyFont="1" applyFill="1" applyBorder="1" applyAlignment="1">
      <alignment horizontal="left" vertical="top" wrapText="1"/>
    </xf>
    <xf numFmtId="0" fontId="20" fillId="4" borderId="8" xfId="0" applyFont="1" applyFill="1" applyBorder="1" applyAlignment="1">
      <alignment horizontal="left" vertical="top" wrapText="1"/>
    </xf>
    <xf numFmtId="0" fontId="20" fillId="4" borderId="0" xfId="0" applyFont="1" applyFill="1" applyAlignment="1">
      <alignment horizontal="left" vertical="top" wrapText="1"/>
    </xf>
    <xf numFmtId="0" fontId="20" fillId="4" borderId="9" xfId="0" applyFont="1" applyFill="1" applyBorder="1" applyAlignment="1">
      <alignment horizontal="left" vertical="top" wrapText="1"/>
    </xf>
    <xf numFmtId="0" fontId="20" fillId="4" borderId="10" xfId="0" applyFont="1" applyFill="1" applyBorder="1" applyAlignment="1">
      <alignment horizontal="left" vertical="top" wrapText="1"/>
    </xf>
    <xf numFmtId="0" fontId="20" fillId="4" borderId="11" xfId="0" applyFont="1" applyFill="1" applyBorder="1" applyAlignment="1">
      <alignment horizontal="left" vertical="top" wrapText="1"/>
    </xf>
    <xf numFmtId="0" fontId="20" fillId="4" borderId="12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26" fillId="0" borderId="13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26" fillId="0" borderId="1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1304347826464"/>
          <c:y val="9.2872796947897698E-2"/>
          <c:w val="0.7665903890160175"/>
          <c:h val="0.73074222093728602"/>
        </c:manualLayout>
      </c:layout>
      <c:scatterChart>
        <c:scatterStyle val="lineMarker"/>
        <c:varyColors val="0"/>
        <c:ser>
          <c:idx val="0"/>
          <c:order val="0"/>
          <c:tx>
            <c:v>PSa Median for 5% damping</c:v>
          </c:tx>
          <c:spPr>
            <a:ln w="50800">
              <a:solidFill>
                <a:srgbClr val="FF3300"/>
              </a:solidFill>
              <a:prstDash val="solid"/>
            </a:ln>
          </c:spPr>
          <c:marker>
            <c:symbol val="none"/>
          </c:marker>
          <c:xVal>
            <c:numRef>
              <c:f>MAIN!$D$15:$D$36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7.5</c:v>
                </c:pt>
                <c:pt idx="21">
                  <c:v>10</c:v>
                </c:pt>
              </c:numCache>
            </c:numRef>
          </c:xVal>
          <c:yVal>
            <c:numRef>
              <c:f>MAIN!$E$15:$E$36</c:f>
              <c:numCache>
                <c:formatCode>0.000</c:formatCode>
                <c:ptCount val="22"/>
                <c:pt idx="0">
                  <c:v>3.9694869506311334E-2</c:v>
                </c:pt>
                <c:pt idx="1">
                  <c:v>4.1680042675871845E-2</c:v>
                </c:pt>
                <c:pt idx="2">
                  <c:v>4.3397602448896511E-2</c:v>
                </c:pt>
                <c:pt idx="3">
                  <c:v>5.4683289038615676E-2</c:v>
                </c:pt>
                <c:pt idx="4">
                  <c:v>7.3856615765429554E-2</c:v>
                </c:pt>
                <c:pt idx="5">
                  <c:v>0.11200982281336741</c:v>
                </c:pt>
                <c:pt idx="6">
                  <c:v>0.13155165350848733</c:v>
                </c:pt>
                <c:pt idx="7">
                  <c:v>0.10134864311845268</c:v>
                </c:pt>
                <c:pt idx="8">
                  <c:v>7.5650279951084601E-2</c:v>
                </c:pt>
                <c:pt idx="9">
                  <c:v>5.9594531058783984E-2</c:v>
                </c:pt>
                <c:pt idx="10">
                  <c:v>4.2935647826084701E-2</c:v>
                </c:pt>
                <c:pt idx="11">
                  <c:v>2.8319106910696782E-2</c:v>
                </c:pt>
                <c:pt idx="12">
                  <c:v>1.2478764596418107E-2</c:v>
                </c:pt>
                <c:pt idx="13">
                  <c:v>7.3447954628177489E-3</c:v>
                </c:pt>
                <c:pt idx="14">
                  <c:v>3.1729979663138782E-3</c:v>
                </c:pt>
                <c:pt idx="15">
                  <c:v>1.5600586275181802E-3</c:v>
                </c:pt>
                <c:pt idx="16">
                  <c:v>6.1454448581216249E-4</c:v>
                </c:pt>
                <c:pt idx="17">
                  <c:v>3.2960050160574261E-4</c:v>
                </c:pt>
                <c:pt idx="18">
                  <c:v>2.0661999224657265E-4</c:v>
                </c:pt>
                <c:pt idx="19">
                  <c:v>1.445869880562902E-4</c:v>
                </c:pt>
                <c:pt idx="20">
                  <c:v>9.3119286322963928E-5</c:v>
                </c:pt>
                <c:pt idx="21">
                  <c:v>5.7047332609063689E-5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C-4D86-AF58-D9C5F3DA204C}"/>
            </c:ext>
          </c:extLst>
        </c:ser>
        <c:ser>
          <c:idx val="1"/>
          <c:order val="1"/>
          <c:tx>
            <c:v>PSa Median + ε.σ for 5 % damping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MAIN!$D$15:$D$36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7.5</c:v>
                </c:pt>
                <c:pt idx="21">
                  <c:v>10</c:v>
                </c:pt>
              </c:numCache>
            </c:numRef>
          </c:xVal>
          <c:yVal>
            <c:numRef>
              <c:f>MAIN!$F$15:$F$36</c:f>
              <c:numCache>
                <c:formatCode>0.000</c:formatCode>
                <c:ptCount val="22"/>
                <c:pt idx="0">
                  <c:v>8.7919636896513831E-2</c:v>
                </c:pt>
                <c:pt idx="1">
                  <c:v>9.1327926067934606E-2</c:v>
                </c:pt>
                <c:pt idx="2">
                  <c:v>9.5646147913285656E-2</c:v>
                </c:pt>
                <c:pt idx="3">
                  <c:v>0.12179306544465673</c:v>
                </c:pt>
                <c:pt idx="4">
                  <c:v>0.17323588808285964</c:v>
                </c:pt>
                <c:pt idx="5">
                  <c:v>0.27793045596551769</c:v>
                </c:pt>
                <c:pt idx="6">
                  <c:v>0.33089238515631197</c:v>
                </c:pt>
                <c:pt idx="7">
                  <c:v>0.24192588643175583</c:v>
                </c:pt>
                <c:pt idx="8">
                  <c:v>0.17783261326305774</c:v>
                </c:pt>
                <c:pt idx="9">
                  <c:v>0.13449408173996011</c:v>
                </c:pt>
                <c:pt idx="10">
                  <c:v>8.7442879959955672E-2</c:v>
                </c:pt>
                <c:pt idx="11">
                  <c:v>6.1578934687821704E-2</c:v>
                </c:pt>
                <c:pt idx="12">
                  <c:v>2.9903916693221722E-2</c:v>
                </c:pt>
                <c:pt idx="13">
                  <c:v>1.6944270597438842E-2</c:v>
                </c:pt>
                <c:pt idx="14">
                  <c:v>6.628682920524237E-3</c:v>
                </c:pt>
                <c:pt idx="15">
                  <c:v>3.1253706300779951E-3</c:v>
                </c:pt>
                <c:pt idx="16">
                  <c:v>1.2346512811687053E-3</c:v>
                </c:pt>
                <c:pt idx="17">
                  <c:v>6.5203790164414515E-4</c:v>
                </c:pt>
                <c:pt idx="18">
                  <c:v>4.2091682683387043E-4</c:v>
                </c:pt>
                <c:pt idx="19">
                  <c:v>3.0873113981146603E-4</c:v>
                </c:pt>
                <c:pt idx="20">
                  <c:v>2.0999730536264274E-4</c:v>
                </c:pt>
                <c:pt idx="21">
                  <c:v>1.3277757736462553E-4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C-4D86-AF58-D9C5F3DA204C}"/>
            </c:ext>
          </c:extLst>
        </c:ser>
        <c:ser>
          <c:idx val="2"/>
          <c:order val="2"/>
          <c:tx>
            <c:v>PSa Median - ε.σ for 5 % damping</c:v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MAIN!$D$15:$D$36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7.5</c:v>
                </c:pt>
                <c:pt idx="21">
                  <c:v>10</c:v>
                </c:pt>
              </c:numCache>
            </c:numRef>
          </c:xVal>
          <c:yVal>
            <c:numRef>
              <c:f>MAIN!$G$15:$G$36</c:f>
              <c:numCache>
                <c:formatCode>0.000</c:formatCode>
                <c:ptCount val="22"/>
                <c:pt idx="0">
                  <c:v>1.7921851371812979E-2</c:v>
                </c:pt>
                <c:pt idx="1">
                  <c:v>1.9021848324577706E-2</c:v>
                </c:pt>
                <c:pt idx="2">
                  <c:v>1.9690828532059078E-2</c:v>
                </c:pt>
                <c:pt idx="3">
                  <c:v>2.4551989796492747E-2</c:v>
                </c:pt>
                <c:pt idx="4">
                  <c:v>3.1487700110460003E-2</c:v>
                </c:pt>
                <c:pt idx="5">
                  <c:v>4.5141509817975996E-2</c:v>
                </c:pt>
                <c:pt idx="6">
                  <c:v>5.230050106061495E-2</c:v>
                </c:pt>
                <c:pt idx="7">
                  <c:v>4.2457413770183521E-2</c:v>
                </c:pt>
                <c:pt idx="8">
                  <c:v>3.2181750870476235E-2</c:v>
                </c:pt>
                <c:pt idx="9">
                  <c:v>2.6406426856633691E-2</c:v>
                </c:pt>
                <c:pt idx="10">
                  <c:v>2.1081989237886331E-2</c:v>
                </c:pt>
                <c:pt idx="11">
                  <c:v>1.3023476620456671E-2</c:v>
                </c:pt>
                <c:pt idx="12">
                  <c:v>5.2073301116477063E-3</c:v>
                </c:pt>
                <c:pt idx="13">
                  <c:v>3.1837322285671148E-3</c:v>
                </c:pt>
                <c:pt idx="14">
                  <c:v>1.5188411053814251E-3</c:v>
                </c:pt>
                <c:pt idx="15">
                  <c:v>7.7871817757280571E-4</c:v>
                </c:pt>
                <c:pt idx="16">
                  <c:v>3.0588793030258905E-4</c:v>
                </c:pt>
                <c:pt idx="17">
                  <c:v>1.6661069914007293E-4</c:v>
                </c:pt>
                <c:pt idx="18">
                  <c:v>1.0142578883600577E-4</c:v>
                </c:pt>
                <c:pt idx="19">
                  <c:v>6.7713924575137392E-5</c:v>
                </c:pt>
                <c:pt idx="20">
                  <c:v>4.1291965486528056E-5</c:v>
                </c:pt>
                <c:pt idx="21">
                  <c:v>2.4510148644090076E-5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C-4D86-AF58-D9C5F3DA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43960"/>
        <c:axId val="541242784"/>
      </c:scatterChart>
      <c:valAx>
        <c:axId val="541243960"/>
        <c:scaling>
          <c:logBase val="10"/>
          <c:orientation val="minMax"/>
          <c:max val="10"/>
          <c:min val="1.0000000000000005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Period (sec)</a:t>
                </a:r>
              </a:p>
            </c:rich>
          </c:tx>
          <c:layout>
            <c:manualLayout>
              <c:xMode val="edge"/>
              <c:yMode val="edge"/>
              <c:x val="0.48283763391056561"/>
              <c:y val="0.86177196532939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42784"/>
        <c:crossesAt val="1.0000000000000026E-3"/>
        <c:crossBetween val="midCat"/>
      </c:valAx>
      <c:valAx>
        <c:axId val="541242784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strRef>
              <c:f>"Pseudo Spectral Acceleration (5% damping) (g)"</c:f>
              <c:strCache>
                <c:ptCount val="1"/>
                <c:pt idx="0">
                  <c:v>Pseudo Spectral Acceleration (5% damping) (g)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200" b="1"/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43960"/>
        <c:crossesAt val="1.0000000000000026E-3"/>
        <c:crossBetween val="midCat"/>
      </c:valAx>
      <c:spPr>
        <a:solidFill>
          <a:schemeClr val="bg2">
            <a:lumMod val="9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226027056352512E-2"/>
          <c:y val="0.92582199294054135"/>
          <c:w val="0.91643110982808496"/>
          <c:h val="4.75161987041037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 cmpd="thickThin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22" r="0.750000000000006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197757</xdr:colOff>
      <xdr:row>12</xdr:row>
      <xdr:rowOff>8467</xdr:rowOff>
    </xdr:from>
    <xdr:to>
      <xdr:col>18</xdr:col>
      <xdr:colOff>37797</xdr:colOff>
      <xdr:row>35</xdr:row>
      <xdr:rowOff>135465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1862AA6-B209-46D6-BA6A-8CC462BC1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611415</xdr:colOff>
      <xdr:row>0</xdr:row>
      <xdr:rowOff>16933</xdr:rowOff>
    </xdr:from>
    <xdr:to>
      <xdr:col>18</xdr:col>
      <xdr:colOff>133047</xdr:colOff>
      <xdr:row>6</xdr:row>
      <xdr:rowOff>17187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8509D-BD76-4BA1-8D36-F905E52D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9748" y="16933"/>
          <a:ext cx="2501900" cy="1133094"/>
        </a:xfrm>
        <a:prstGeom prst="rect">
          <a:avLst/>
        </a:prstGeom>
      </xdr:spPr>
    </xdr:pic>
    <xdr:clientData/>
  </xdr:twoCellAnchor>
  <xdr:twoCellAnchor editAs="oneCell">
    <xdr:from>
      <xdr:col>0</xdr:col>
      <xdr:colOff>153492</xdr:colOff>
      <xdr:row>0</xdr:row>
      <xdr:rowOff>99059</xdr:rowOff>
    </xdr:from>
    <xdr:to>
      <xdr:col>2</xdr:col>
      <xdr:colOff>546192</xdr:colOff>
      <xdr:row>5</xdr:row>
      <xdr:rowOff>66221</xdr:rowOff>
    </xdr:to>
    <xdr:pic>
      <xdr:nvPicPr>
        <xdr:cNvPr id="4" name="image10.png">
          <a:extLst>
            <a:ext uri="{FF2B5EF4-FFF2-40B4-BE49-F238E27FC236}">
              <a16:creationId xmlns:a16="http://schemas.microsoft.com/office/drawing/2014/main" id="{17C18137-07DB-467D-809C-A5CC6E26E4AA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53492" y="99059"/>
          <a:ext cx="2595152" cy="853531"/>
        </a:xfrm>
        <a:prstGeom prst="rect">
          <a:avLst/>
        </a:prstGeom>
      </xdr:spPr>
    </xdr:pic>
    <xdr:clientData/>
  </xdr:twoCellAnchor>
  <xdr:twoCellAnchor editAs="oneCell">
    <xdr:from>
      <xdr:col>1</xdr:col>
      <xdr:colOff>746759</xdr:colOff>
      <xdr:row>42</xdr:row>
      <xdr:rowOff>7620</xdr:rowOff>
    </xdr:from>
    <xdr:to>
      <xdr:col>11</xdr:col>
      <xdr:colOff>285063</xdr:colOff>
      <xdr:row>54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724244-CAAC-4275-8CB6-0E5EC618A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79" y="9319260"/>
          <a:ext cx="7303085" cy="222504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77%2F87552930211027585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1619-0EC9-48FB-8AB7-0A33E904B394}">
  <dimension ref="A9:S42"/>
  <sheetViews>
    <sheetView tabSelected="1" view="pageBreakPreview" zoomScale="70" zoomScaleNormal="70" zoomScaleSheetLayoutView="70" workbookViewId="0">
      <selection activeCell="I14" sqref="I14"/>
    </sheetView>
  </sheetViews>
  <sheetFormatPr defaultColWidth="10.88671875" defaultRowHeight="14.4"/>
  <cols>
    <col min="1" max="1" width="21.21875" style="1" customWidth="1"/>
    <col min="2" max="4" width="10.88671875" style="1"/>
    <col min="5" max="5" width="12.5546875" style="1" customWidth="1"/>
    <col min="6" max="6" width="11.44140625" style="1" customWidth="1"/>
    <col min="7" max="7" width="11.109375" style="1" customWidth="1"/>
    <col min="8" max="8" width="11.5546875" style="1" customWidth="1"/>
    <col min="9" max="9" width="12" style="1" customWidth="1"/>
    <col min="10" max="16384" width="10.88671875" style="1"/>
  </cols>
  <sheetData>
    <row r="9" spans="1:19" ht="27.6">
      <c r="A9" s="65" t="s">
        <v>56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9" ht="27.6" customHeight="1">
      <c r="A10" s="66" t="s">
        <v>0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</row>
    <row r="11" spans="1:19" ht="21">
      <c r="B11" s="67" t="s">
        <v>1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9">
      <c r="R12" s="57" t="s">
        <v>61</v>
      </c>
    </row>
    <row r="13" spans="1:19">
      <c r="H13" s="80" t="s">
        <v>59</v>
      </c>
      <c r="I13" s="81"/>
      <c r="S13" s="2"/>
    </row>
    <row r="14" spans="1:19" ht="57.9" customHeight="1">
      <c r="A14" s="3" t="s">
        <v>2</v>
      </c>
      <c r="C14" s="4"/>
      <c r="D14" s="5" t="s">
        <v>3</v>
      </c>
      <c r="E14" s="6" t="s">
        <v>4</v>
      </c>
      <c r="F14" s="7" t="s">
        <v>38</v>
      </c>
      <c r="G14" s="7" t="s">
        <v>39</v>
      </c>
      <c r="H14" s="7" t="s">
        <v>40</v>
      </c>
      <c r="I14" s="7" t="s">
        <v>41</v>
      </c>
      <c r="J14" s="8"/>
      <c r="K14" s="8"/>
      <c r="L14" s="8"/>
      <c r="S14" s="9"/>
    </row>
    <row r="15" spans="1:19" ht="17.25" customHeight="1">
      <c r="A15" s="59" t="s">
        <v>55</v>
      </c>
      <c r="B15" s="10"/>
      <c r="C15" s="68" t="s">
        <v>5</v>
      </c>
      <c r="D15" s="11">
        <f>+Coefficients_Interface!A3</f>
        <v>0.01</v>
      </c>
      <c r="E15" s="12">
        <f>+IF($A$16="Interface",Coefficients_Interface!V3,'Coefficients_Intra-slab'!V3)</f>
        <v>3.9694869506311334E-2</v>
      </c>
      <c r="F15" s="12">
        <f>+IF($A$16="Interface",Coefficients_Interface!W3,'Coefficients_Intra-slab'!W3)</f>
        <v>8.7919636896513831E-2</v>
      </c>
      <c r="G15" s="12">
        <f>+IF($A$16="Interface",Coefficients_Interface!X3,'Coefficients_Intra-slab'!X3)</f>
        <v>1.7921851371812979E-2</v>
      </c>
      <c r="H15" s="12">
        <f>+IF($A$16="Interface",Coefficients_Interface!Y3,'Coefficients_Intra-slab'!Y3)</f>
        <v>7.0120973812982379E-2</v>
      </c>
      <c r="I15" s="12">
        <f>+IF($A$16="Interface",Coefficients_Interface!Z3,'Coefficients_Intra-slab'!Z3)</f>
        <v>2.2470918178140866E-2</v>
      </c>
      <c r="J15" s="13"/>
      <c r="K15" s="13"/>
      <c r="L15" s="13"/>
      <c r="S15" s="14"/>
    </row>
    <row r="16" spans="1:19" ht="15.6">
      <c r="A16" s="58" t="s">
        <v>57</v>
      </c>
      <c r="B16" s="15"/>
      <c r="C16" s="69"/>
      <c r="D16" s="11">
        <f>+Coefficients_Interface!A4</f>
        <v>0.02</v>
      </c>
      <c r="E16" s="12">
        <f>+IF($A$16="Interface",Coefficients_Interface!V4,'Coefficients_Intra-slab'!V4)</f>
        <v>4.1680042675871845E-2</v>
      </c>
      <c r="F16" s="12">
        <f>+IF($A$16="Interface",Coefficients_Interface!W4,'Coefficients_Intra-slab'!W4)</f>
        <v>9.1327926067934606E-2</v>
      </c>
      <c r="G16" s="12">
        <f>+IF($A$16="Interface",Coefficients_Interface!X4,'Coefficients_Intra-slab'!X4)</f>
        <v>1.9021848324577706E-2</v>
      </c>
      <c r="H16" s="12">
        <f>+IF($A$16="Interface",Coefficients_Interface!Y4,'Coefficients_Intra-slab'!Y4)</f>
        <v>7.4144984126360447E-2</v>
      </c>
      <c r="I16" s="12">
        <f>+IF($A$16="Interface",Coefficients_Interface!Z4,'Coefficients_Intra-slab'!Z4)</f>
        <v>2.3430121105722509E-2</v>
      </c>
      <c r="J16" s="13"/>
      <c r="K16" s="13"/>
      <c r="L16" s="13"/>
      <c r="S16" s="16"/>
    </row>
    <row r="17" spans="1:19" ht="15.6">
      <c r="A17" s="60"/>
      <c r="B17" s="15"/>
      <c r="C17" s="69"/>
      <c r="D17" s="11">
        <f>+Coefficients_Interface!A5</f>
        <v>0.03</v>
      </c>
      <c r="E17" s="12">
        <f>+IF($A$16="Interface",Coefficients_Interface!V5,'Coefficients_Intra-slab'!V5)</f>
        <v>4.3397602448896511E-2</v>
      </c>
      <c r="F17" s="12">
        <f>+IF($A$16="Interface",Coefficients_Interface!W5,'Coefficients_Intra-slab'!W5)</f>
        <v>9.5646147913285656E-2</v>
      </c>
      <c r="G17" s="12">
        <f>+IF($A$16="Interface",Coefficients_Interface!X5,'Coefficients_Intra-slab'!X5)</f>
        <v>1.9690828532059078E-2</v>
      </c>
      <c r="H17" s="12">
        <f>+IF($A$16="Interface",Coefficients_Interface!Y5,'Coefficients_Intra-slab'!Y5)</f>
        <v>7.7742664276562873E-2</v>
      </c>
      <c r="I17" s="12">
        <f>+IF($A$16="Interface",Coefficients_Interface!Z5,'Coefficients_Intra-slab'!Z5)</f>
        <v>2.4225461216669977E-2</v>
      </c>
      <c r="J17" s="13"/>
      <c r="K17" s="13"/>
      <c r="L17" s="13"/>
      <c r="S17" s="9"/>
    </row>
    <row r="18" spans="1:19" ht="18">
      <c r="A18" s="61" t="s">
        <v>62</v>
      </c>
      <c r="B18" s="15"/>
      <c r="C18" s="69"/>
      <c r="D18" s="11">
        <f>+Coefficients_Interface!A6</f>
        <v>0.05</v>
      </c>
      <c r="E18" s="12">
        <f>+IF($A$16="Interface",Coefficients_Interface!V6,'Coefficients_Intra-slab'!V6)</f>
        <v>5.4683289038615676E-2</v>
      </c>
      <c r="F18" s="12">
        <f>+IF($A$16="Interface",Coefficients_Interface!W6,'Coefficients_Intra-slab'!W6)</f>
        <v>0.12179306544465673</v>
      </c>
      <c r="G18" s="12">
        <f>+IF($A$16="Interface",Coefficients_Interface!X6,'Coefficients_Intra-slab'!X6)</f>
        <v>2.4551989796492747E-2</v>
      </c>
      <c r="H18" s="12">
        <f>+IF($A$16="Interface",Coefficients_Interface!Y6,'Coefficients_Intra-slab'!Y6)</f>
        <v>9.8254215994714622E-2</v>
      </c>
      <c r="I18" s="12">
        <f>+IF($A$16="Interface",Coefficients_Interface!Z6,'Coefficients_Intra-slab'!Z6)</f>
        <v>3.0433931712829914E-2</v>
      </c>
      <c r="J18" s="13"/>
      <c r="K18" s="13"/>
      <c r="L18" s="13"/>
    </row>
    <row r="19" spans="1:19" ht="15.6">
      <c r="A19" s="58">
        <v>6</v>
      </c>
      <c r="B19" s="15"/>
      <c r="C19" s="69"/>
      <c r="D19" s="11">
        <f>+Coefficients_Interface!A7</f>
        <v>7.4999999999999997E-2</v>
      </c>
      <c r="E19" s="12">
        <f>+IF($A$16="Interface",Coefficients_Interface!V7,'Coefficients_Intra-slab'!V7)</f>
        <v>7.3856615765429554E-2</v>
      </c>
      <c r="F19" s="12">
        <f>+IF($A$16="Interface",Coefficients_Interface!W7,'Coefficients_Intra-slab'!W7)</f>
        <v>0.17323588808285964</v>
      </c>
      <c r="G19" s="12">
        <f>+IF($A$16="Interface",Coefficients_Interface!X7,'Coefficients_Intra-slab'!X7)</f>
        <v>3.1487700110460003E-2</v>
      </c>
      <c r="H19" s="12">
        <f>+IF($A$16="Interface",Coefficients_Interface!Y7,'Coefficients_Intra-slab'!Y7)</f>
        <v>0.1382585646297716</v>
      </c>
      <c r="I19" s="12">
        <f>+IF($A$16="Interface",Coefficients_Interface!Z7,'Coefficients_Intra-slab'!Z7)</f>
        <v>3.9453611477373168E-2</v>
      </c>
      <c r="J19" s="13"/>
      <c r="K19" s="13"/>
      <c r="L19" s="13"/>
    </row>
    <row r="20" spans="1:19" ht="15.6">
      <c r="A20" s="60"/>
      <c r="B20" s="15"/>
      <c r="C20" s="69"/>
      <c r="D20" s="11">
        <f>+Coefficients_Interface!A8</f>
        <v>0.1</v>
      </c>
      <c r="E20" s="12">
        <f>+IF($A$16="Interface",Coefficients_Interface!V8,'Coefficients_Intra-slab'!V8)</f>
        <v>0.11200982281336741</v>
      </c>
      <c r="F20" s="12">
        <f>+IF($A$16="Interface",Coefficients_Interface!W8,'Coefficients_Intra-slab'!W8)</f>
        <v>0.27793045596551769</v>
      </c>
      <c r="G20" s="12">
        <f>+IF($A$16="Interface",Coefficients_Interface!X8,'Coefficients_Intra-slab'!X8)</f>
        <v>4.5141509817975996E-2</v>
      </c>
      <c r="H20" s="12">
        <f>+IF($A$16="Interface",Coefficients_Interface!Y8,'Coefficients_Intra-slab'!Y8)</f>
        <v>0.22691751267129825</v>
      </c>
      <c r="I20" s="12">
        <f>+IF($A$16="Interface",Coefficients_Interface!Z8,'Coefficients_Intra-slab'!Z8)</f>
        <v>5.5289696502428091E-2</v>
      </c>
      <c r="J20" s="13"/>
      <c r="K20" s="13"/>
      <c r="L20" s="13"/>
    </row>
    <row r="21" spans="1:19" ht="15.6">
      <c r="A21" s="59" t="str">
        <f>+IF($A$16="Interface","Rrup (km)","Rhypo (km)")</f>
        <v>Rhypo (km)</v>
      </c>
      <c r="B21" s="15"/>
      <c r="C21" s="69"/>
      <c r="D21" s="11">
        <f>+Coefficients_Interface!A9</f>
        <v>0.15</v>
      </c>
      <c r="E21" s="12">
        <f>+IF($A$16="Interface",Coefficients_Interface!V9,'Coefficients_Intra-slab'!V9)</f>
        <v>0.13155165350848733</v>
      </c>
      <c r="F21" s="12">
        <f>+IF($A$16="Interface",Coefficients_Interface!W9,'Coefficients_Intra-slab'!W9)</f>
        <v>0.33089238515631197</v>
      </c>
      <c r="G21" s="12">
        <f>+IF($A$16="Interface",Coefficients_Interface!X9,'Coefficients_Intra-slab'!X9)</f>
        <v>5.230050106061495E-2</v>
      </c>
      <c r="H21" s="12">
        <f>+IF($A$16="Interface",Coefficients_Interface!Y9,'Coefficients_Intra-slab'!Y9)</f>
        <v>0.26784262204214976</v>
      </c>
      <c r="I21" s="12">
        <f>+IF($A$16="Interface",Coefficients_Interface!Z9,'Coefficients_Intra-slab'!Z9)</f>
        <v>6.4611962834256173E-2</v>
      </c>
      <c r="J21" s="13"/>
      <c r="K21" s="17"/>
      <c r="L21" s="17"/>
      <c r="M21" s="18"/>
      <c r="N21" s="18"/>
      <c r="P21" s="18"/>
      <c r="Q21" s="18"/>
      <c r="R21" s="18"/>
      <c r="S21" s="18"/>
    </row>
    <row r="22" spans="1:19" ht="15.6">
      <c r="A22" s="58">
        <v>100</v>
      </c>
      <c r="B22" s="19"/>
      <c r="C22" s="69"/>
      <c r="D22" s="11">
        <f>+Coefficients_Interface!A10</f>
        <v>0.2</v>
      </c>
      <c r="E22" s="12">
        <f>+IF($A$16="Interface",Coefficients_Interface!V10,'Coefficients_Intra-slab'!V10)</f>
        <v>0.10134864311845268</v>
      </c>
      <c r="F22" s="12">
        <f>+IF($A$16="Interface",Coefficients_Interface!W10,'Coefficients_Intra-slab'!W10)</f>
        <v>0.24192588643175583</v>
      </c>
      <c r="G22" s="12">
        <f>+IF($A$16="Interface",Coefficients_Interface!X10,'Coefficients_Intra-slab'!X10)</f>
        <v>4.2457413770183521E-2</v>
      </c>
      <c r="H22" s="12">
        <f>+IF($A$16="Interface",Coefficients_Interface!Y10,'Coefficients_Intra-slab'!Y10)</f>
        <v>0.19746601325181404</v>
      </c>
      <c r="I22" s="12">
        <f>+IF($A$16="Interface",Coefficients_Interface!Z10,'Coefficients_Intra-slab'!Z10)</f>
        <v>5.2016786548746134E-2</v>
      </c>
      <c r="J22" s="13"/>
      <c r="K22" s="20"/>
      <c r="L22" s="20"/>
      <c r="M22" s="18"/>
      <c r="N22" s="18"/>
      <c r="O22" s="18"/>
      <c r="P22" s="18"/>
      <c r="Q22" s="18"/>
      <c r="R22" s="18"/>
      <c r="S22" s="18"/>
    </row>
    <row r="23" spans="1:19" ht="15.6">
      <c r="A23" s="60"/>
      <c r="B23" s="15"/>
      <c r="C23" s="69"/>
      <c r="D23" s="11">
        <f>+Coefficients_Interface!A11</f>
        <v>0.25</v>
      </c>
      <c r="E23" s="12">
        <f>+IF($A$16="Interface",Coefficients_Interface!V11,'Coefficients_Intra-slab'!V11)</f>
        <v>7.5650279951084601E-2</v>
      </c>
      <c r="F23" s="12">
        <f>+IF($A$16="Interface",Coefficients_Interface!W11,'Coefficients_Intra-slab'!W11)</f>
        <v>0.17783261326305774</v>
      </c>
      <c r="G23" s="12">
        <f>+IF($A$16="Interface",Coefficients_Interface!X11,'Coefficients_Intra-slab'!X11)</f>
        <v>3.2181750870476235E-2</v>
      </c>
      <c r="H23" s="12">
        <f>+IF($A$16="Interface",Coefficients_Interface!Y11,'Coefficients_Intra-slab'!Y11)</f>
        <v>0.14147473371715322</v>
      </c>
      <c r="I23" s="12">
        <f>+IF($A$16="Interface",Coefficients_Interface!Z11,'Coefficients_Intra-slab'!Z11)</f>
        <v>4.0452204477155952E-2</v>
      </c>
      <c r="J23" s="13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15.75" customHeight="1">
      <c r="A24" s="62" t="s">
        <v>6</v>
      </c>
      <c r="B24" s="15"/>
      <c r="C24" s="69"/>
      <c r="D24" s="11">
        <f>+Coefficients_Interface!A12</f>
        <v>0.3</v>
      </c>
      <c r="E24" s="12">
        <f>+IF($A$16="Interface",Coefficients_Interface!V12,'Coefficients_Intra-slab'!V12)</f>
        <v>5.9594531058783984E-2</v>
      </c>
      <c r="F24" s="12">
        <f>+IF($A$16="Interface",Coefficients_Interface!W12,'Coefficients_Intra-slab'!W12)</f>
        <v>0.13449408173996011</v>
      </c>
      <c r="G24" s="12">
        <f>+IF($A$16="Interface",Coefficients_Interface!X12,'Coefficients_Intra-slab'!X12)</f>
        <v>2.6406426856633691E-2</v>
      </c>
      <c r="H24" s="12">
        <f>+IF($A$16="Interface",Coefficients_Interface!Y12,'Coefficients_Intra-slab'!Y12)</f>
        <v>0.11245619961777581</v>
      </c>
      <c r="I24" s="12">
        <f>+IF($A$16="Interface",Coefficients_Interface!Z12,'Coefficients_Intra-slab'!Z12)</f>
        <v>3.1581256917693194E-2</v>
      </c>
      <c r="J24" s="13"/>
      <c r="K24" s="18"/>
      <c r="L24" s="18"/>
      <c r="M24" s="18"/>
      <c r="N24" s="18"/>
      <c r="O24" s="8" t="str">
        <f>"Pseudo Spectral Acceleration ("  &amp;$C$17 &amp; "% damping) (g)"</f>
        <v>Pseudo Spectral Acceleration (% damping) (g)</v>
      </c>
      <c r="P24" s="18"/>
      <c r="Q24" s="18"/>
      <c r="R24" s="18"/>
      <c r="S24" s="18"/>
    </row>
    <row r="25" spans="1:19" ht="15.6">
      <c r="A25" s="58">
        <v>2</v>
      </c>
      <c r="B25" s="15"/>
      <c r="C25" s="69"/>
      <c r="D25" s="11">
        <f>+Coefficients_Interface!A13</f>
        <v>0.4</v>
      </c>
      <c r="E25" s="12">
        <f>+IF($A$16="Interface",Coefficients_Interface!V13,'Coefficients_Intra-slab'!V13)</f>
        <v>4.2935647826084701E-2</v>
      </c>
      <c r="F25" s="12">
        <f>+IF($A$16="Interface",Coefficients_Interface!W13,'Coefficients_Intra-slab'!W13)</f>
        <v>8.7442879959955672E-2</v>
      </c>
      <c r="G25" s="12">
        <f>+IF($A$16="Interface",Coefficients_Interface!X13,'Coefficients_Intra-slab'!X13)</f>
        <v>2.1081989237886331E-2</v>
      </c>
      <c r="H25" s="12">
        <f>+IF($A$16="Interface",Coefficients_Interface!Y13,'Coefficients_Intra-slab'!Y13)</f>
        <v>7.2799015556944235E-2</v>
      </c>
      <c r="I25" s="12">
        <f>+IF($A$16="Interface",Coefficients_Interface!Z13,'Coefficients_Intra-slab'!Z13)</f>
        <v>2.5322730536151115E-2</v>
      </c>
      <c r="J25" s="13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15.6">
      <c r="A26" s="60"/>
      <c r="B26" s="15"/>
      <c r="C26" s="69"/>
      <c r="D26" s="11">
        <f>+Coefficients_Interface!A14</f>
        <v>0.5</v>
      </c>
      <c r="E26" s="12">
        <f>+IF($A$16="Interface",Coefficients_Interface!V14,'Coefficients_Intra-slab'!V14)</f>
        <v>2.8319106910696782E-2</v>
      </c>
      <c r="F26" s="12">
        <f>+IF($A$16="Interface",Coefficients_Interface!W14,'Coefficients_Intra-slab'!W14)</f>
        <v>6.1578934687821704E-2</v>
      </c>
      <c r="G26" s="12">
        <f>+IF($A$16="Interface",Coefficients_Interface!X14,'Coefficients_Intra-slab'!X14)</f>
        <v>1.3023476620456671E-2</v>
      </c>
      <c r="H26" s="12">
        <f>+IF($A$16="Interface",Coefficients_Interface!Y14,'Coefficients_Intra-slab'!Y14)</f>
        <v>4.9577481701502134E-2</v>
      </c>
      <c r="I26" s="12">
        <f>+IF($A$16="Interface",Coefficients_Interface!Z14,'Coefficients_Intra-slab'!Z14)</f>
        <v>1.6176130547493613E-2</v>
      </c>
      <c r="J26" s="13"/>
      <c r="K26" s="18"/>
      <c r="L26" s="18"/>
      <c r="M26" s="18"/>
      <c r="N26" s="18"/>
      <c r="O26" s="18"/>
      <c r="P26" s="18"/>
      <c r="Q26" s="18"/>
      <c r="R26" s="18"/>
      <c r="S26" s="18"/>
    </row>
    <row r="27" spans="1:19" ht="15.6">
      <c r="A27" s="59" t="s">
        <v>7</v>
      </c>
      <c r="B27" s="21"/>
      <c r="C27" s="69"/>
      <c r="D27" s="11">
        <f>+Coefficients_Interface!A15</f>
        <v>0.75</v>
      </c>
      <c r="E27" s="12">
        <f>+IF($A$16="Interface",Coefficients_Interface!V15,'Coefficients_Intra-slab'!V15)</f>
        <v>1.2478764596418107E-2</v>
      </c>
      <c r="F27" s="12">
        <f>+IF($A$16="Interface",Coefficients_Interface!W15,'Coefficients_Intra-slab'!W15)</f>
        <v>2.9903916693221722E-2</v>
      </c>
      <c r="G27" s="12">
        <f>+IF($A$16="Interface",Coefficients_Interface!X15,'Coefficients_Intra-slab'!X15)</f>
        <v>5.2073301116477063E-3</v>
      </c>
      <c r="H27" s="12">
        <f>+IF($A$16="Interface",Coefficients_Interface!Y15,'Coefficients_Intra-slab'!Y15)</f>
        <v>2.113706992272902E-2</v>
      </c>
      <c r="I27" s="12">
        <f>+IF($A$16="Interface",Coefficients_Interface!Z15,'Coefficients_Intra-slab'!Z15)</f>
        <v>7.3671311313291497E-3</v>
      </c>
      <c r="J27" s="13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15.6">
      <c r="A28" s="63">
        <v>3.29</v>
      </c>
      <c r="B28" s="15"/>
      <c r="C28" s="69"/>
      <c r="D28" s="11">
        <f>+Coefficients_Interface!A16</f>
        <v>1</v>
      </c>
      <c r="E28" s="12">
        <f>+IF($A$16="Interface",Coefficients_Interface!V16,'Coefficients_Intra-slab'!V16)</f>
        <v>7.3447954628177489E-3</v>
      </c>
      <c r="F28" s="12">
        <f>+IF($A$16="Interface",Coefficients_Interface!W16,'Coefficients_Intra-slab'!W16)</f>
        <v>1.6944270597438842E-2</v>
      </c>
      <c r="G28" s="12">
        <f>+IF($A$16="Interface",Coefficients_Interface!X16,'Coefficients_Intra-slab'!X16)</f>
        <v>3.1837322285671148E-3</v>
      </c>
      <c r="H28" s="12">
        <f>+IF($A$16="Interface",Coefficients_Interface!Y16,'Coefficients_Intra-slab'!Y16)</f>
        <v>1.2037080921518024E-2</v>
      </c>
      <c r="I28" s="12">
        <f>+IF($A$16="Interface",Coefficients_Interface!Z16,'Coefficients_Intra-slab'!Z16)</f>
        <v>4.481653047143006E-3</v>
      </c>
      <c r="J28" s="13"/>
      <c r="K28" s="18"/>
      <c r="L28" s="18"/>
      <c r="M28" s="18"/>
      <c r="N28" s="18"/>
      <c r="O28" s="18"/>
      <c r="P28" s="18"/>
      <c r="Q28" s="18"/>
      <c r="R28" s="18"/>
      <c r="S28" s="18"/>
    </row>
    <row r="29" spans="1:19" ht="15.6">
      <c r="A29" s="60"/>
      <c r="B29" s="15"/>
      <c r="C29" s="69"/>
      <c r="D29" s="11">
        <f>+Coefficients_Interface!A17</f>
        <v>1.5</v>
      </c>
      <c r="E29" s="12">
        <f>+IF($A$16="Interface",Coefficients_Interface!V17,'Coefficients_Intra-slab'!V17)</f>
        <v>3.1729979663138782E-3</v>
      </c>
      <c r="F29" s="12">
        <f>+IF($A$16="Interface",Coefficients_Interface!W17,'Coefficients_Intra-slab'!W17)</f>
        <v>6.628682920524237E-3</v>
      </c>
      <c r="G29" s="12">
        <f>+IF($A$16="Interface",Coefficients_Interface!X17,'Coefficients_Intra-slab'!X17)</f>
        <v>1.5188411053814251E-3</v>
      </c>
      <c r="H29" s="12">
        <f>+IF($A$16="Interface",Coefficients_Interface!Y17,'Coefficients_Intra-slab'!Y17)</f>
        <v>5.2734082046233212E-3</v>
      </c>
      <c r="I29" s="12">
        <f>+IF($A$16="Interface",Coefficients_Interface!Z17,'Coefficients_Intra-slab'!Z17)</f>
        <v>1.9091858061367651E-3</v>
      </c>
      <c r="J29" s="13"/>
      <c r="K29" s="18"/>
      <c r="L29" s="18"/>
      <c r="M29" s="18"/>
      <c r="N29" s="18"/>
      <c r="O29" s="18"/>
      <c r="P29" s="18"/>
      <c r="Q29" s="18"/>
      <c r="R29" s="18"/>
      <c r="S29" s="18"/>
    </row>
    <row r="30" spans="1:19" ht="15.6">
      <c r="A30" s="59" t="s">
        <v>58</v>
      </c>
      <c r="C30" s="69"/>
      <c r="D30" s="11">
        <f>+Coefficients_Interface!A18</f>
        <v>2</v>
      </c>
      <c r="E30" s="12">
        <f>+IF($A$16="Interface",Coefficients_Interface!V18,'Coefficients_Intra-slab'!V18)</f>
        <v>1.5600586275181802E-3</v>
      </c>
      <c r="F30" s="12">
        <f>+IF($A$16="Interface",Coefficients_Interface!W18,'Coefficients_Intra-slab'!W18)</f>
        <v>3.1253706300779951E-3</v>
      </c>
      <c r="G30" s="12">
        <f>+IF($A$16="Interface",Coefficients_Interface!X18,'Coefficients_Intra-slab'!X18)</f>
        <v>7.7871817757280571E-4</v>
      </c>
      <c r="H30" s="12">
        <f>+IF($A$16="Interface",Coefficients_Interface!Y18,'Coefficients_Intra-slab'!Y18)</f>
        <v>2.6031529991668613E-3</v>
      </c>
      <c r="I30" s="12">
        <f>+IF($A$16="Interface",Coefficients_Interface!Z18,'Coefficients_Intra-slab'!Z18)</f>
        <v>9.3493656426373712E-4</v>
      </c>
      <c r="J30" s="13"/>
      <c r="K30" s="18"/>
      <c r="L30" s="18"/>
      <c r="M30" s="18"/>
      <c r="N30" s="18"/>
      <c r="O30" s="18"/>
      <c r="P30" s="18"/>
      <c r="Q30" s="18"/>
      <c r="R30" s="18"/>
      <c r="S30" s="18"/>
    </row>
    <row r="31" spans="1:19" ht="15.6">
      <c r="A31" s="63">
        <v>0</v>
      </c>
      <c r="B31" s="22"/>
      <c r="C31" s="69"/>
      <c r="D31" s="11">
        <f>+Coefficients_Interface!A19</f>
        <v>3</v>
      </c>
      <c r="E31" s="12">
        <f>+IF($A$16="Interface",Coefficients_Interface!V19,'Coefficients_Intra-slab'!V19)</f>
        <v>6.1454448581216249E-4</v>
      </c>
      <c r="F31" s="12">
        <f>+IF($A$16="Interface",Coefficients_Interface!W19,'Coefficients_Intra-slab'!W19)</f>
        <v>1.2346512811687053E-3</v>
      </c>
      <c r="G31" s="12">
        <f>+IF($A$16="Interface",Coefficients_Interface!X19,'Coefficients_Intra-slab'!X19)</f>
        <v>3.0588793030258905E-4</v>
      </c>
      <c r="H31" s="12">
        <f>+IF($A$16="Interface",Coefficients_Interface!Y19,'Coefficients_Intra-slab'!Y19)</f>
        <v>9.832676087732084E-4</v>
      </c>
      <c r="I31" s="12">
        <f>+IF($A$16="Interface",Coefficients_Interface!Z19,'Coefficients_Intra-slab'!Z19)</f>
        <v>3.8409169759322757E-4</v>
      </c>
      <c r="J31" s="13"/>
      <c r="K31" s="18"/>
      <c r="L31" s="18"/>
      <c r="M31" s="18"/>
      <c r="N31" s="18"/>
      <c r="O31" s="18"/>
      <c r="P31" s="18"/>
      <c r="Q31" s="18"/>
      <c r="R31" s="18"/>
      <c r="S31" s="18"/>
    </row>
    <row r="32" spans="1:19" ht="15.6">
      <c r="A32" s="60"/>
      <c r="B32" s="23"/>
      <c r="C32" s="69"/>
      <c r="D32" s="11">
        <f>+Coefficients_Interface!A20</f>
        <v>4</v>
      </c>
      <c r="E32" s="12">
        <f>+IF($A$16="Interface",Coefficients_Interface!V20,'Coefficients_Intra-slab'!V20)</f>
        <v>3.2960050160574261E-4</v>
      </c>
      <c r="F32" s="12">
        <f>+IF($A$16="Interface",Coefficients_Interface!W20,'Coefficients_Intra-slab'!W20)</f>
        <v>6.5203790164414515E-4</v>
      </c>
      <c r="G32" s="12">
        <f>+IF($A$16="Interface",Coefficients_Interface!X20,'Coefficients_Intra-slab'!X20)</f>
        <v>1.6661069914007293E-4</v>
      </c>
      <c r="H32" s="12">
        <f>+IF($A$16="Interface",Coefficients_Interface!Y20,'Coefficients_Intra-slab'!Y20)</f>
        <v>4.9764218755557791E-4</v>
      </c>
      <c r="I32" s="12">
        <f>+IF($A$16="Interface",Coefficients_Interface!Z20,'Coefficients_Intra-slab'!Z20)</f>
        <v>2.1830241361243984E-4</v>
      </c>
      <c r="J32" s="13"/>
      <c r="K32" s="18"/>
      <c r="L32" s="18"/>
      <c r="M32" s="18"/>
      <c r="N32" s="18"/>
      <c r="O32" s="18"/>
      <c r="P32" s="18"/>
      <c r="Q32" s="18"/>
      <c r="R32" s="18"/>
      <c r="S32" s="18"/>
    </row>
    <row r="33" spans="1:19" ht="15">
      <c r="A33" s="64" t="s">
        <v>37</v>
      </c>
      <c r="B33" s="21"/>
      <c r="C33" s="69"/>
      <c r="D33" s="11">
        <f>+Coefficients_Interface!A21</f>
        <v>5</v>
      </c>
      <c r="E33" s="12">
        <f>+IF($A$16="Interface",Coefficients_Interface!V21,'Coefficients_Intra-slab'!V21)</f>
        <v>2.0661999224657265E-4</v>
      </c>
      <c r="F33" s="12">
        <f>+IF($A$16="Interface",Coefficients_Interface!W21,'Coefficients_Intra-slab'!W21)</f>
        <v>4.2091682683387043E-4</v>
      </c>
      <c r="G33" s="12">
        <f>+IF($A$16="Interface",Coefficients_Interface!X21,'Coefficients_Intra-slab'!X21)</f>
        <v>1.0142578883600577E-4</v>
      </c>
      <c r="H33" s="12">
        <f>+IF($A$16="Interface",Coefficients_Interface!Y21,'Coefficients_Intra-slab'!Y21)</f>
        <v>3.279566122458815E-4</v>
      </c>
      <c r="I33" s="12">
        <f>+IF($A$16="Interface",Coefficients_Interface!Z21,'Coefficients_Intra-slab'!Z21)</f>
        <v>1.3017521099396547E-4</v>
      </c>
      <c r="J33" s="13"/>
      <c r="K33" s="18"/>
      <c r="L33" s="18"/>
      <c r="M33" s="18"/>
      <c r="N33" s="18"/>
      <c r="O33" s="18"/>
      <c r="P33" s="18"/>
      <c r="Q33" s="18"/>
      <c r="R33" s="18"/>
      <c r="S33" s="18"/>
    </row>
    <row r="34" spans="1:19" ht="15.6">
      <c r="A34" s="63">
        <v>1</v>
      </c>
      <c r="B34" s="15"/>
      <c r="C34" s="69"/>
      <c r="D34" s="11">
        <f>+Coefficients_Interface!A22</f>
        <v>6</v>
      </c>
      <c r="E34" s="12">
        <f>+IF($A$16="Interface",Coefficients_Interface!V22,'Coefficients_Intra-slab'!V22)</f>
        <v>1.445869880562902E-4</v>
      </c>
      <c r="F34" s="12">
        <f>+IF($A$16="Interface",Coefficients_Interface!W22,'Coefficients_Intra-slab'!W22)</f>
        <v>3.0873113981146603E-4</v>
      </c>
      <c r="G34" s="12">
        <f>+IF($A$16="Interface",Coefficients_Interface!X22,'Coefficients_Intra-slab'!X22)</f>
        <v>6.7713924575137392E-5</v>
      </c>
      <c r="H34" s="12">
        <f>+IF($A$16="Interface",Coefficients_Interface!Y22,'Coefficients_Intra-slab'!Y22)</f>
        <v>2.3862214554910778E-4</v>
      </c>
      <c r="I34" s="12">
        <f>+IF($A$16="Interface",Coefficients_Interface!Z22,'Coefficients_Intra-slab'!Z22)</f>
        <v>8.7608788644000913E-5</v>
      </c>
      <c r="J34" s="13"/>
      <c r="K34" s="18"/>
      <c r="L34" s="18"/>
      <c r="M34" s="18"/>
      <c r="N34" s="18"/>
      <c r="O34" s="18"/>
      <c r="P34" s="18"/>
      <c r="Q34" s="18"/>
      <c r="R34" s="18"/>
      <c r="S34" s="18"/>
    </row>
    <row r="35" spans="1:19">
      <c r="A35" s="24"/>
      <c r="B35" s="15"/>
      <c r="C35" s="69"/>
      <c r="D35" s="11">
        <f>+Coefficients_Interface!A23</f>
        <v>7.5</v>
      </c>
      <c r="E35" s="12">
        <f>+IF($A$16="Interface",Coefficients_Interface!V23,'Coefficients_Intra-slab'!V23)</f>
        <v>9.3119286322963928E-5</v>
      </c>
      <c r="F35" s="12">
        <f>+IF($A$16="Interface",Coefficients_Interface!W23,'Coefficients_Intra-slab'!W23)</f>
        <v>2.0999730536264274E-4</v>
      </c>
      <c r="G35" s="12">
        <f>+IF($A$16="Interface",Coefficients_Interface!X23,'Coefficients_Intra-slab'!X23)</f>
        <v>4.1291965486528056E-5</v>
      </c>
      <c r="H35" s="12">
        <f>+IF($A$16="Interface",Coefficients_Interface!Y23,'Coefficients_Intra-slab'!Y23)</f>
        <v>1.5647266338964603E-4</v>
      </c>
      <c r="I35" s="12">
        <f>+IF($A$16="Interface",Coefficients_Interface!Z23,'Coefficients_Intra-slab'!Z23)</f>
        <v>5.5416718150347023E-5</v>
      </c>
      <c r="J35" s="13"/>
      <c r="K35" s="18"/>
      <c r="L35" s="18"/>
      <c r="M35" s="18"/>
      <c r="N35" s="18"/>
      <c r="O35" s="18"/>
      <c r="P35" s="18"/>
      <c r="Q35" s="18"/>
      <c r="R35" s="18"/>
      <c r="S35" s="18"/>
    </row>
    <row r="36" spans="1:19">
      <c r="C36" s="70"/>
      <c r="D36" s="11">
        <f>+Coefficients_Interface!A24</f>
        <v>10</v>
      </c>
      <c r="E36" s="12">
        <f>+IF($A$16="Interface",Coefficients_Interface!V24,'Coefficients_Intra-slab'!V24)</f>
        <v>5.7047332609063689E-5</v>
      </c>
      <c r="F36" s="12">
        <f>+IF($A$16="Interface",Coefficients_Interface!W24,'Coefficients_Intra-slab'!W24)</f>
        <v>1.3277757736462553E-4</v>
      </c>
      <c r="G36" s="12">
        <f>+IF($A$16="Interface",Coefficients_Interface!X24,'Coefficients_Intra-slab'!X24)</f>
        <v>2.4510148644090076E-5</v>
      </c>
      <c r="H36" s="12">
        <f>+IF($A$16="Interface",Coefficients_Interface!Y24,'Coefficients_Intra-slab'!Y24)</f>
        <v>9.8285972877558718E-5</v>
      </c>
      <c r="I36" s="12">
        <f>+IF($A$16="Interface",Coefficients_Interface!Z24,'Coefficients_Intra-slab'!Z24)</f>
        <v>3.3111522046623671E-5</v>
      </c>
      <c r="K36" s="18"/>
      <c r="L36" s="18"/>
      <c r="M36" s="18"/>
      <c r="N36" s="18"/>
      <c r="O36" s="18"/>
      <c r="P36" s="18"/>
      <c r="Q36" s="18"/>
      <c r="R36" s="18"/>
      <c r="S36" s="18"/>
    </row>
    <row r="37" spans="1:19" ht="15" thickBot="1">
      <c r="K37" s="18"/>
      <c r="L37" s="18"/>
      <c r="M37" s="18"/>
      <c r="N37" s="18"/>
      <c r="O37" s="18"/>
      <c r="P37" s="18"/>
      <c r="Q37" s="18"/>
      <c r="R37" s="18"/>
      <c r="S37" s="18"/>
    </row>
    <row r="38" spans="1:19" ht="22.35" customHeight="1">
      <c r="C38" s="71" t="s">
        <v>60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3"/>
      <c r="S38" s="18"/>
    </row>
    <row r="39" spans="1:19">
      <c r="C39" s="74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6"/>
      <c r="S39" s="18"/>
    </row>
    <row r="40" spans="1:19">
      <c r="C40" s="7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6"/>
      <c r="S40" s="18"/>
    </row>
    <row r="41" spans="1:19" ht="81.599999999999994" customHeight="1" thickBot="1">
      <c r="C41" s="77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9"/>
      <c r="S41" s="18"/>
    </row>
    <row r="42" spans="1:19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8"/>
    </row>
  </sheetData>
  <sheetProtection algorithmName="SHA-512" hashValue="973kosWQAC5W/F/MmLUEKlZqVDoUKGNtGaOXAzgKQJHfETYSfFaZoPUzcQoNYIbhn8ktQ9CHTHAbB5IKJy7/qQ==" saltValue="yaq3z5NcsGoG1qR+cpNayw==" spinCount="100000" sheet="1" objects="1" scenarios="1"/>
  <protectedRanges>
    <protectedRange algorithmName="SHA-512" hashValue="XcaR/Lf9Ecb1DzeP+lk+cgrEj+LEK2O7XXr64OrEgGQSyuhpafsPugDIzeYX67+SSe04Y0YQQaXY8v5VSd/SdA==" saltValue="522fcX5rTUrzVXT1A+DbRw==" spinCount="100000" sqref="J12:S36" name="Figure"/>
    <protectedRange algorithmName="SHA-512" hashValue="c3vGe6VYSg0DuKvEBfZUyf5mJVZUj4OQ1Jv52hzEd+PCRB12YYW+mYae1mxlRumw16ROJJgsmVQsaIIN41N1Pg==" saltValue="puvqrrsZ9v/rwqu6s+oFzQ==" spinCount="100000" sqref="D14:I36" name="Spectra"/>
  </protectedRanges>
  <mergeCells count="6">
    <mergeCell ref="A9:R9"/>
    <mergeCell ref="A10:R10"/>
    <mergeCell ref="B11:Q11"/>
    <mergeCell ref="C15:C36"/>
    <mergeCell ref="C38:R41"/>
    <mergeCell ref="H13:I13"/>
  </mergeCells>
  <conditionalFormatting sqref="B16 B19 B22">
    <cfRule type="containsText" dxfId="0" priority="1" operator="containsText" text="! Not Applicable !">
      <formula>NOT(ISERROR(SEARCH("! Not Applicable !",B16)))</formula>
    </cfRule>
  </conditionalFormatting>
  <dataValidations count="1">
    <dataValidation type="list" allowBlank="1" showInputMessage="1" showErrorMessage="1" sqref="A16" xr:uid="{25568227-BE28-4B19-BC66-A1761DD0C90D}">
      <formula1>"Interface, Intra-slab"</formula1>
    </dataValidation>
  </dataValidations>
  <hyperlinks>
    <hyperlink ref="B11" r:id="rId1" display="https://doi.org/10.1177%2F87552930211027585" xr:uid="{AD050A54-C45F-41D1-AECC-E9E0DE613B21}"/>
  </hyperlinks>
  <pageMargins left="0.7" right="0.7" top="0.75" bottom="0.75" header="0.3" footer="0.3"/>
  <pageSetup paperSize="9" scale="40" orientation="portrait" horizontalDpi="1200" verticalDpi="12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CAB8-6B34-4DC6-A27E-3F5D21A5DC4F}">
  <dimension ref="A1:Z24"/>
  <sheetViews>
    <sheetView workbookViewId="0">
      <selection activeCell="D9" sqref="D9:F18"/>
    </sheetView>
  </sheetViews>
  <sheetFormatPr defaultColWidth="9.109375" defaultRowHeight="15.6"/>
  <cols>
    <col min="1" max="8" width="10.6640625" style="26" customWidth="1"/>
    <col min="9" max="9" width="14.109375" style="26" bestFit="1" customWidth="1"/>
    <col min="10" max="13" width="10.6640625" style="26" customWidth="1"/>
    <col min="14" max="14" width="19.109375" style="26" bestFit="1" customWidth="1"/>
    <col min="15" max="15" width="10.88671875" style="26" bestFit="1" customWidth="1"/>
    <col min="16" max="16" width="11.88671875" style="26" bestFit="1" customWidth="1"/>
    <col min="17" max="17" width="14.88671875" style="26" bestFit="1" customWidth="1"/>
    <col min="18" max="18" width="15.88671875" style="26" bestFit="1" customWidth="1"/>
    <col min="19" max="19" width="10.109375" style="26" bestFit="1" customWidth="1"/>
    <col min="20" max="20" width="8.6640625" style="26" customWidth="1"/>
    <col min="21" max="21" width="8.33203125" style="26" bestFit="1" customWidth="1"/>
    <col min="22" max="22" width="13.33203125" style="26" bestFit="1" customWidth="1"/>
    <col min="23" max="23" width="18.88671875" style="26" bestFit="1" customWidth="1"/>
    <col min="24" max="24" width="18.33203125" style="26" bestFit="1" customWidth="1"/>
    <col min="25" max="25" width="20.88671875" style="26" bestFit="1" customWidth="1"/>
    <col min="26" max="26" width="20.33203125" style="26" bestFit="1" customWidth="1"/>
    <col min="27" max="16384" width="9.109375" style="26"/>
  </cols>
  <sheetData>
    <row r="1" spans="1:26" ht="18.600000000000001" thickBot="1">
      <c r="A1" s="44" t="s">
        <v>8</v>
      </c>
      <c r="B1" s="52">
        <f>+MAIN!A19</f>
        <v>6</v>
      </c>
      <c r="C1" s="45" t="s">
        <v>9</v>
      </c>
      <c r="D1" s="52">
        <f>+MAIN!A22</f>
        <v>100</v>
      </c>
      <c r="E1" s="45"/>
      <c r="F1" s="45" t="s">
        <v>47</v>
      </c>
      <c r="G1" s="52">
        <f>+MAIN!A31</f>
        <v>0</v>
      </c>
      <c r="I1" s="45" t="s">
        <v>10</v>
      </c>
      <c r="J1" s="52">
        <f>+MAIN!A25</f>
        <v>2</v>
      </c>
      <c r="K1" s="45" t="s">
        <v>7</v>
      </c>
      <c r="L1" s="52">
        <f>+MAIN!A28</f>
        <v>3.29</v>
      </c>
      <c r="M1" s="46"/>
      <c r="N1" s="44" t="s">
        <v>11</v>
      </c>
      <c r="O1" s="45"/>
      <c r="P1" s="45"/>
      <c r="Q1" s="45"/>
      <c r="R1" s="45"/>
      <c r="S1" s="45"/>
      <c r="T1" s="45"/>
      <c r="U1" s="46"/>
      <c r="V1" s="47" t="s">
        <v>37</v>
      </c>
      <c r="W1" s="52">
        <f>+MAIN!A34</f>
        <v>1</v>
      </c>
      <c r="X1" s="45"/>
      <c r="Y1" s="45"/>
      <c r="Z1" s="46"/>
    </row>
    <row r="2" spans="1:26" ht="18.600000000000001" thickBot="1">
      <c r="A2" s="48" t="s">
        <v>12</v>
      </c>
      <c r="B2" s="49" t="s">
        <v>22</v>
      </c>
      <c r="C2" s="49" t="s">
        <v>23</v>
      </c>
      <c r="D2" s="49" t="s">
        <v>24</v>
      </c>
      <c r="E2" s="49" t="s">
        <v>25</v>
      </c>
      <c r="F2" s="49" t="s">
        <v>26</v>
      </c>
      <c r="G2" s="49" t="s">
        <v>46</v>
      </c>
      <c r="H2" s="50" t="s">
        <v>13</v>
      </c>
      <c r="I2" s="50" t="s">
        <v>14</v>
      </c>
      <c r="J2" s="50" t="s">
        <v>15</v>
      </c>
      <c r="K2" s="50" t="s">
        <v>16</v>
      </c>
      <c r="L2" s="50" t="s">
        <v>17</v>
      </c>
      <c r="M2" s="51" t="s">
        <v>18</v>
      </c>
      <c r="N2" s="48" t="s">
        <v>21</v>
      </c>
      <c r="O2" s="50" t="s">
        <v>42</v>
      </c>
      <c r="P2" s="50" t="s">
        <v>43</v>
      </c>
      <c r="Q2" s="50" t="s">
        <v>44</v>
      </c>
      <c r="R2" s="50" t="s">
        <v>45</v>
      </c>
      <c r="S2" s="53" t="s">
        <v>48</v>
      </c>
      <c r="T2" s="50" t="s">
        <v>49</v>
      </c>
      <c r="U2" s="51" t="s">
        <v>19</v>
      </c>
      <c r="V2" s="48" t="s">
        <v>20</v>
      </c>
      <c r="W2" s="50" t="s">
        <v>50</v>
      </c>
      <c r="X2" s="50" t="s">
        <v>51</v>
      </c>
      <c r="Y2" s="50" t="s">
        <v>52</v>
      </c>
      <c r="Z2" s="51" t="s">
        <v>53</v>
      </c>
    </row>
    <row r="3" spans="1:26">
      <c r="A3" s="33">
        <v>0.01</v>
      </c>
      <c r="B3" s="34">
        <v>4.3289999999999997</v>
      </c>
      <c r="C3" s="34">
        <v>0.73</v>
      </c>
      <c r="D3" s="34">
        <v>-2.1000000000000001E-2</v>
      </c>
      <c r="E3" s="34">
        <v>-1.45</v>
      </c>
      <c r="F3" s="34">
        <v>-6.0000000000000001E-3</v>
      </c>
      <c r="G3" s="34">
        <v>0</v>
      </c>
      <c r="H3" s="34">
        <v>0</v>
      </c>
      <c r="I3" s="39">
        <v>0.74</v>
      </c>
      <c r="J3" s="39">
        <v>0.96599999999999997</v>
      </c>
      <c r="K3" s="39">
        <v>0.95899999999999996</v>
      </c>
      <c r="L3" s="39">
        <v>0.98599999999999999</v>
      </c>
      <c r="M3" s="55">
        <v>8.1999999999999993</v>
      </c>
      <c r="N3" s="38">
        <f>+B3</f>
        <v>4.3289999999999997</v>
      </c>
      <c r="O3" s="39">
        <f t="shared" ref="O3:O24" si="0">+IF($B$1&gt;M3,0,C3*($B$1-M3))</f>
        <v>-1.6059999999999994</v>
      </c>
      <c r="P3" s="39">
        <f t="shared" ref="P3:P24" si="1">+D3*(10-$B$1)^2</f>
        <v>-0.33600000000000002</v>
      </c>
      <c r="Q3" s="39">
        <f t="shared" ref="Q3:Q24" si="2">+(E3+0.1*($B$1-7))*LN($D$1+10*EXP(0.4*($B$1-6)))</f>
        <v>-7.2857445669782459</v>
      </c>
      <c r="R3" s="39">
        <f t="shared" ref="R3:R24" si="3">+F3*$D$1</f>
        <v>-0.6</v>
      </c>
      <c r="S3" s="39">
        <f>+G3*$G$1</f>
        <v>0</v>
      </c>
      <c r="T3" s="39">
        <f t="shared" ref="T3:T24" si="4">+LN($L$1)*IF($J$1=1,H3,IF($J$1=2,I3,IF($J$1=3,J3,IF($J$1=4,K3,L3))))</f>
        <v>0.88125679793518763</v>
      </c>
      <c r="U3" s="40">
        <f>+SUM(N3:T3)</f>
        <v>-4.6174877690430574</v>
      </c>
      <c r="V3" s="38">
        <f>+EXP(U3)</f>
        <v>9.8775796785152085E-3</v>
      </c>
      <c r="W3" s="39">
        <f>V3*EXP($W$1*Sigma_Interface!K3)</f>
        <v>2.3230709461958973E-2</v>
      </c>
      <c r="X3" s="39">
        <f>V3*EXP(-$W$1*Sigma_Interface!K3)</f>
        <v>4.1998967128053059E-3</v>
      </c>
      <c r="Y3" s="39">
        <f>V3*EXP($W$1*Sigma_Interface!H3)</f>
        <v>1.6647624106516976E-2</v>
      </c>
      <c r="Z3" s="40">
        <f>V3*EXP(-$W$1*Sigma_Interface!H3)</f>
        <v>5.8606909719461182E-3</v>
      </c>
    </row>
    <row r="4" spans="1:26">
      <c r="A4" s="33">
        <v>0.02</v>
      </c>
      <c r="B4" s="34">
        <v>4.3470000000000004</v>
      </c>
      <c r="C4" s="34">
        <v>0.73</v>
      </c>
      <c r="D4" s="34">
        <v>-2.1000000000000001E-2</v>
      </c>
      <c r="E4" s="34">
        <v>-1.45</v>
      </c>
      <c r="F4" s="34">
        <v>-6.0000000000000001E-3</v>
      </c>
      <c r="G4" s="34">
        <v>0</v>
      </c>
      <c r="H4" s="34">
        <v>0</v>
      </c>
      <c r="I4" s="39">
        <v>0.82799999999999996</v>
      </c>
      <c r="J4" s="39">
        <v>0.99</v>
      </c>
      <c r="K4" s="39">
        <v>0.99399999999999999</v>
      </c>
      <c r="L4" s="39">
        <v>0.97099999999999997</v>
      </c>
      <c r="M4" s="55">
        <v>8.1999999999999993</v>
      </c>
      <c r="N4" s="38">
        <f t="shared" ref="N4:N24" si="5">+B4</f>
        <v>4.3470000000000004</v>
      </c>
      <c r="O4" s="39">
        <f t="shared" si="0"/>
        <v>-1.6059999999999994</v>
      </c>
      <c r="P4" s="39">
        <f t="shared" si="1"/>
        <v>-0.33600000000000002</v>
      </c>
      <c r="Q4" s="39">
        <f t="shared" si="2"/>
        <v>-7.2857445669782459</v>
      </c>
      <c r="R4" s="39">
        <f t="shared" si="3"/>
        <v>-0.6</v>
      </c>
      <c r="S4" s="39">
        <f t="shared" ref="S4:S24" si="6">+G4*$G$1</f>
        <v>0</v>
      </c>
      <c r="T4" s="39">
        <f t="shared" si="4"/>
        <v>0.98605490363558823</v>
      </c>
      <c r="U4" s="40">
        <f t="shared" ref="U4:U24" si="7">+SUM(N4:T4)</f>
        <v>-4.4946896633426565</v>
      </c>
      <c r="V4" s="38">
        <f t="shared" ref="V4:V24" si="8">+EXP(U4)</f>
        <v>1.1168145962464007E-2</v>
      </c>
      <c r="W4" s="39">
        <f>V4*EXP($W$1*Sigma_Interface!K4)</f>
        <v>2.6502948426615085E-2</v>
      </c>
      <c r="X4" s="39">
        <f>V4*EXP(-$W$1*Sigma_Interface!K4)</f>
        <v>4.7061739030381192E-3</v>
      </c>
      <c r="Y4" s="39">
        <f>V4*EXP($W$1*Sigma_Interface!H4)</f>
        <v>1.8822738160666895E-2</v>
      </c>
      <c r="Z4" s="40">
        <f>V4*EXP(-$W$1*Sigma_Interface!H4)</f>
        <v>6.6264261434364003E-3</v>
      </c>
    </row>
    <row r="5" spans="1:26">
      <c r="A5" s="33">
        <v>0.03</v>
      </c>
      <c r="B5" s="34">
        <v>4.3600000000000003</v>
      </c>
      <c r="C5" s="34">
        <v>0.73</v>
      </c>
      <c r="D5" s="34">
        <v>-2.1000000000000001E-2</v>
      </c>
      <c r="E5" s="34">
        <v>-1.45</v>
      </c>
      <c r="F5" s="34">
        <v>-6.0000000000000001E-3</v>
      </c>
      <c r="G5" s="34">
        <v>0</v>
      </c>
      <c r="H5" s="34">
        <v>0</v>
      </c>
      <c r="I5" s="39">
        <v>0.89600000000000002</v>
      </c>
      <c r="J5" s="39">
        <v>0.96399999999999997</v>
      </c>
      <c r="K5" s="39">
        <v>0.98899999999999999</v>
      </c>
      <c r="L5" s="39">
        <v>0.95899999999999996</v>
      </c>
      <c r="M5" s="55">
        <v>8.1999999999999993</v>
      </c>
      <c r="N5" s="38">
        <f t="shared" si="5"/>
        <v>4.3600000000000003</v>
      </c>
      <c r="O5" s="39">
        <f t="shared" si="0"/>
        <v>-1.6059999999999994</v>
      </c>
      <c r="P5" s="39">
        <f t="shared" si="1"/>
        <v>-0.33600000000000002</v>
      </c>
      <c r="Q5" s="39">
        <f t="shared" si="2"/>
        <v>-7.2857445669782459</v>
      </c>
      <c r="R5" s="39">
        <f t="shared" si="3"/>
        <v>-0.6</v>
      </c>
      <c r="S5" s="39">
        <f t="shared" si="6"/>
        <v>0</v>
      </c>
      <c r="T5" s="39">
        <f t="shared" si="4"/>
        <v>1.0670352580404434</v>
      </c>
      <c r="U5" s="40">
        <f t="shared" si="7"/>
        <v>-4.4007093089378007</v>
      </c>
      <c r="V5" s="38">
        <f t="shared" si="8"/>
        <v>1.2268634563895204E-2</v>
      </c>
      <c r="W5" s="39">
        <f>V5*EXP($W$1*Sigma_Interface!K5)</f>
        <v>2.9948715762199069E-2</v>
      </c>
      <c r="X5" s="39">
        <f>V5*EXP(-$W$1*Sigma_Interface!K5)</f>
        <v>5.0259047919639999E-3</v>
      </c>
      <c r="Y5" s="39">
        <f>V5*EXP($W$1*Sigma_Interface!H5)</f>
        <v>2.1781172939893401E-2</v>
      </c>
      <c r="Z5" s="40">
        <f>V5*EXP(-$W$1*Sigma_Interface!H5)</f>
        <v>6.9105274760809434E-3</v>
      </c>
    </row>
    <row r="6" spans="1:26">
      <c r="A6" s="33">
        <v>0.05</v>
      </c>
      <c r="B6" s="34">
        <v>4.4729999999999999</v>
      </c>
      <c r="C6" s="34">
        <v>0.73</v>
      </c>
      <c r="D6" s="34">
        <v>-2.1000000000000001E-2</v>
      </c>
      <c r="E6" s="34">
        <v>-1.45</v>
      </c>
      <c r="F6" s="34">
        <v>-6.0000000000000001E-3</v>
      </c>
      <c r="G6" s="34">
        <v>0</v>
      </c>
      <c r="H6" s="34">
        <v>0</v>
      </c>
      <c r="I6" s="39">
        <v>1.0109999999999999</v>
      </c>
      <c r="J6" s="39">
        <v>0.94099999999999995</v>
      </c>
      <c r="K6" s="39">
        <v>0.95499999999999996</v>
      </c>
      <c r="L6" s="39">
        <v>0.88500000000000001</v>
      </c>
      <c r="M6" s="55">
        <v>8.1999999999999993</v>
      </c>
      <c r="N6" s="38">
        <f t="shared" si="5"/>
        <v>4.4729999999999999</v>
      </c>
      <c r="O6" s="39">
        <f t="shared" si="0"/>
        <v>-1.6059999999999994</v>
      </c>
      <c r="P6" s="39">
        <f t="shared" si="1"/>
        <v>-0.33600000000000002</v>
      </c>
      <c r="Q6" s="39">
        <f t="shared" si="2"/>
        <v>-7.2857445669782459</v>
      </c>
      <c r="R6" s="39">
        <f t="shared" si="3"/>
        <v>-0.6</v>
      </c>
      <c r="S6" s="39">
        <f t="shared" si="6"/>
        <v>0</v>
      </c>
      <c r="T6" s="39">
        <f t="shared" si="4"/>
        <v>1.2039873279898305</v>
      </c>
      <c r="U6" s="40">
        <f t="shared" si="7"/>
        <v>-4.1507572389884144</v>
      </c>
      <c r="V6" s="38">
        <f t="shared" si="8"/>
        <v>1.5752483572665937E-2</v>
      </c>
      <c r="W6" s="39">
        <f>V6*EXP($W$1*Sigma_Interface!K6)</f>
        <v>3.9164889541667608E-2</v>
      </c>
      <c r="X6" s="39">
        <f>V6*EXP(-$W$1*Sigma_Interface!K6)</f>
        <v>6.3357956989285704E-3</v>
      </c>
      <c r="Y6" s="39">
        <f>V6*EXP($W$1*Sigma_Interface!H6)</f>
        <v>3.0447321913537665E-2</v>
      </c>
      <c r="Z6" s="40">
        <f>V6*EXP(-$W$1*Sigma_Interface!H6)</f>
        <v>8.1498379204504173E-3</v>
      </c>
    </row>
    <row r="7" spans="1:26">
      <c r="A7" s="33">
        <v>7.4999999999999997E-2</v>
      </c>
      <c r="B7" s="34">
        <v>4.6790000000000003</v>
      </c>
      <c r="C7" s="34">
        <v>0.73</v>
      </c>
      <c r="D7" s="34">
        <v>-2.1000000000000001E-2</v>
      </c>
      <c r="E7" s="34">
        <v>-1.45</v>
      </c>
      <c r="F7" s="34">
        <v>-7.0000000000000001E-3</v>
      </c>
      <c r="G7" s="34">
        <v>0</v>
      </c>
      <c r="H7" s="34">
        <v>0</v>
      </c>
      <c r="I7" s="39">
        <v>1.196</v>
      </c>
      <c r="J7" s="39">
        <v>0.94799999999999995</v>
      </c>
      <c r="K7" s="39">
        <v>0.89900000000000002</v>
      </c>
      <c r="L7" s="39">
        <v>0.78300000000000003</v>
      </c>
      <c r="M7" s="55">
        <v>8.1999999999999993</v>
      </c>
      <c r="N7" s="38">
        <f t="shared" si="5"/>
        <v>4.6790000000000003</v>
      </c>
      <c r="O7" s="39">
        <f t="shared" si="0"/>
        <v>-1.6059999999999994</v>
      </c>
      <c r="P7" s="39">
        <f t="shared" si="1"/>
        <v>-0.33600000000000002</v>
      </c>
      <c r="Q7" s="39">
        <f t="shared" si="2"/>
        <v>-7.2857445669782459</v>
      </c>
      <c r="R7" s="39">
        <f t="shared" si="3"/>
        <v>-0.70000000000000007</v>
      </c>
      <c r="S7" s="39">
        <f t="shared" si="6"/>
        <v>0</v>
      </c>
      <c r="T7" s="39">
        <f t="shared" si="4"/>
        <v>1.4243015274736275</v>
      </c>
      <c r="U7" s="40">
        <f t="shared" si="7"/>
        <v>-3.8244430395046178</v>
      </c>
      <c r="V7" s="38">
        <f t="shared" si="8"/>
        <v>2.1830590922426781E-2</v>
      </c>
      <c r="W7" s="39">
        <f>V7*EXP($W$1*Sigma_Interface!K7)</f>
        <v>5.6308283656777425E-2</v>
      </c>
      <c r="X7" s="39">
        <f>V7*EXP(-$W$1*Sigma_Interface!K7)</f>
        <v>8.4636694474167426E-3</v>
      </c>
      <c r="Y7" s="39">
        <f>V7*EXP($W$1*Sigma_Interface!H7)</f>
        <v>4.2833145886953666E-2</v>
      </c>
      <c r="Z7" s="40">
        <f>V7*EXP(-$W$1*Sigma_Interface!H7)</f>
        <v>1.1126306278790046E-2</v>
      </c>
    </row>
    <row r="8" spans="1:26">
      <c r="A8" s="33">
        <v>0.1</v>
      </c>
      <c r="B8" s="34">
        <v>4.8929999999999998</v>
      </c>
      <c r="C8" s="34">
        <v>0.73</v>
      </c>
      <c r="D8" s="34">
        <v>-2.1000000000000001E-2</v>
      </c>
      <c r="E8" s="34">
        <v>-1.45</v>
      </c>
      <c r="F8" s="34">
        <v>-8.0000000000000002E-3</v>
      </c>
      <c r="G8" s="34">
        <v>0</v>
      </c>
      <c r="H8" s="34">
        <v>0</v>
      </c>
      <c r="I8" s="39">
        <v>1.2370000000000001</v>
      </c>
      <c r="J8" s="39">
        <v>1.022</v>
      </c>
      <c r="K8" s="39">
        <v>0.85</v>
      </c>
      <c r="L8" s="39">
        <v>0.69199999999999995</v>
      </c>
      <c r="M8" s="55">
        <v>8.1999999999999993</v>
      </c>
      <c r="N8" s="38">
        <f t="shared" si="5"/>
        <v>4.8929999999999998</v>
      </c>
      <c r="O8" s="39">
        <f t="shared" si="0"/>
        <v>-1.6059999999999994</v>
      </c>
      <c r="P8" s="39">
        <f t="shared" si="1"/>
        <v>-0.33600000000000002</v>
      </c>
      <c r="Q8" s="39">
        <f t="shared" si="2"/>
        <v>-7.2857445669782459</v>
      </c>
      <c r="R8" s="39">
        <f t="shared" si="3"/>
        <v>-0.8</v>
      </c>
      <c r="S8" s="39">
        <f t="shared" si="6"/>
        <v>0</v>
      </c>
      <c r="T8" s="39">
        <f t="shared" si="4"/>
        <v>1.473127917629496</v>
      </c>
      <c r="U8" s="40">
        <f t="shared" si="7"/>
        <v>-3.6616166493487494</v>
      </c>
      <c r="V8" s="38">
        <f t="shared" si="8"/>
        <v>2.5690945884975818E-2</v>
      </c>
      <c r="W8" s="39">
        <f>V8*EXP($W$1*Sigma_Interface!K8)</f>
        <v>6.1577251361158755E-2</v>
      </c>
      <c r="X8" s="39">
        <f>V8*EXP(-$W$1*Sigma_Interface!K8)</f>
        <v>1.0718645049510629E-2</v>
      </c>
      <c r="Y8" s="39">
        <f>V8*EXP($W$1*Sigma_Interface!H8)</f>
        <v>4.823759178493834E-2</v>
      </c>
      <c r="Z8" s="40">
        <f>V8*EXP(-$W$1*Sigma_Interface!H8)</f>
        <v>1.3682787138450005E-2</v>
      </c>
    </row>
    <row r="9" spans="1:26">
      <c r="A9" s="33">
        <v>0.15</v>
      </c>
      <c r="B9" s="34">
        <v>5.07</v>
      </c>
      <c r="C9" s="34">
        <v>0.73</v>
      </c>
      <c r="D9" s="34">
        <v>-2.3E-2</v>
      </c>
      <c r="E9" s="34">
        <v>-1.425</v>
      </c>
      <c r="F9" s="34">
        <v>-8.0000000000000002E-3</v>
      </c>
      <c r="G9" s="34">
        <v>0</v>
      </c>
      <c r="H9" s="34">
        <v>0</v>
      </c>
      <c r="I9" s="39">
        <v>1.18</v>
      </c>
      <c r="J9" s="39">
        <v>1.1819999999999999</v>
      </c>
      <c r="K9" s="39">
        <v>0.77200000000000002</v>
      </c>
      <c r="L9" s="39">
        <v>0.58199999999999996</v>
      </c>
      <c r="M9" s="55">
        <v>8.1999999999999993</v>
      </c>
      <c r="N9" s="38">
        <f t="shared" si="5"/>
        <v>5.07</v>
      </c>
      <c r="O9" s="39">
        <f t="shared" si="0"/>
        <v>-1.6059999999999994</v>
      </c>
      <c r="P9" s="39">
        <f t="shared" si="1"/>
        <v>-0.36799999999999999</v>
      </c>
      <c r="Q9" s="39">
        <f t="shared" si="2"/>
        <v>-7.168232557833436</v>
      </c>
      <c r="R9" s="39">
        <f t="shared" si="3"/>
        <v>-0.8</v>
      </c>
      <c r="S9" s="39">
        <f t="shared" si="6"/>
        <v>0</v>
      </c>
      <c r="T9" s="39">
        <f t="shared" si="4"/>
        <v>1.405247326437191</v>
      </c>
      <c r="U9" s="40">
        <f t="shared" si="7"/>
        <v>-3.4669852313962437</v>
      </c>
      <c r="V9" s="38">
        <f t="shared" si="8"/>
        <v>3.1210982859048712E-2</v>
      </c>
      <c r="W9" s="39">
        <f>V9*EXP($W$1*Sigma_Interface!K9)</f>
        <v>7.2569039718749215E-2</v>
      </c>
      <c r="X9" s="39">
        <f>V9*EXP(-$W$1*Sigma_Interface!K9)</f>
        <v>1.3423430360980147E-2</v>
      </c>
      <c r="Y9" s="39">
        <f>V9*EXP($W$1*Sigma_Interface!H9)</f>
        <v>5.9785911980160672E-2</v>
      </c>
      <c r="Z9" s="40">
        <f>V9*EXP(-$W$1*Sigma_Interface!H9)</f>
        <v>1.6293561790126844E-2</v>
      </c>
    </row>
    <row r="10" spans="1:26">
      <c r="A10" s="33">
        <v>0.2</v>
      </c>
      <c r="B10" s="34">
        <v>4.95</v>
      </c>
      <c r="C10" s="34">
        <v>0.73</v>
      </c>
      <c r="D10" s="34">
        <v>-2.5000000000000001E-2</v>
      </c>
      <c r="E10" s="34">
        <v>-1.335</v>
      </c>
      <c r="F10" s="34">
        <v>-8.0000000000000002E-3</v>
      </c>
      <c r="G10" s="34">
        <v>0</v>
      </c>
      <c r="H10" s="34">
        <v>0</v>
      </c>
      <c r="I10" s="39">
        <v>1.016</v>
      </c>
      <c r="J10" s="39">
        <v>1.21</v>
      </c>
      <c r="K10" s="39">
        <v>0.70599999999999996</v>
      </c>
      <c r="L10" s="39">
        <v>0.51400000000000001</v>
      </c>
      <c r="M10" s="55">
        <v>8.1999999999999993</v>
      </c>
      <c r="N10" s="38">
        <f t="shared" si="5"/>
        <v>4.95</v>
      </c>
      <c r="O10" s="39">
        <f t="shared" si="0"/>
        <v>-1.6059999999999994</v>
      </c>
      <c r="P10" s="39">
        <f t="shared" si="1"/>
        <v>-0.4</v>
      </c>
      <c r="Q10" s="39">
        <f t="shared" si="2"/>
        <v>-6.7451893249121184</v>
      </c>
      <c r="R10" s="39">
        <f t="shared" si="3"/>
        <v>-0.8</v>
      </c>
      <c r="S10" s="39">
        <f t="shared" si="6"/>
        <v>0</v>
      </c>
      <c r="T10" s="39">
        <f t="shared" si="4"/>
        <v>1.209941765813717</v>
      </c>
      <c r="U10" s="40">
        <f t="shared" si="7"/>
        <v>-3.3912475590984004</v>
      </c>
      <c r="V10" s="38">
        <f t="shared" si="8"/>
        <v>3.3666649554260776E-2</v>
      </c>
      <c r="W10" s="39">
        <f>V10*EXP($W$1*Sigma_Interface!K10)</f>
        <v>8.2450487075746023E-2</v>
      </c>
      <c r="X10" s="39">
        <f>V10*EXP(-$W$1*Sigma_Interface!K10)</f>
        <v>1.3746956899940811E-2</v>
      </c>
      <c r="Y10" s="39">
        <f>V10*EXP($W$1*Sigma_Interface!H10)</f>
        <v>6.429666218619845E-2</v>
      </c>
      <c r="Z10" s="40">
        <f>V10*EXP(-$W$1*Sigma_Interface!H10)</f>
        <v>1.7628337983191696E-2</v>
      </c>
    </row>
    <row r="11" spans="1:26">
      <c r="A11" s="33">
        <v>0.25</v>
      </c>
      <c r="B11" s="34">
        <v>4.9000000000000004</v>
      </c>
      <c r="C11" s="34">
        <v>0.73</v>
      </c>
      <c r="D11" s="34">
        <v>-2.9000000000000001E-2</v>
      </c>
      <c r="E11" s="34">
        <v>-1.2749999999999999</v>
      </c>
      <c r="F11" s="34">
        <v>-8.0000000000000002E-3</v>
      </c>
      <c r="G11" s="34">
        <v>0</v>
      </c>
      <c r="H11" s="34">
        <v>0</v>
      </c>
      <c r="I11" s="39">
        <v>0.85</v>
      </c>
      <c r="J11" s="39">
        <v>1.2210000000000001</v>
      </c>
      <c r="K11" s="39">
        <v>0.69299999999999995</v>
      </c>
      <c r="L11" s="39">
        <v>0.50900000000000001</v>
      </c>
      <c r="M11" s="55">
        <v>8.1999999999999993</v>
      </c>
      <c r="N11" s="38">
        <f t="shared" si="5"/>
        <v>4.9000000000000004</v>
      </c>
      <c r="O11" s="39">
        <f t="shared" si="0"/>
        <v>-1.6059999999999994</v>
      </c>
      <c r="P11" s="39">
        <f t="shared" si="1"/>
        <v>-0.46400000000000002</v>
      </c>
      <c r="Q11" s="39">
        <f t="shared" si="2"/>
        <v>-6.4631605029645725</v>
      </c>
      <c r="R11" s="39">
        <f t="shared" si="3"/>
        <v>-0.8</v>
      </c>
      <c r="S11" s="39">
        <f t="shared" si="6"/>
        <v>0</v>
      </c>
      <c r="T11" s="39">
        <f t="shared" si="4"/>
        <v>1.0122544300606884</v>
      </c>
      <c r="U11" s="40">
        <f t="shared" si="7"/>
        <v>-3.4209060729038829</v>
      </c>
      <c r="V11" s="38">
        <f t="shared" si="8"/>
        <v>3.2682808511979786E-2</v>
      </c>
      <c r="W11" s="39">
        <f>V11*EXP($W$1*Sigma_Interface!K11)</f>
        <v>8.890242925482604E-2</v>
      </c>
      <c r="X11" s="39">
        <f>V11*EXP(-$W$1*Sigma_Interface!K11)</f>
        <v>1.2015036947629339E-2</v>
      </c>
      <c r="Y11" s="39">
        <f>V11*EXP($W$1*Sigma_Interface!H11)</f>
        <v>6.3742351863845123E-2</v>
      </c>
      <c r="Z11" s="40">
        <f>V11*EXP(-$W$1*Sigma_Interface!H11)</f>
        <v>1.6757555079115392E-2</v>
      </c>
    </row>
    <row r="12" spans="1:26">
      <c r="A12" s="33">
        <v>0.3</v>
      </c>
      <c r="B12" s="34">
        <v>4.8499999999999996</v>
      </c>
      <c r="C12" s="34">
        <v>0.73</v>
      </c>
      <c r="D12" s="34">
        <v>-3.7999999999999999E-2</v>
      </c>
      <c r="E12" s="34">
        <v>-1.2310000000000001</v>
      </c>
      <c r="F12" s="34">
        <v>-8.0000000000000002E-3</v>
      </c>
      <c r="G12" s="34">
        <v>0</v>
      </c>
      <c r="H12" s="34">
        <v>0</v>
      </c>
      <c r="I12" s="39">
        <v>0.65</v>
      </c>
      <c r="J12" s="39">
        <v>1.119</v>
      </c>
      <c r="K12" s="39">
        <v>0.73199999999999998</v>
      </c>
      <c r="L12" s="39">
        <v>0.53100000000000003</v>
      </c>
      <c r="M12" s="55">
        <v>8.1999999999999993</v>
      </c>
      <c r="N12" s="38">
        <f t="shared" si="5"/>
        <v>4.8499999999999996</v>
      </c>
      <c r="O12" s="39">
        <f t="shared" si="0"/>
        <v>-1.6059999999999994</v>
      </c>
      <c r="P12" s="39">
        <f t="shared" si="1"/>
        <v>-0.60799999999999998</v>
      </c>
      <c r="Q12" s="39">
        <f t="shared" si="2"/>
        <v>-6.2563393668697076</v>
      </c>
      <c r="R12" s="39">
        <f t="shared" si="3"/>
        <v>-0.8</v>
      </c>
      <c r="S12" s="39">
        <f t="shared" si="6"/>
        <v>0</v>
      </c>
      <c r="T12" s="39">
        <f t="shared" si="4"/>
        <v>0.77407691710523241</v>
      </c>
      <c r="U12" s="40">
        <f t="shared" si="7"/>
        <v>-3.6462624497644747</v>
      </c>
      <c r="V12" s="38">
        <f t="shared" si="8"/>
        <v>2.6088453693326068E-2</v>
      </c>
      <c r="W12" s="39">
        <f>V12*EXP($W$1*Sigma_Interface!K12)</f>
        <v>6.8641130124537611E-2</v>
      </c>
      <c r="X12" s="39">
        <f>V12*EXP(-$W$1*Sigma_Interface!K12)</f>
        <v>9.9154459560029471E-3</v>
      </c>
      <c r="Y12" s="39">
        <f>V12*EXP($W$1*Sigma_Interface!H12)</f>
        <v>4.8983956651236948E-2</v>
      </c>
      <c r="Z12" s="40">
        <f>V12*EXP(-$W$1*Sigma_Interface!H12)</f>
        <v>1.3894496538013569E-2</v>
      </c>
    </row>
    <row r="13" spans="1:26">
      <c r="A13" s="33">
        <v>0.4</v>
      </c>
      <c r="B13" s="34">
        <v>4.6500000000000004</v>
      </c>
      <c r="C13" s="34">
        <v>0.73</v>
      </c>
      <c r="D13" s="34">
        <v>-5.7000000000000002E-2</v>
      </c>
      <c r="E13" s="34">
        <v>-1.165</v>
      </c>
      <c r="F13" s="34">
        <v>-8.0000000000000002E-3</v>
      </c>
      <c r="G13" s="34">
        <v>0</v>
      </c>
      <c r="H13" s="34">
        <v>0</v>
      </c>
      <c r="I13" s="39">
        <v>0.22700000000000001</v>
      </c>
      <c r="J13" s="39">
        <v>0.628</v>
      </c>
      <c r="K13" s="39">
        <v>0.93400000000000005</v>
      </c>
      <c r="L13" s="39">
        <v>0.60099999999999998</v>
      </c>
      <c r="M13" s="55">
        <v>8.1999999999999993</v>
      </c>
      <c r="N13" s="38">
        <f t="shared" si="5"/>
        <v>4.6500000000000004</v>
      </c>
      <c r="O13" s="39">
        <f t="shared" si="0"/>
        <v>-1.6059999999999994</v>
      </c>
      <c r="P13" s="39">
        <f t="shared" si="1"/>
        <v>-0.91200000000000003</v>
      </c>
      <c r="Q13" s="39">
        <f t="shared" si="2"/>
        <v>-5.9461076627274077</v>
      </c>
      <c r="R13" s="39">
        <f t="shared" si="3"/>
        <v>-0.8</v>
      </c>
      <c r="S13" s="39">
        <f t="shared" si="6"/>
        <v>0</v>
      </c>
      <c r="T13" s="39">
        <f t="shared" si="4"/>
        <v>0.27033147720444267</v>
      </c>
      <c r="U13" s="40">
        <f t="shared" si="7"/>
        <v>-4.3437761855229642</v>
      </c>
      <c r="V13" s="38">
        <f t="shared" si="8"/>
        <v>1.2987392685170199E-2</v>
      </c>
      <c r="W13" s="39">
        <f>V13*EXP($W$1*Sigma_Interface!K13)</f>
        <v>3.0942373226996694E-2</v>
      </c>
      <c r="X13" s="39">
        <f>V13*EXP(-$W$1*Sigma_Interface!K13)</f>
        <v>5.4511775008792345E-3</v>
      </c>
      <c r="Y13" s="39">
        <f>V13*EXP($W$1*Sigma_Interface!H13)</f>
        <v>2.347601105163678E-2</v>
      </c>
      <c r="Z13" s="40">
        <f>V13*EXP(-$W$1*Sigma_Interface!H13)</f>
        <v>7.184881979643315E-3</v>
      </c>
    </row>
    <row r="14" spans="1:26">
      <c r="A14" s="33">
        <v>0.5</v>
      </c>
      <c r="B14" s="34">
        <v>4.3339999999999996</v>
      </c>
      <c r="C14" s="34">
        <v>0.73</v>
      </c>
      <c r="D14" s="34">
        <v>-7.1999999999999995E-2</v>
      </c>
      <c r="E14" s="34">
        <v>-1.115</v>
      </c>
      <c r="F14" s="34">
        <v>-7.0000000000000001E-3</v>
      </c>
      <c r="G14" s="34">
        <v>0</v>
      </c>
      <c r="H14" s="34">
        <v>0</v>
      </c>
      <c r="I14" s="39">
        <v>9.4E-2</v>
      </c>
      <c r="J14" s="39">
        <v>0.434</v>
      </c>
      <c r="K14" s="39">
        <v>0.94899999999999995</v>
      </c>
      <c r="L14" s="39">
        <v>0.68700000000000006</v>
      </c>
      <c r="M14" s="55">
        <v>8.1999999999999993</v>
      </c>
      <c r="N14" s="38">
        <f t="shared" si="5"/>
        <v>4.3339999999999996</v>
      </c>
      <c r="O14" s="39">
        <f t="shared" si="0"/>
        <v>-1.6059999999999994</v>
      </c>
      <c r="P14" s="39">
        <f t="shared" si="1"/>
        <v>-1.1519999999999999</v>
      </c>
      <c r="Q14" s="39">
        <f t="shared" si="2"/>
        <v>-5.7110836444377862</v>
      </c>
      <c r="R14" s="39">
        <f t="shared" si="3"/>
        <v>-0.70000000000000007</v>
      </c>
      <c r="S14" s="39">
        <f t="shared" si="6"/>
        <v>0</v>
      </c>
      <c r="T14" s="39">
        <f t="shared" si="4"/>
        <v>0.11194343108906436</v>
      </c>
      <c r="U14" s="40">
        <f t="shared" si="7"/>
        <v>-4.7231402133487217</v>
      </c>
      <c r="V14" s="38">
        <f t="shared" si="8"/>
        <v>8.8872268958009974E-3</v>
      </c>
      <c r="W14" s="39">
        <f>V14*EXP($W$1*Sigma_Interface!K14)</f>
        <v>2.1376364450676557E-2</v>
      </c>
      <c r="X14" s="39">
        <f>V14*EXP(-$W$1*Sigma_Interface!K14)</f>
        <v>3.694865985265743E-3</v>
      </c>
      <c r="Y14" s="39">
        <f>V14*EXP($W$1*Sigma_Interface!H14)</f>
        <v>1.5952492165299263E-2</v>
      </c>
      <c r="Z14" s="40">
        <f>V14*EXP(-$W$1*Sigma_Interface!H14)</f>
        <v>4.9511261989055458E-3</v>
      </c>
    </row>
    <row r="15" spans="1:26">
      <c r="A15" s="33">
        <v>0.75</v>
      </c>
      <c r="B15" s="34">
        <v>3.5640000000000001</v>
      </c>
      <c r="C15" s="34">
        <v>0.73</v>
      </c>
      <c r="D15" s="34">
        <v>-9.9000000000000005E-2</v>
      </c>
      <c r="E15" s="34">
        <v>-1.02</v>
      </c>
      <c r="F15" s="34">
        <v>-7.0000000000000001E-3</v>
      </c>
      <c r="G15" s="34">
        <v>0</v>
      </c>
      <c r="H15" s="34">
        <v>0</v>
      </c>
      <c r="I15" s="39">
        <v>-4.7E-2</v>
      </c>
      <c r="J15" s="39">
        <v>0.23300000000000001</v>
      </c>
      <c r="K15" s="39">
        <v>0.78400000000000003</v>
      </c>
      <c r="L15" s="39">
        <v>0.86499999999999999</v>
      </c>
      <c r="M15" s="55">
        <v>8.15</v>
      </c>
      <c r="N15" s="38">
        <f t="shared" si="5"/>
        <v>3.5640000000000001</v>
      </c>
      <c r="O15" s="39">
        <f t="shared" si="0"/>
        <v>-1.5695000000000001</v>
      </c>
      <c r="P15" s="39">
        <f t="shared" si="1"/>
        <v>-1.5840000000000001</v>
      </c>
      <c r="Q15" s="39">
        <f t="shared" si="2"/>
        <v>-5.2645380096875067</v>
      </c>
      <c r="R15" s="39">
        <f t="shared" si="3"/>
        <v>-0.70000000000000007</v>
      </c>
      <c r="S15" s="39">
        <f t="shared" si="6"/>
        <v>0</v>
      </c>
      <c r="T15" s="39">
        <f t="shared" si="4"/>
        <v>-5.5971715544532182E-2</v>
      </c>
      <c r="U15" s="40">
        <f t="shared" si="7"/>
        <v>-5.6100097252320396</v>
      </c>
      <c r="V15" s="38">
        <f t="shared" si="8"/>
        <v>3.6610337531551213E-3</v>
      </c>
      <c r="W15" s="39">
        <f>V15*EXP($W$1*Sigma_Interface!K15)</f>
        <v>8.3530298783112394E-3</v>
      </c>
      <c r="X15" s="39">
        <f>V15*EXP(-$W$1*Sigma_Interface!K15)</f>
        <v>1.6045875971954307E-3</v>
      </c>
      <c r="Y15" s="39">
        <f>V15*EXP($W$1*Sigma_Interface!H15)</f>
        <v>6.0299912143627508E-3</v>
      </c>
      <c r="Z15" s="40">
        <f>V15*EXP(-$W$1*Sigma_Interface!H15)</f>
        <v>2.2227508573837151E-3</v>
      </c>
    </row>
    <row r="16" spans="1:26">
      <c r="A16" s="33">
        <v>1</v>
      </c>
      <c r="B16" s="34">
        <v>2.9569999999999999</v>
      </c>
      <c r="C16" s="34">
        <v>0.73</v>
      </c>
      <c r="D16" s="34">
        <v>-0.11799999999999999</v>
      </c>
      <c r="E16" s="34">
        <v>-0.95</v>
      </c>
      <c r="F16" s="34">
        <v>-6.0000000000000001E-3</v>
      </c>
      <c r="G16" s="34">
        <v>0</v>
      </c>
      <c r="H16" s="34">
        <v>0</v>
      </c>
      <c r="I16" s="39">
        <v>-0.14599999999999999</v>
      </c>
      <c r="J16" s="39">
        <v>0.14299999999999999</v>
      </c>
      <c r="K16" s="39">
        <v>0.63200000000000001</v>
      </c>
      <c r="L16" s="39">
        <v>0.88100000000000001</v>
      </c>
      <c r="M16" s="55">
        <v>8.1</v>
      </c>
      <c r="N16" s="38">
        <f t="shared" si="5"/>
        <v>2.9569999999999999</v>
      </c>
      <c r="O16" s="39">
        <f t="shared" si="0"/>
        <v>-1.5329999999999997</v>
      </c>
      <c r="P16" s="39">
        <f t="shared" si="1"/>
        <v>-1.8879999999999999</v>
      </c>
      <c r="Q16" s="39">
        <f t="shared" si="2"/>
        <v>-4.9355043840820372</v>
      </c>
      <c r="R16" s="39">
        <f t="shared" si="3"/>
        <v>-0.6</v>
      </c>
      <c r="S16" s="39">
        <f t="shared" si="6"/>
        <v>0</v>
      </c>
      <c r="T16" s="39">
        <f t="shared" si="4"/>
        <v>-0.17386958445748293</v>
      </c>
      <c r="U16" s="40">
        <f t="shared" si="7"/>
        <v>-6.1733739685395195</v>
      </c>
      <c r="V16" s="38">
        <f t="shared" si="8"/>
        <v>2.0841921256288835E-3</v>
      </c>
      <c r="W16" s="39">
        <f>V16*EXP($W$1*Sigma_Interface!K16)</f>
        <v>5.0709096503526218E-3</v>
      </c>
      <c r="X16" s="39">
        <f>V16*EXP(-$W$1*Sigma_Interface!K16)</f>
        <v>8.5662279867900609E-4</v>
      </c>
      <c r="Y16" s="39">
        <f>V16*EXP($W$1*Sigma_Interface!H16)</f>
        <v>3.2523613782755182E-3</v>
      </c>
      <c r="Z16" s="40">
        <f>V16*EXP(-$W$1*Sigma_Interface!H16)</f>
        <v>1.3356009100183887E-3</v>
      </c>
    </row>
    <row r="17" spans="1:26">
      <c r="A17" s="33">
        <v>1.5</v>
      </c>
      <c r="B17" s="34">
        <v>1.986</v>
      </c>
      <c r="C17" s="34">
        <v>0.73</v>
      </c>
      <c r="D17" s="34">
        <v>-0.14499999999999999</v>
      </c>
      <c r="E17" s="34">
        <v>-0.86</v>
      </c>
      <c r="F17" s="34">
        <v>-6.0000000000000001E-3</v>
      </c>
      <c r="G17" s="34">
        <v>0</v>
      </c>
      <c r="H17" s="34">
        <v>0</v>
      </c>
      <c r="I17" s="39">
        <v>-0.28699999999999998</v>
      </c>
      <c r="J17" s="39">
        <v>2.5999999999999999E-2</v>
      </c>
      <c r="K17" s="39">
        <v>0.38400000000000001</v>
      </c>
      <c r="L17" s="39">
        <v>0.69199999999999995</v>
      </c>
      <c r="M17" s="55">
        <v>8.0500000000000007</v>
      </c>
      <c r="N17" s="38">
        <f t="shared" si="5"/>
        <v>1.986</v>
      </c>
      <c r="O17" s="39">
        <f t="shared" si="0"/>
        <v>-1.4965000000000004</v>
      </c>
      <c r="P17" s="39">
        <f t="shared" si="1"/>
        <v>-2.3199999999999998</v>
      </c>
      <c r="Q17" s="39">
        <f t="shared" si="2"/>
        <v>-4.5124611511607196</v>
      </c>
      <c r="R17" s="39">
        <f t="shared" si="3"/>
        <v>-0.6</v>
      </c>
      <c r="S17" s="39">
        <f t="shared" si="6"/>
        <v>0</v>
      </c>
      <c r="T17" s="39">
        <f t="shared" si="4"/>
        <v>-0.34178473109107949</v>
      </c>
      <c r="U17" s="40">
        <f t="shared" si="7"/>
        <v>-7.2847458822517996</v>
      </c>
      <c r="V17" s="38">
        <f t="shared" si="8"/>
        <v>6.8592251929468348E-4</v>
      </c>
      <c r="W17" s="39">
        <f>V17*EXP($W$1*Sigma_Interface!K17)</f>
        <v>1.7280866399240731E-3</v>
      </c>
      <c r="X17" s="39">
        <f>V17*EXP(-$W$1*Sigma_Interface!K17)</f>
        <v>2.7226048255094275E-4</v>
      </c>
      <c r="Y17" s="39">
        <f>V17*EXP($W$1*Sigma_Interface!H17)</f>
        <v>1.0273774567070471E-3</v>
      </c>
      <c r="Z17" s="40">
        <f>V17*EXP(-$W$1*Sigma_Interface!H17)</f>
        <v>4.5795213765306887E-4</v>
      </c>
    </row>
    <row r="18" spans="1:26">
      <c r="A18" s="33">
        <v>2</v>
      </c>
      <c r="B18" s="34">
        <v>1.323</v>
      </c>
      <c r="C18" s="34">
        <v>0.73</v>
      </c>
      <c r="D18" s="34">
        <v>-0.16400000000000001</v>
      </c>
      <c r="E18" s="34">
        <v>-0.82</v>
      </c>
      <c r="F18" s="34">
        <v>-5.0000000000000001E-3</v>
      </c>
      <c r="G18" s="34">
        <v>0</v>
      </c>
      <c r="H18" s="34">
        <v>0</v>
      </c>
      <c r="I18" s="39">
        <v>-0.38600000000000001</v>
      </c>
      <c r="J18" s="39">
        <v>-1.0999999999999999E-2</v>
      </c>
      <c r="K18" s="39">
        <v>0.22500000000000001</v>
      </c>
      <c r="L18" s="39">
        <v>0.38600000000000001</v>
      </c>
      <c r="M18" s="55">
        <v>8</v>
      </c>
      <c r="N18" s="38">
        <f t="shared" si="5"/>
        <v>1.323</v>
      </c>
      <c r="O18" s="39">
        <f t="shared" si="0"/>
        <v>-1.46</v>
      </c>
      <c r="P18" s="39">
        <f t="shared" si="1"/>
        <v>-2.6240000000000001</v>
      </c>
      <c r="Q18" s="39">
        <f t="shared" si="2"/>
        <v>-4.3244419365290225</v>
      </c>
      <c r="R18" s="39">
        <f t="shared" si="3"/>
        <v>-0.5</v>
      </c>
      <c r="S18" s="39">
        <f t="shared" si="6"/>
        <v>0</v>
      </c>
      <c r="T18" s="39">
        <f t="shared" si="4"/>
        <v>-0.45968260000403027</v>
      </c>
      <c r="U18" s="40">
        <f t="shared" si="7"/>
        <v>-8.0451245365330522</v>
      </c>
      <c r="V18" s="38">
        <f t="shared" si="8"/>
        <v>3.206614909668186E-4</v>
      </c>
      <c r="W18" s="39">
        <f>V18*EXP($W$1*Sigma_Interface!K18)</f>
        <v>8.1194169978986716E-4</v>
      </c>
      <c r="X18" s="39">
        <f>V18*EXP(-$W$1*Sigma_Interface!K18)</f>
        <v>1.266393779450842E-4</v>
      </c>
      <c r="Y18" s="39">
        <f>V18*EXP($W$1*Sigma_Interface!H18)</f>
        <v>5.1717743740089183E-4</v>
      </c>
      <c r="Z18" s="40">
        <f>V18*EXP(-$W$1*Sigma_Interface!H18)</f>
        <v>1.988172421167687E-4</v>
      </c>
    </row>
    <row r="19" spans="1:26">
      <c r="A19" s="33">
        <v>3</v>
      </c>
      <c r="B19" s="34">
        <v>0.51800000000000002</v>
      </c>
      <c r="C19" s="34">
        <v>0.73</v>
      </c>
      <c r="D19" s="34">
        <v>-0.191</v>
      </c>
      <c r="E19" s="34">
        <v>-0.79300000000000004</v>
      </c>
      <c r="F19" s="34">
        <v>-5.0000000000000001E-3</v>
      </c>
      <c r="G19" s="34">
        <v>0</v>
      </c>
      <c r="H19" s="34">
        <v>0</v>
      </c>
      <c r="I19" s="39">
        <v>-0.438</v>
      </c>
      <c r="J19" s="39">
        <v>-4.1000000000000002E-2</v>
      </c>
      <c r="K19" s="39">
        <v>0.09</v>
      </c>
      <c r="L19" s="39">
        <v>0.13</v>
      </c>
      <c r="M19" s="55">
        <v>7.9</v>
      </c>
      <c r="N19" s="38">
        <f t="shared" si="5"/>
        <v>0.51800000000000002</v>
      </c>
      <c r="O19" s="39">
        <f t="shared" si="0"/>
        <v>-1.3870000000000002</v>
      </c>
      <c r="P19" s="39">
        <f t="shared" si="1"/>
        <v>-3.056</v>
      </c>
      <c r="Q19" s="39">
        <f t="shared" si="2"/>
        <v>-4.1975289666526283</v>
      </c>
      <c r="R19" s="39">
        <f t="shared" si="3"/>
        <v>-0.5</v>
      </c>
      <c r="S19" s="39">
        <f t="shared" si="6"/>
        <v>0</v>
      </c>
      <c r="T19" s="39">
        <f t="shared" si="4"/>
        <v>-0.52160875337244883</v>
      </c>
      <c r="U19" s="40">
        <f t="shared" si="7"/>
        <v>-9.1441377200250784</v>
      </c>
      <c r="V19" s="38">
        <f t="shared" si="8"/>
        <v>1.0684432173307983E-4</v>
      </c>
      <c r="W19" s="39">
        <f>V19*EXP($W$1*Sigma_Interface!K19)</f>
        <v>2.6269476207471031E-4</v>
      </c>
      <c r="X19" s="39">
        <f>V19*EXP(-$W$1*Sigma_Interface!K19)</f>
        <v>4.3456173227219697E-5</v>
      </c>
      <c r="Y19" s="39">
        <f>V19*EXP($W$1*Sigma_Interface!H19)</f>
        <v>1.8389645192811623E-4</v>
      </c>
      <c r="Z19" s="40">
        <f>V19*EXP(-$W$1*Sigma_Interface!H19)</f>
        <v>6.2076831645801371E-5</v>
      </c>
    </row>
    <row r="20" spans="1:26">
      <c r="A20" s="33">
        <v>4</v>
      </c>
      <c r="B20" s="34">
        <v>-2.1999999999999999E-2</v>
      </c>
      <c r="C20" s="34">
        <v>0.73</v>
      </c>
      <c r="D20" s="34">
        <v>-0.21</v>
      </c>
      <c r="E20" s="34">
        <v>-0.79300000000000004</v>
      </c>
      <c r="F20" s="34">
        <v>-4.0000000000000001E-3</v>
      </c>
      <c r="G20" s="34">
        <v>0</v>
      </c>
      <c r="H20" s="34">
        <v>0</v>
      </c>
      <c r="I20" s="39">
        <v>-0.438</v>
      </c>
      <c r="J20" s="39">
        <v>-4.1000000000000002E-2</v>
      </c>
      <c r="K20" s="39">
        <v>4.2000000000000003E-2</v>
      </c>
      <c r="L20" s="39">
        <v>5.1999999999999998E-2</v>
      </c>
      <c r="M20" s="55">
        <v>7.85</v>
      </c>
      <c r="N20" s="38">
        <f t="shared" si="5"/>
        <v>-2.1999999999999999E-2</v>
      </c>
      <c r="O20" s="39">
        <f t="shared" si="0"/>
        <v>-1.3504999999999998</v>
      </c>
      <c r="P20" s="39">
        <f t="shared" si="1"/>
        <v>-3.36</v>
      </c>
      <c r="Q20" s="39">
        <f t="shared" si="2"/>
        <v>-4.1975289666526283</v>
      </c>
      <c r="R20" s="39">
        <f t="shared" si="3"/>
        <v>-0.4</v>
      </c>
      <c r="S20" s="39">
        <f t="shared" si="6"/>
        <v>0</v>
      </c>
      <c r="T20" s="39">
        <f t="shared" si="4"/>
        <v>-0.52160875337244883</v>
      </c>
      <c r="U20" s="40">
        <f t="shared" si="7"/>
        <v>-9.851637720025078</v>
      </c>
      <c r="V20" s="38">
        <f t="shared" si="8"/>
        <v>5.2660878579977624E-5</v>
      </c>
      <c r="W20" s="39">
        <f>V20*EXP($W$1*Sigma_Interface!K20)</f>
        <v>1.3133177630285958E-4</v>
      </c>
      <c r="X20" s="39">
        <f>V20*EXP(-$W$1*Sigma_Interface!K20)</f>
        <v>2.1115743736078315E-5</v>
      </c>
      <c r="Y20" s="39">
        <f>V20*EXP($W$1*Sigma_Interface!H20)</f>
        <v>9.4904662772027972E-5</v>
      </c>
      <c r="Z20" s="40">
        <f>V20*EXP(-$W$1*Sigma_Interface!H20)</f>
        <v>2.9220567797354894E-5</v>
      </c>
    </row>
    <row r="21" spans="1:26">
      <c r="A21" s="33">
        <v>5</v>
      </c>
      <c r="B21" s="34">
        <v>-0.437</v>
      </c>
      <c r="C21" s="34">
        <v>0.73</v>
      </c>
      <c r="D21" s="34">
        <v>-0.22</v>
      </c>
      <c r="E21" s="34">
        <v>-0.79300000000000004</v>
      </c>
      <c r="F21" s="34">
        <v>-3.0000000000000001E-3</v>
      </c>
      <c r="G21" s="34">
        <v>0</v>
      </c>
      <c r="H21" s="34">
        <v>0</v>
      </c>
      <c r="I21" s="39">
        <v>-0.438</v>
      </c>
      <c r="J21" s="39">
        <v>-4.1000000000000002E-2</v>
      </c>
      <c r="K21" s="39">
        <v>2.1999999999999999E-2</v>
      </c>
      <c r="L21" s="39">
        <v>1.2E-2</v>
      </c>
      <c r="M21" s="55">
        <v>7.8</v>
      </c>
      <c r="N21" s="38">
        <f t="shared" si="5"/>
        <v>-0.437</v>
      </c>
      <c r="O21" s="39">
        <f t="shared" si="0"/>
        <v>-1.3139999999999998</v>
      </c>
      <c r="P21" s="39">
        <f t="shared" si="1"/>
        <v>-3.52</v>
      </c>
      <c r="Q21" s="39">
        <f t="shared" si="2"/>
        <v>-4.1975289666526283</v>
      </c>
      <c r="R21" s="39">
        <f t="shared" si="3"/>
        <v>-0.3</v>
      </c>
      <c r="S21" s="39">
        <f t="shared" si="6"/>
        <v>0</v>
      </c>
      <c r="T21" s="39">
        <f t="shared" si="4"/>
        <v>-0.52160875337244883</v>
      </c>
      <c r="U21" s="40">
        <f t="shared" si="7"/>
        <v>-10.290137720025077</v>
      </c>
      <c r="V21" s="38">
        <f t="shared" si="8"/>
        <v>3.3966435231449161E-5</v>
      </c>
      <c r="W21" s="39">
        <f>V21*EXP($W$1*Sigma_Interface!K21)</f>
        <v>8.3174639616034996E-5</v>
      </c>
      <c r="X21" s="39">
        <f>V21*EXP(-$W$1*Sigma_Interface!K21)</f>
        <v>1.387103963008706E-5</v>
      </c>
      <c r="Y21" s="39">
        <f>V21*EXP($W$1*Sigma_Interface!H21)</f>
        <v>5.6564005514632028E-5</v>
      </c>
      <c r="Z21" s="40">
        <f>V21*EXP(-$W$1*Sigma_Interface!H21)</f>
        <v>2.0396694184498403E-5</v>
      </c>
    </row>
    <row r="22" spans="1:26">
      <c r="A22" s="33">
        <v>6</v>
      </c>
      <c r="B22" s="34">
        <v>-0.78400000000000003</v>
      </c>
      <c r="C22" s="34">
        <v>0.73</v>
      </c>
      <c r="D22" s="34">
        <v>-0.224</v>
      </c>
      <c r="E22" s="34">
        <v>-0.79300000000000004</v>
      </c>
      <c r="F22" s="34">
        <v>-3.0000000000000001E-3</v>
      </c>
      <c r="G22" s="34">
        <v>0</v>
      </c>
      <c r="H22" s="34">
        <v>0</v>
      </c>
      <c r="I22" s="39">
        <v>-0.438</v>
      </c>
      <c r="J22" s="39">
        <v>-4.1000000000000002E-2</v>
      </c>
      <c r="K22" s="39">
        <v>2.1999999999999999E-2</v>
      </c>
      <c r="L22" s="39">
        <v>1.2E-2</v>
      </c>
      <c r="M22" s="55">
        <v>7.8</v>
      </c>
      <c r="N22" s="38">
        <f t="shared" si="5"/>
        <v>-0.78400000000000003</v>
      </c>
      <c r="O22" s="39">
        <f t="shared" si="0"/>
        <v>-1.3139999999999998</v>
      </c>
      <c r="P22" s="39">
        <f t="shared" si="1"/>
        <v>-3.5840000000000001</v>
      </c>
      <c r="Q22" s="39">
        <f t="shared" si="2"/>
        <v>-4.1975289666526283</v>
      </c>
      <c r="R22" s="39">
        <f t="shared" si="3"/>
        <v>-0.3</v>
      </c>
      <c r="S22" s="39">
        <f t="shared" si="6"/>
        <v>0</v>
      </c>
      <c r="T22" s="39">
        <f t="shared" si="4"/>
        <v>-0.52160875337244883</v>
      </c>
      <c r="U22" s="40">
        <f t="shared" si="7"/>
        <v>-10.701137720025079</v>
      </c>
      <c r="V22" s="38">
        <f t="shared" si="8"/>
        <v>2.2519302671513292E-5</v>
      </c>
      <c r="W22" s="39">
        <f>V22*EXP($W$1*Sigma_Interface!K22)</f>
        <v>5.60867779624344E-5</v>
      </c>
      <c r="X22" s="39">
        <f>V22*EXP(-$W$1*Sigma_Interface!K22)</f>
        <v>9.041685246224735E-6</v>
      </c>
      <c r="Y22" s="39">
        <f>V22*EXP($W$1*Sigma_Interface!H22)</f>
        <v>3.6392868602666674E-5</v>
      </c>
      <c r="Z22" s="40">
        <f>V22*EXP(-$W$1*Sigma_Interface!H22)</f>
        <v>1.3934570488188083E-5</v>
      </c>
    </row>
    <row r="23" spans="1:26">
      <c r="A23" s="33">
        <v>7.5</v>
      </c>
      <c r="B23" s="34">
        <v>-1.2809999999999999</v>
      </c>
      <c r="C23" s="34">
        <v>0.73</v>
      </c>
      <c r="D23" s="34">
        <v>-0.224</v>
      </c>
      <c r="E23" s="34">
        <v>-0.79300000000000004</v>
      </c>
      <c r="F23" s="34">
        <v>-2E-3</v>
      </c>
      <c r="G23" s="34">
        <v>0</v>
      </c>
      <c r="H23" s="34">
        <v>0</v>
      </c>
      <c r="I23" s="39">
        <v>-0.438</v>
      </c>
      <c r="J23" s="39">
        <v>-4.1000000000000002E-2</v>
      </c>
      <c r="K23" s="39">
        <v>2.1999999999999999E-2</v>
      </c>
      <c r="L23" s="39">
        <v>1.2E-2</v>
      </c>
      <c r="M23" s="55">
        <v>7.8</v>
      </c>
      <c r="N23" s="38">
        <f t="shared" si="5"/>
        <v>-1.2809999999999999</v>
      </c>
      <c r="O23" s="39">
        <f t="shared" si="0"/>
        <v>-1.3139999999999998</v>
      </c>
      <c r="P23" s="39">
        <f t="shared" si="1"/>
        <v>-3.5840000000000001</v>
      </c>
      <c r="Q23" s="39">
        <f t="shared" si="2"/>
        <v>-4.1975289666526283</v>
      </c>
      <c r="R23" s="39">
        <f t="shared" si="3"/>
        <v>-0.2</v>
      </c>
      <c r="S23" s="39">
        <f t="shared" si="6"/>
        <v>0</v>
      </c>
      <c r="T23" s="39">
        <f t="shared" si="4"/>
        <v>-0.52160875337244883</v>
      </c>
      <c r="U23" s="40">
        <f t="shared" si="7"/>
        <v>-11.098137720025077</v>
      </c>
      <c r="V23" s="38">
        <f t="shared" si="8"/>
        <v>1.5140493419578808E-5</v>
      </c>
      <c r="W23" s="39">
        <f>V23*EXP($W$1*Sigma_Interface!K23)</f>
        <v>3.5998065891093461E-5</v>
      </c>
      <c r="X23" s="39">
        <f>V23*EXP(-$W$1*Sigma_Interface!K23)</f>
        <v>6.3679682592343317E-6</v>
      </c>
      <c r="Y23" s="39">
        <f>V23*EXP($W$1*Sigma_Interface!H23)</f>
        <v>2.3602976759139403E-5</v>
      </c>
      <c r="Z23" s="40">
        <f>V23*EXP(-$W$1*Sigma_Interface!H23)</f>
        <v>9.7121029829233868E-6</v>
      </c>
    </row>
    <row r="24" spans="1:26" ht="16.2" thickBot="1">
      <c r="A24" s="36">
        <v>10</v>
      </c>
      <c r="B24" s="37">
        <v>-1.883</v>
      </c>
      <c r="C24" s="37">
        <v>0.73</v>
      </c>
      <c r="D24" s="37">
        <v>-0.224</v>
      </c>
      <c r="E24" s="37">
        <v>-0.79300000000000004</v>
      </c>
      <c r="F24" s="37">
        <v>-1E-3</v>
      </c>
      <c r="G24" s="37">
        <v>0</v>
      </c>
      <c r="H24" s="37">
        <v>0</v>
      </c>
      <c r="I24" s="42">
        <v>-0.438</v>
      </c>
      <c r="J24" s="42">
        <v>-4.1000000000000002E-2</v>
      </c>
      <c r="K24" s="42">
        <v>2.1999999999999999E-2</v>
      </c>
      <c r="L24" s="42">
        <v>1.2E-2</v>
      </c>
      <c r="M24" s="56">
        <v>7.8</v>
      </c>
      <c r="N24" s="41">
        <f t="shared" si="5"/>
        <v>-1.883</v>
      </c>
      <c r="O24" s="42">
        <f t="shared" si="0"/>
        <v>-1.3139999999999998</v>
      </c>
      <c r="P24" s="42">
        <f t="shared" si="1"/>
        <v>-3.5840000000000001</v>
      </c>
      <c r="Q24" s="42">
        <f t="shared" si="2"/>
        <v>-4.1975289666526283</v>
      </c>
      <c r="R24" s="42">
        <f t="shared" si="3"/>
        <v>-0.1</v>
      </c>
      <c r="S24" s="42">
        <f t="shared" si="6"/>
        <v>0</v>
      </c>
      <c r="T24" s="42">
        <f t="shared" si="4"/>
        <v>-0.52160875337244883</v>
      </c>
      <c r="U24" s="43">
        <f t="shared" si="7"/>
        <v>-11.600137720025078</v>
      </c>
      <c r="V24" s="41">
        <f t="shared" si="8"/>
        <v>9.1648254693364219E-6</v>
      </c>
      <c r="W24" s="42">
        <f>V24*EXP($W$1*Sigma_Interface!K24)</f>
        <v>2.1703278247057951E-5</v>
      </c>
      <c r="X24" s="42">
        <f>V24*EXP(-$W$1*Sigma_Interface!K24)</f>
        <v>3.8701077748373616E-6</v>
      </c>
      <c r="Y24" s="42">
        <f>V24*EXP($W$1*Sigma_Interface!H24)</f>
        <v>1.3536271197496372E-5</v>
      </c>
      <c r="Z24" s="43">
        <f>V24*EXP(-$W$1*Sigma_Interface!H24)</f>
        <v>6.2051080875900926E-6</v>
      </c>
    </row>
  </sheetData>
  <sheetProtection algorithmName="SHA-512" hashValue="AsHeQWInMncFEJCGanBfStkrxRQGWsnvkl+CLG1mRbG0hlY7pQUo8p+6Fdzr+r6+zL/HrlZS8hUSxAp/RCfoBg==" saltValue="LiL2/SNQTabn5X4y4BZY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0C3B-E12C-4FFA-A017-CA32D0C2A5FD}">
  <dimension ref="A1:Z24"/>
  <sheetViews>
    <sheetView workbookViewId="0">
      <selection activeCell="D9" sqref="D9:F18"/>
    </sheetView>
  </sheetViews>
  <sheetFormatPr defaultColWidth="9.109375" defaultRowHeight="15.6"/>
  <cols>
    <col min="1" max="2" width="10.6640625" style="26" customWidth="1"/>
    <col min="3" max="3" width="12.33203125" style="26" bestFit="1" customWidth="1"/>
    <col min="4" max="8" width="10.6640625" style="26" customWidth="1"/>
    <col min="9" max="9" width="14.109375" style="26" bestFit="1" customWidth="1"/>
    <col min="10" max="13" width="10.6640625" style="26" customWidth="1"/>
    <col min="14" max="14" width="19.109375" style="26" bestFit="1" customWidth="1"/>
    <col min="15" max="15" width="10.88671875" style="26" bestFit="1" customWidth="1"/>
    <col min="16" max="16" width="11.88671875" style="26" bestFit="1" customWidth="1"/>
    <col min="17" max="17" width="14.88671875" style="26" bestFit="1" customWidth="1"/>
    <col min="18" max="18" width="15.88671875" style="26" bestFit="1" customWidth="1"/>
    <col min="19" max="19" width="10.109375" style="26" bestFit="1" customWidth="1"/>
    <col min="20" max="20" width="8.6640625" style="26" customWidth="1"/>
    <col min="21" max="21" width="8.33203125" style="26" bestFit="1" customWidth="1"/>
    <col min="22" max="22" width="13.33203125" style="26" bestFit="1" customWidth="1"/>
    <col min="23" max="23" width="18.88671875" style="26" bestFit="1" customWidth="1"/>
    <col min="24" max="24" width="18.33203125" style="26" bestFit="1" customWidth="1"/>
    <col min="25" max="25" width="20.88671875" style="26" bestFit="1" customWidth="1"/>
    <col min="26" max="26" width="20.33203125" style="26" bestFit="1" customWidth="1"/>
    <col min="27" max="16384" width="9.109375" style="26"/>
  </cols>
  <sheetData>
    <row r="1" spans="1:26" ht="18.600000000000001" thickBot="1">
      <c r="A1" s="44" t="s">
        <v>8</v>
      </c>
      <c r="B1" s="52">
        <f>+MAIN!A19</f>
        <v>6</v>
      </c>
      <c r="C1" s="45" t="s">
        <v>54</v>
      </c>
      <c r="D1" s="52">
        <f>+MAIN!A22</f>
        <v>100</v>
      </c>
      <c r="E1" s="45"/>
      <c r="F1" s="45" t="s">
        <v>47</v>
      </c>
      <c r="G1" s="52">
        <f>+MAIN!A31</f>
        <v>0</v>
      </c>
      <c r="I1" s="45" t="s">
        <v>10</v>
      </c>
      <c r="J1" s="52">
        <f>+MAIN!A25</f>
        <v>2</v>
      </c>
      <c r="K1" s="45" t="s">
        <v>7</v>
      </c>
      <c r="L1" s="52">
        <f>+MAIN!A28</f>
        <v>3.29</v>
      </c>
      <c r="M1" s="46"/>
      <c r="N1" s="44" t="s">
        <v>11</v>
      </c>
      <c r="O1" s="45"/>
      <c r="P1" s="45"/>
      <c r="Q1" s="45"/>
      <c r="R1" s="45"/>
      <c r="S1" s="45"/>
      <c r="T1" s="45"/>
      <c r="U1" s="46"/>
      <c r="V1" s="47" t="s">
        <v>37</v>
      </c>
      <c r="W1" s="52">
        <f>+MAIN!A34</f>
        <v>1</v>
      </c>
      <c r="X1" s="45"/>
      <c r="Y1" s="45"/>
      <c r="Z1" s="46"/>
    </row>
    <row r="2" spans="1:26" ht="18.600000000000001" thickBot="1">
      <c r="A2" s="48" t="s">
        <v>12</v>
      </c>
      <c r="B2" s="49" t="s">
        <v>22</v>
      </c>
      <c r="C2" s="49" t="s">
        <v>23</v>
      </c>
      <c r="D2" s="49" t="s">
        <v>24</v>
      </c>
      <c r="E2" s="49" t="s">
        <v>25</v>
      </c>
      <c r="F2" s="49" t="s">
        <v>26</v>
      </c>
      <c r="G2" s="49" t="s">
        <v>46</v>
      </c>
      <c r="H2" s="50" t="s">
        <v>13</v>
      </c>
      <c r="I2" s="50" t="s">
        <v>14</v>
      </c>
      <c r="J2" s="50" t="s">
        <v>15</v>
      </c>
      <c r="K2" s="50" t="s">
        <v>16</v>
      </c>
      <c r="L2" s="50" t="s">
        <v>17</v>
      </c>
      <c r="M2" s="51" t="s">
        <v>18</v>
      </c>
      <c r="N2" s="48" t="s">
        <v>21</v>
      </c>
      <c r="O2" s="50" t="s">
        <v>42</v>
      </c>
      <c r="P2" s="50" t="s">
        <v>43</v>
      </c>
      <c r="Q2" s="50" t="s">
        <v>44</v>
      </c>
      <c r="R2" s="50" t="s">
        <v>45</v>
      </c>
      <c r="S2" s="53" t="s">
        <v>48</v>
      </c>
      <c r="T2" s="50" t="s">
        <v>49</v>
      </c>
      <c r="U2" s="51" t="s">
        <v>19</v>
      </c>
      <c r="V2" s="48" t="s">
        <v>20</v>
      </c>
      <c r="W2" s="50" t="s">
        <v>50</v>
      </c>
      <c r="X2" s="50" t="s">
        <v>51</v>
      </c>
      <c r="Y2" s="50" t="s">
        <v>52</v>
      </c>
      <c r="Z2" s="51" t="s">
        <v>53</v>
      </c>
    </row>
    <row r="3" spans="1:26">
      <c r="A3" s="33">
        <v>0.01</v>
      </c>
      <c r="B3" s="26">
        <v>4.6390000000000002</v>
      </c>
      <c r="C3" s="26">
        <v>1.07</v>
      </c>
      <c r="D3" s="26">
        <v>-2.7E-2</v>
      </c>
      <c r="E3" s="54">
        <v>-1.45</v>
      </c>
      <c r="F3" s="26">
        <v>-5.0000000000000001E-3</v>
      </c>
      <c r="G3" s="26">
        <v>-0.65300000000000002</v>
      </c>
      <c r="H3" s="26">
        <v>0</v>
      </c>
      <c r="I3" s="26">
        <v>0.745</v>
      </c>
      <c r="J3" s="54">
        <v>0.89200000000000002</v>
      </c>
      <c r="K3" s="26">
        <v>0.93300000000000005</v>
      </c>
      <c r="L3" s="26">
        <v>0.88600000000000001</v>
      </c>
      <c r="M3" s="35">
        <v>6.5</v>
      </c>
      <c r="N3" s="38">
        <f t="shared" ref="N3:N24" si="0">+B3</f>
        <v>4.6390000000000002</v>
      </c>
      <c r="O3" s="54">
        <f t="shared" ref="O3:O24" si="1">+IF($B$1&gt;M3,0,C3*($B$1-M3))</f>
        <v>-0.53500000000000003</v>
      </c>
      <c r="P3" s="54">
        <f t="shared" ref="P3:P24" si="2">+D3*(10-$B$1)^2</f>
        <v>-0.432</v>
      </c>
      <c r="Q3" s="54">
        <f t="shared" ref="Q3:Q24" si="3">+(E3+0.1*($B$1-7))*LN($D$1+10*EXP(0.4*($B$1-6)))</f>
        <v>-7.2857445669782459</v>
      </c>
      <c r="R3" s="54">
        <f t="shared" ref="R3:R24" si="4">+F3*$D$1</f>
        <v>-0.5</v>
      </c>
      <c r="S3" s="54">
        <f t="shared" ref="S3:S24" si="5">+G3*$G$1</f>
        <v>0</v>
      </c>
      <c r="T3" s="54">
        <f t="shared" ref="T3:T24" si="6">+LN($L$1)*IF($J$1=1,H3,IF($J$1=2,I3,IF($J$1=3,J3,IF($J$1=4,K3,L3))))</f>
        <v>0.88721123575907401</v>
      </c>
      <c r="U3" s="40">
        <f t="shared" ref="U3:U24" si="7">+SUM(N3:T3)</f>
        <v>-3.226533331219172</v>
      </c>
      <c r="V3" s="38">
        <f t="shared" ref="V3:V24" si="8">+EXP(U3)</f>
        <v>3.9694869506311334E-2</v>
      </c>
      <c r="W3" s="54">
        <f>V3*EXP($W$1*'Sigma__Intra-slab'!K3)</f>
        <v>8.7919636896513831E-2</v>
      </c>
      <c r="X3" s="54">
        <f>V3*EXP(-$W$1*'Sigma__Intra-slab'!K3)</f>
        <v>1.7921851371812979E-2</v>
      </c>
      <c r="Y3" s="54">
        <f>V3*EXP($W$1*'Sigma__Intra-slab'!H3)</f>
        <v>7.0120973812982379E-2</v>
      </c>
      <c r="Z3" s="40">
        <f>V3*EXP(-$W$1*'Sigma__Intra-slab'!H3)</f>
        <v>2.2470918178140866E-2</v>
      </c>
    </row>
    <row r="4" spans="1:26">
      <c r="A4" s="33">
        <v>0.02</v>
      </c>
      <c r="B4" s="26">
        <v>4.7140000000000004</v>
      </c>
      <c r="C4" s="26">
        <v>1.07</v>
      </c>
      <c r="D4" s="26">
        <v>-2.7E-2</v>
      </c>
      <c r="E4" s="54">
        <v>-1.45</v>
      </c>
      <c r="F4" s="26">
        <v>-5.0000000000000001E-3</v>
      </c>
      <c r="G4" s="26">
        <v>-0.65300000000000002</v>
      </c>
      <c r="H4" s="26">
        <v>0</v>
      </c>
      <c r="I4" s="26">
        <v>0.72299999999999998</v>
      </c>
      <c r="J4" s="54">
        <v>0.879</v>
      </c>
      <c r="K4" s="26">
        <v>0.93200000000000005</v>
      </c>
      <c r="L4" s="26">
        <v>0.86199999999999999</v>
      </c>
      <c r="M4" s="35">
        <v>6.5</v>
      </c>
      <c r="N4" s="38">
        <f t="shared" si="0"/>
        <v>4.7140000000000004</v>
      </c>
      <c r="O4" s="54">
        <f t="shared" si="1"/>
        <v>-0.53500000000000003</v>
      </c>
      <c r="P4" s="54">
        <f t="shared" si="2"/>
        <v>-0.432</v>
      </c>
      <c r="Q4" s="54">
        <f t="shared" si="3"/>
        <v>-7.2857445669782459</v>
      </c>
      <c r="R4" s="54">
        <f t="shared" si="4"/>
        <v>-0.5</v>
      </c>
      <c r="S4" s="54">
        <f t="shared" si="5"/>
        <v>0</v>
      </c>
      <c r="T4" s="54">
        <f t="shared" si="6"/>
        <v>0.86101170933397375</v>
      </c>
      <c r="U4" s="40">
        <f t="shared" si="7"/>
        <v>-3.1777328576442714</v>
      </c>
      <c r="V4" s="38">
        <f t="shared" si="8"/>
        <v>4.1680042675871845E-2</v>
      </c>
      <c r="W4" s="54">
        <f>V4*EXP($W$1*'Sigma__Intra-slab'!K4)</f>
        <v>9.1327926067934606E-2</v>
      </c>
      <c r="X4" s="54">
        <f>V4*EXP(-$W$1*'Sigma__Intra-slab'!K4)</f>
        <v>1.9021848324577706E-2</v>
      </c>
      <c r="Y4" s="54">
        <f>V4*EXP($W$1*'Sigma__Intra-slab'!H4)</f>
        <v>7.4144984126360447E-2</v>
      </c>
      <c r="Z4" s="40">
        <f>V4*EXP(-$W$1*'Sigma__Intra-slab'!H4)</f>
        <v>2.3430121105722509E-2</v>
      </c>
    </row>
    <row r="5" spans="1:26">
      <c r="A5" s="33">
        <v>0.03</v>
      </c>
      <c r="B5" s="26">
        <v>4.7519999999999998</v>
      </c>
      <c r="C5" s="26">
        <v>1.07</v>
      </c>
      <c r="D5" s="26">
        <v>-2.7E-2</v>
      </c>
      <c r="E5" s="54">
        <v>-1.45</v>
      </c>
      <c r="F5" s="26">
        <v>-5.0000000000000001E-3</v>
      </c>
      <c r="G5" s="26">
        <v>-0.65300000000000002</v>
      </c>
      <c r="H5" s="26">
        <v>0</v>
      </c>
      <c r="I5" s="26">
        <v>0.72499999999999998</v>
      </c>
      <c r="J5" s="54">
        <v>0.86299999999999999</v>
      </c>
      <c r="K5" s="26">
        <v>0.93600000000000005</v>
      </c>
      <c r="L5" s="26">
        <v>0.81</v>
      </c>
      <c r="M5" s="35">
        <v>6.5</v>
      </c>
      <c r="N5" s="38">
        <f t="shared" si="0"/>
        <v>4.7519999999999998</v>
      </c>
      <c r="O5" s="54">
        <f t="shared" si="1"/>
        <v>-0.53500000000000003</v>
      </c>
      <c r="P5" s="54">
        <f t="shared" si="2"/>
        <v>-0.432</v>
      </c>
      <c r="Q5" s="54">
        <f t="shared" si="3"/>
        <v>-7.2857445669782459</v>
      </c>
      <c r="R5" s="54">
        <f t="shared" si="4"/>
        <v>-0.5</v>
      </c>
      <c r="S5" s="54">
        <f t="shared" si="5"/>
        <v>0</v>
      </c>
      <c r="T5" s="54">
        <f t="shared" si="6"/>
        <v>0.86339348446352837</v>
      </c>
      <c r="U5" s="40">
        <f t="shared" si="7"/>
        <v>-3.1373510825147184</v>
      </c>
      <c r="V5" s="38">
        <f t="shared" si="8"/>
        <v>4.3397602448896511E-2</v>
      </c>
      <c r="W5" s="54">
        <f>V5*EXP($W$1*'Sigma__Intra-slab'!K5)</f>
        <v>9.5646147913285656E-2</v>
      </c>
      <c r="X5" s="54">
        <f>V5*EXP(-$W$1*'Sigma__Intra-slab'!K5)</f>
        <v>1.9690828532059078E-2</v>
      </c>
      <c r="Y5" s="54">
        <f>V5*EXP($W$1*'Sigma__Intra-slab'!H5)</f>
        <v>7.7742664276562873E-2</v>
      </c>
      <c r="Z5" s="40">
        <f>V5*EXP(-$W$1*'Sigma__Intra-slab'!H5)</f>
        <v>2.4225461216669977E-2</v>
      </c>
    </row>
    <row r="6" spans="1:26">
      <c r="A6" s="33">
        <v>0.05</v>
      </c>
      <c r="B6" s="26">
        <v>4.9509999999999996</v>
      </c>
      <c r="C6" s="26">
        <v>1.07</v>
      </c>
      <c r="D6" s="26">
        <v>-2.7E-2</v>
      </c>
      <c r="E6" s="54">
        <v>-1.45</v>
      </c>
      <c r="F6" s="26">
        <v>-5.0000000000000001E-3</v>
      </c>
      <c r="G6" s="26">
        <v>-0.65300000000000002</v>
      </c>
      <c r="H6" s="26">
        <v>0</v>
      </c>
      <c r="I6" s="26">
        <v>0.752</v>
      </c>
      <c r="J6" s="54">
        <v>0.80600000000000005</v>
      </c>
      <c r="K6" s="26">
        <v>0.88900000000000001</v>
      </c>
      <c r="L6" s="26">
        <v>0.747</v>
      </c>
      <c r="M6" s="35">
        <v>6.5</v>
      </c>
      <c r="N6" s="38">
        <f t="shared" si="0"/>
        <v>4.9509999999999996</v>
      </c>
      <c r="O6" s="54">
        <f t="shared" si="1"/>
        <v>-0.53500000000000003</v>
      </c>
      <c r="P6" s="54">
        <f t="shared" si="2"/>
        <v>-0.432</v>
      </c>
      <c r="Q6" s="54">
        <f t="shared" si="3"/>
        <v>-7.2857445669782459</v>
      </c>
      <c r="R6" s="54">
        <f t="shared" si="4"/>
        <v>-0.5</v>
      </c>
      <c r="S6" s="54">
        <f t="shared" si="5"/>
        <v>0</v>
      </c>
      <c r="T6" s="54">
        <f t="shared" si="6"/>
        <v>0.8955474487125149</v>
      </c>
      <c r="U6" s="40">
        <f t="shared" si="7"/>
        <v>-2.9061971182657316</v>
      </c>
      <c r="V6" s="38">
        <f t="shared" si="8"/>
        <v>5.4683289038615676E-2</v>
      </c>
      <c r="W6" s="54">
        <f>V6*EXP($W$1*'Sigma__Intra-slab'!K6)</f>
        <v>0.12179306544465673</v>
      </c>
      <c r="X6" s="54">
        <f>V6*EXP(-$W$1*'Sigma__Intra-slab'!K6)</f>
        <v>2.4551989796492747E-2</v>
      </c>
      <c r="Y6" s="54">
        <f>V6*EXP($W$1*'Sigma__Intra-slab'!H6)</f>
        <v>9.8254215994714622E-2</v>
      </c>
      <c r="Z6" s="40">
        <f>V6*EXP(-$W$1*'Sigma__Intra-slab'!H6)</f>
        <v>3.0433931712829914E-2</v>
      </c>
    </row>
    <row r="7" spans="1:26">
      <c r="A7" s="33">
        <v>7.4999999999999997E-2</v>
      </c>
      <c r="B7" s="26">
        <v>5.1260000000000003</v>
      </c>
      <c r="C7" s="26">
        <v>1.07</v>
      </c>
      <c r="D7" s="26">
        <v>-2.7E-2</v>
      </c>
      <c r="E7" s="54">
        <v>-1.42</v>
      </c>
      <c r="F7" s="26">
        <v>-6.0000000000000001E-3</v>
      </c>
      <c r="G7" s="26">
        <v>-0.71699999999999997</v>
      </c>
      <c r="H7" s="26">
        <v>0</v>
      </c>
      <c r="I7" s="26">
        <v>0.82299999999999995</v>
      </c>
      <c r="J7" s="54">
        <v>0.79500000000000004</v>
      </c>
      <c r="K7" s="26">
        <v>0.82499999999999996</v>
      </c>
      <c r="L7" s="26">
        <v>0.65300000000000002</v>
      </c>
      <c r="M7" s="35">
        <v>6.5</v>
      </c>
      <c r="N7" s="38">
        <f t="shared" si="0"/>
        <v>5.1260000000000003</v>
      </c>
      <c r="O7" s="54">
        <f t="shared" si="1"/>
        <v>-0.53500000000000003</v>
      </c>
      <c r="P7" s="54">
        <f t="shared" si="2"/>
        <v>-0.432</v>
      </c>
      <c r="Q7" s="54">
        <f t="shared" si="3"/>
        <v>-7.1447301560044734</v>
      </c>
      <c r="R7" s="54">
        <f t="shared" si="4"/>
        <v>-0.6</v>
      </c>
      <c r="S7" s="54">
        <f t="shared" si="5"/>
        <v>0</v>
      </c>
      <c r="T7" s="54">
        <f t="shared" si="6"/>
        <v>0.98010046581170185</v>
      </c>
      <c r="U7" s="40">
        <f t="shared" si="7"/>
        <v>-2.6056296901927718</v>
      </c>
      <c r="V7" s="38">
        <f t="shared" si="8"/>
        <v>7.3856615765429554E-2</v>
      </c>
      <c r="W7" s="54">
        <f>V7*EXP($W$1*'Sigma__Intra-slab'!K7)</f>
        <v>0.17323588808285964</v>
      </c>
      <c r="X7" s="54">
        <f>V7*EXP(-$W$1*'Sigma__Intra-slab'!K7)</f>
        <v>3.1487700110460003E-2</v>
      </c>
      <c r="Y7" s="54">
        <f>V7*EXP($W$1*'Sigma__Intra-slab'!H7)</f>
        <v>0.1382585646297716</v>
      </c>
      <c r="Z7" s="40">
        <f>V7*EXP(-$W$1*'Sigma__Intra-slab'!H7)</f>
        <v>3.9453611477373168E-2</v>
      </c>
    </row>
    <row r="8" spans="1:26">
      <c r="A8" s="33">
        <v>0.1</v>
      </c>
      <c r="B8" s="26">
        <v>5.1529999999999996</v>
      </c>
      <c r="C8" s="26">
        <v>1.07</v>
      </c>
      <c r="D8" s="26">
        <v>-2.7E-2</v>
      </c>
      <c r="E8" s="54">
        <v>-1.3640000000000001</v>
      </c>
      <c r="F8" s="26">
        <v>-6.0000000000000001E-3</v>
      </c>
      <c r="G8" s="26">
        <v>-0.80700000000000005</v>
      </c>
      <c r="H8" s="26">
        <v>0</v>
      </c>
      <c r="I8" s="26">
        <v>0.92900000000000005</v>
      </c>
      <c r="J8" s="54">
        <v>0.82</v>
      </c>
      <c r="K8" s="26">
        <v>0.78500000000000003</v>
      </c>
      <c r="L8" s="26">
        <v>0.56100000000000005</v>
      </c>
      <c r="M8" s="35">
        <v>6.5</v>
      </c>
      <c r="N8" s="38">
        <f t="shared" si="0"/>
        <v>5.1529999999999996</v>
      </c>
      <c r="O8" s="54">
        <f t="shared" si="1"/>
        <v>-0.53500000000000003</v>
      </c>
      <c r="P8" s="54">
        <f t="shared" si="2"/>
        <v>-0.432</v>
      </c>
      <c r="Q8" s="54">
        <f t="shared" si="3"/>
        <v>-6.8815032555200988</v>
      </c>
      <c r="R8" s="54">
        <f t="shared" si="4"/>
        <v>-0.6</v>
      </c>
      <c r="S8" s="54">
        <f t="shared" si="5"/>
        <v>0</v>
      </c>
      <c r="T8" s="54">
        <f t="shared" si="6"/>
        <v>1.1063345476780937</v>
      </c>
      <c r="U8" s="40">
        <f t="shared" si="7"/>
        <v>-2.1891687078420059</v>
      </c>
      <c r="V8" s="38">
        <f t="shared" si="8"/>
        <v>0.11200982281336741</v>
      </c>
      <c r="W8" s="54">
        <f>V8*EXP($W$1*'Sigma__Intra-slab'!K8)</f>
        <v>0.27793045596551769</v>
      </c>
      <c r="X8" s="54">
        <f>V8*EXP(-$W$1*'Sigma__Intra-slab'!K8)</f>
        <v>4.5141509817975996E-2</v>
      </c>
      <c r="Y8" s="54">
        <f>V8*EXP($W$1*'Sigma__Intra-slab'!H8)</f>
        <v>0.22691751267129825</v>
      </c>
      <c r="Z8" s="40">
        <f>V8*EXP(-$W$1*'Sigma__Intra-slab'!H8)</f>
        <v>5.5289696502428091E-2</v>
      </c>
    </row>
    <row r="9" spans="1:26">
      <c r="A9" s="33">
        <v>0.15</v>
      </c>
      <c r="B9" s="26">
        <v>4.9749999999999996</v>
      </c>
      <c r="C9" s="26">
        <v>1.07</v>
      </c>
      <c r="D9" s="26">
        <v>-2.7E-2</v>
      </c>
      <c r="E9" s="54">
        <v>-1.298</v>
      </c>
      <c r="F9" s="26">
        <v>-6.0000000000000001E-3</v>
      </c>
      <c r="G9" s="26">
        <v>-0.86199999999999999</v>
      </c>
      <c r="H9" s="26">
        <v>0</v>
      </c>
      <c r="I9" s="26">
        <v>0.95299999999999996</v>
      </c>
      <c r="J9" s="54">
        <v>0.91700000000000004</v>
      </c>
      <c r="K9" s="26">
        <v>0.78500000000000003</v>
      </c>
      <c r="L9" s="26">
        <v>0.505</v>
      </c>
      <c r="M9" s="35">
        <v>6.5</v>
      </c>
      <c r="N9" s="38">
        <f t="shared" si="0"/>
        <v>4.9749999999999996</v>
      </c>
      <c r="O9" s="54">
        <f t="shared" si="1"/>
        <v>-0.53500000000000003</v>
      </c>
      <c r="P9" s="54">
        <f t="shared" si="2"/>
        <v>-0.432</v>
      </c>
      <c r="Q9" s="54">
        <f t="shared" si="3"/>
        <v>-6.5712715513777988</v>
      </c>
      <c r="R9" s="54">
        <f t="shared" si="4"/>
        <v>-0.6</v>
      </c>
      <c r="S9" s="54">
        <f t="shared" si="5"/>
        <v>0</v>
      </c>
      <c r="T9" s="54">
        <f t="shared" si="6"/>
        <v>1.1349158492327482</v>
      </c>
      <c r="U9" s="40">
        <f t="shared" si="7"/>
        <v>-2.0283557021450518</v>
      </c>
      <c r="V9" s="38">
        <f t="shared" si="8"/>
        <v>0.13155165350848733</v>
      </c>
      <c r="W9" s="54">
        <f>V9*EXP($W$1*'Sigma__Intra-slab'!K9)</f>
        <v>0.33089238515631197</v>
      </c>
      <c r="X9" s="54">
        <f>V9*EXP(-$W$1*'Sigma__Intra-slab'!K9)</f>
        <v>5.230050106061495E-2</v>
      </c>
      <c r="Y9" s="54">
        <f>V9*EXP($W$1*'Sigma__Intra-slab'!H9)</f>
        <v>0.26784262204214976</v>
      </c>
      <c r="Z9" s="40">
        <f>V9*EXP(-$W$1*'Sigma__Intra-slab'!H9)</f>
        <v>6.4611962834256173E-2</v>
      </c>
    </row>
    <row r="10" spans="1:26">
      <c r="A10" s="33">
        <v>0.2</v>
      </c>
      <c r="B10" s="26">
        <v>4.6500000000000004</v>
      </c>
      <c r="C10" s="26">
        <v>1.07</v>
      </c>
      <c r="D10" s="26">
        <v>-2.7E-2</v>
      </c>
      <c r="E10" s="54">
        <v>-1.258</v>
      </c>
      <c r="F10" s="26">
        <v>-6.0000000000000001E-3</v>
      </c>
      <c r="G10" s="26">
        <v>-0.85699999999999998</v>
      </c>
      <c r="H10" s="26">
        <v>0</v>
      </c>
      <c r="I10" s="26">
        <v>0.84899999999999998</v>
      </c>
      <c r="J10" s="54">
        <v>1.018</v>
      </c>
      <c r="K10" s="26">
        <v>0.95</v>
      </c>
      <c r="L10" s="26">
        <v>0.55300000000000005</v>
      </c>
      <c r="M10" s="35">
        <v>6.5</v>
      </c>
      <c r="N10" s="38">
        <f t="shared" si="0"/>
        <v>4.6500000000000004</v>
      </c>
      <c r="O10" s="54">
        <f t="shared" si="1"/>
        <v>-0.53500000000000003</v>
      </c>
      <c r="P10" s="54">
        <f t="shared" si="2"/>
        <v>-0.432</v>
      </c>
      <c r="Q10" s="54">
        <f t="shared" si="3"/>
        <v>-6.3832523367461018</v>
      </c>
      <c r="R10" s="54">
        <f t="shared" si="4"/>
        <v>-0.6</v>
      </c>
      <c r="S10" s="54">
        <f t="shared" si="5"/>
        <v>0</v>
      </c>
      <c r="T10" s="54">
        <f t="shared" si="6"/>
        <v>1.0110635424959111</v>
      </c>
      <c r="U10" s="40">
        <f t="shared" si="7"/>
        <v>-2.2891887942501903</v>
      </c>
      <c r="V10" s="38">
        <f t="shared" si="8"/>
        <v>0.10134864311845268</v>
      </c>
      <c r="W10" s="54">
        <f>V10*EXP($W$1*'Sigma__Intra-slab'!K10)</f>
        <v>0.24192588643175583</v>
      </c>
      <c r="X10" s="54">
        <f>V10*EXP(-$W$1*'Sigma__Intra-slab'!K10)</f>
        <v>4.2457413770183521E-2</v>
      </c>
      <c r="Y10" s="54">
        <f>V10*EXP($W$1*'Sigma__Intra-slab'!H10)</f>
        <v>0.19746601325181404</v>
      </c>
      <c r="Z10" s="40">
        <f>V10*EXP(-$W$1*'Sigma__Intra-slab'!H10)</f>
        <v>5.2016786548746134E-2</v>
      </c>
    </row>
    <row r="11" spans="1:26">
      <c r="A11" s="33">
        <v>0.25</v>
      </c>
      <c r="B11" s="26">
        <v>4.3</v>
      </c>
      <c r="C11" s="26">
        <v>1.07</v>
      </c>
      <c r="D11" s="26">
        <v>-2.7E-2</v>
      </c>
      <c r="E11" s="54">
        <v>-1.2270000000000001</v>
      </c>
      <c r="F11" s="26">
        <v>-5.0000000000000001E-3</v>
      </c>
      <c r="G11" s="26">
        <v>-0.82399999999999995</v>
      </c>
      <c r="H11" s="26">
        <v>0</v>
      </c>
      <c r="I11" s="26">
        <v>0.69099999999999995</v>
      </c>
      <c r="J11" s="54">
        <v>1.101</v>
      </c>
      <c r="K11" s="26">
        <v>1.0660000000000001</v>
      </c>
      <c r="L11" s="26">
        <v>0.65900000000000003</v>
      </c>
      <c r="M11" s="35">
        <v>6.5</v>
      </c>
      <c r="N11" s="38">
        <f t="shared" si="0"/>
        <v>4.3</v>
      </c>
      <c r="O11" s="54">
        <f t="shared" si="1"/>
        <v>-0.53500000000000003</v>
      </c>
      <c r="P11" s="54">
        <f t="shared" si="2"/>
        <v>-0.432</v>
      </c>
      <c r="Q11" s="54">
        <f t="shared" si="3"/>
        <v>-6.237537445406538</v>
      </c>
      <c r="R11" s="54">
        <f t="shared" si="4"/>
        <v>-0.5</v>
      </c>
      <c r="S11" s="54">
        <f t="shared" si="5"/>
        <v>0</v>
      </c>
      <c r="T11" s="54">
        <f t="shared" si="6"/>
        <v>0.82290330726110084</v>
      </c>
      <c r="U11" s="40">
        <f t="shared" si="7"/>
        <v>-2.5816341381454375</v>
      </c>
      <c r="V11" s="38">
        <f t="shared" si="8"/>
        <v>7.5650279951084601E-2</v>
      </c>
      <c r="W11" s="54">
        <f>V11*EXP($W$1*'Sigma__Intra-slab'!K11)</f>
        <v>0.17783261326305774</v>
      </c>
      <c r="X11" s="54">
        <f>V11*EXP(-$W$1*'Sigma__Intra-slab'!K11)</f>
        <v>3.2181750870476235E-2</v>
      </c>
      <c r="Y11" s="54">
        <f>V11*EXP($W$1*'Sigma__Intra-slab'!H11)</f>
        <v>0.14147473371715322</v>
      </c>
      <c r="Z11" s="40">
        <f>V11*EXP(-$W$1*'Sigma__Intra-slab'!H11)</f>
        <v>4.0452204477155952E-2</v>
      </c>
    </row>
    <row r="12" spans="1:26">
      <c r="A12" s="33">
        <v>0.3</v>
      </c>
      <c r="B12" s="26">
        <v>4</v>
      </c>
      <c r="C12" s="26">
        <v>1.07</v>
      </c>
      <c r="D12" s="26">
        <v>-2.7E-2</v>
      </c>
      <c r="E12" s="54">
        <v>-1.2010000000000001</v>
      </c>
      <c r="F12" s="26">
        <v>-4.0000000000000001E-3</v>
      </c>
      <c r="G12" s="26">
        <v>-0.76600000000000001</v>
      </c>
      <c r="H12" s="26">
        <v>0</v>
      </c>
      <c r="I12" s="26">
        <v>0.55600000000000005</v>
      </c>
      <c r="J12" s="54">
        <v>1.113</v>
      </c>
      <c r="K12" s="26">
        <v>1.153</v>
      </c>
      <c r="L12" s="26">
        <v>0.74399999999999999</v>
      </c>
      <c r="M12" s="35">
        <v>6.5</v>
      </c>
      <c r="N12" s="38">
        <f t="shared" si="0"/>
        <v>4</v>
      </c>
      <c r="O12" s="54">
        <f t="shared" si="1"/>
        <v>-0.53500000000000003</v>
      </c>
      <c r="P12" s="54">
        <f t="shared" si="2"/>
        <v>-0.432</v>
      </c>
      <c r="Q12" s="54">
        <f t="shared" si="3"/>
        <v>-6.1153249558959351</v>
      </c>
      <c r="R12" s="54">
        <f t="shared" si="4"/>
        <v>-0.4</v>
      </c>
      <c r="S12" s="54">
        <f t="shared" si="5"/>
        <v>0</v>
      </c>
      <c r="T12" s="54">
        <f t="shared" si="6"/>
        <v>0.66213348601616806</v>
      </c>
      <c r="U12" s="40">
        <f t="shared" si="7"/>
        <v>-2.820191469879767</v>
      </c>
      <c r="V12" s="38">
        <f t="shared" si="8"/>
        <v>5.9594531058783984E-2</v>
      </c>
      <c r="W12" s="54">
        <f>V12*EXP($W$1*'Sigma__Intra-slab'!K12)</f>
        <v>0.13449408173996011</v>
      </c>
      <c r="X12" s="54">
        <f>V12*EXP(-$W$1*'Sigma__Intra-slab'!K12)</f>
        <v>2.6406426856633691E-2</v>
      </c>
      <c r="Y12" s="54">
        <f>V12*EXP($W$1*'Sigma__Intra-slab'!H12)</f>
        <v>0.11245619961777581</v>
      </c>
      <c r="Z12" s="40">
        <f>V12*EXP(-$W$1*'Sigma__Intra-slab'!H12)</f>
        <v>3.1581256917693194E-2</v>
      </c>
    </row>
    <row r="13" spans="1:26">
      <c r="A13" s="33">
        <v>0.4</v>
      </c>
      <c r="B13" s="26">
        <v>3.5</v>
      </c>
      <c r="C13" s="26">
        <v>1.07</v>
      </c>
      <c r="D13" s="26">
        <v>-0.03</v>
      </c>
      <c r="E13" s="54">
        <v>-1.161</v>
      </c>
      <c r="F13" s="26">
        <v>-3.0000000000000001E-3</v>
      </c>
      <c r="G13" s="26">
        <v>-0.628</v>
      </c>
      <c r="H13" s="26">
        <v>0</v>
      </c>
      <c r="I13" s="26">
        <v>0.499</v>
      </c>
      <c r="J13" s="54">
        <v>1.0029999999999999</v>
      </c>
      <c r="K13" s="26">
        <v>1.2809999999999999</v>
      </c>
      <c r="L13" s="26">
        <v>0.90400000000000003</v>
      </c>
      <c r="M13" s="35">
        <v>6.5</v>
      </c>
      <c r="N13" s="38">
        <f t="shared" si="0"/>
        <v>3.5</v>
      </c>
      <c r="O13" s="54">
        <f t="shared" si="1"/>
        <v>-0.53500000000000003</v>
      </c>
      <c r="P13" s="54">
        <f t="shared" si="2"/>
        <v>-0.48</v>
      </c>
      <c r="Q13" s="54">
        <f t="shared" si="3"/>
        <v>-5.927305741264238</v>
      </c>
      <c r="R13" s="54">
        <f t="shared" si="4"/>
        <v>-0.3</v>
      </c>
      <c r="S13" s="54">
        <f t="shared" si="5"/>
        <v>0</v>
      </c>
      <c r="T13" s="54">
        <f t="shared" si="6"/>
        <v>0.59425289482386301</v>
      </c>
      <c r="U13" s="40">
        <f t="shared" si="7"/>
        <v>-3.148052846440375</v>
      </c>
      <c r="V13" s="38">
        <f t="shared" si="8"/>
        <v>4.2935647826084701E-2</v>
      </c>
      <c r="W13" s="54">
        <f>V13*EXP($W$1*'Sigma__Intra-slab'!K13)</f>
        <v>8.7442879959955672E-2</v>
      </c>
      <c r="X13" s="54">
        <f>V13*EXP(-$W$1*'Sigma__Intra-slab'!K13)</f>
        <v>2.1081989237886331E-2</v>
      </c>
      <c r="Y13" s="54">
        <f>V13*EXP($W$1*'Sigma__Intra-slab'!H13)</f>
        <v>7.2799015556944235E-2</v>
      </c>
      <c r="Z13" s="40">
        <f>V13*EXP(-$W$1*'Sigma__Intra-slab'!H13)</f>
        <v>2.5322730536151115E-2</v>
      </c>
    </row>
    <row r="14" spans="1:26">
      <c r="A14" s="33">
        <v>0.5</v>
      </c>
      <c r="B14" s="26">
        <v>3.1179999999999999</v>
      </c>
      <c r="C14" s="26">
        <v>1.07</v>
      </c>
      <c r="D14" s="26">
        <v>-3.6999999999999998E-2</v>
      </c>
      <c r="E14" s="54">
        <v>-1.1299999999999999</v>
      </c>
      <c r="F14" s="26">
        <v>-3.0000000000000001E-3</v>
      </c>
      <c r="G14" s="26">
        <v>-0.52100000000000002</v>
      </c>
      <c r="H14" s="26">
        <v>0</v>
      </c>
      <c r="I14" s="26">
        <v>0.442</v>
      </c>
      <c r="J14" s="54">
        <v>0.82899999999999996</v>
      </c>
      <c r="K14" s="26">
        <v>1.2829999999999999</v>
      </c>
      <c r="L14" s="26">
        <v>1.0820000000000001</v>
      </c>
      <c r="M14" s="35">
        <v>6.5</v>
      </c>
      <c r="N14" s="38">
        <f t="shared" si="0"/>
        <v>3.1179999999999999</v>
      </c>
      <c r="O14" s="54">
        <f t="shared" si="1"/>
        <v>-0.53500000000000003</v>
      </c>
      <c r="P14" s="54">
        <f t="shared" si="2"/>
        <v>-0.59199999999999997</v>
      </c>
      <c r="Q14" s="54">
        <f t="shared" si="3"/>
        <v>-5.7815908499246724</v>
      </c>
      <c r="R14" s="54">
        <f t="shared" si="4"/>
        <v>-0.3</v>
      </c>
      <c r="S14" s="54">
        <f t="shared" si="5"/>
        <v>0</v>
      </c>
      <c r="T14" s="54">
        <f t="shared" si="6"/>
        <v>0.52637230363155796</v>
      </c>
      <c r="U14" s="40">
        <f t="shared" si="7"/>
        <v>-3.5642185462931146</v>
      </c>
      <c r="V14" s="38">
        <f t="shared" si="8"/>
        <v>2.8319106910696782E-2</v>
      </c>
      <c r="W14" s="54">
        <f>V14*EXP($W$1*'Sigma__Intra-slab'!K14)</f>
        <v>6.1578934687821704E-2</v>
      </c>
      <c r="X14" s="54">
        <f>V14*EXP(-$W$1*'Sigma__Intra-slab'!K14)</f>
        <v>1.3023476620456671E-2</v>
      </c>
      <c r="Y14" s="54">
        <f>V14*EXP($W$1*'Sigma__Intra-slab'!H14)</f>
        <v>4.9577481701502134E-2</v>
      </c>
      <c r="Z14" s="40">
        <f>V14*EXP(-$W$1*'Sigma__Intra-slab'!H14)</f>
        <v>1.6176130547493613E-2</v>
      </c>
    </row>
    <row r="15" spans="1:26">
      <c r="A15" s="33">
        <v>0.75</v>
      </c>
      <c r="B15" s="26">
        <v>2.4</v>
      </c>
      <c r="C15" s="26">
        <v>1.07</v>
      </c>
      <c r="D15" s="26">
        <v>-5.6000000000000001E-2</v>
      </c>
      <c r="E15" s="54">
        <v>-1.0740000000000001</v>
      </c>
      <c r="F15" s="26">
        <v>-3.0000000000000001E-3</v>
      </c>
      <c r="G15" s="26">
        <v>-0.32900000000000001</v>
      </c>
      <c r="H15" s="26">
        <v>0</v>
      </c>
      <c r="I15" s="26">
        <v>0.39100000000000001</v>
      </c>
      <c r="J15" s="54">
        <v>0.53500000000000003</v>
      </c>
      <c r="K15" s="26">
        <v>1.1459999999999999</v>
      </c>
      <c r="L15" s="26">
        <v>1.403</v>
      </c>
      <c r="M15" s="35">
        <v>6.5</v>
      </c>
      <c r="N15" s="38">
        <f t="shared" si="0"/>
        <v>2.4</v>
      </c>
      <c r="O15" s="54">
        <f t="shared" si="1"/>
        <v>-0.53500000000000003</v>
      </c>
      <c r="P15" s="54">
        <f t="shared" si="2"/>
        <v>-0.89600000000000002</v>
      </c>
      <c r="Q15" s="54">
        <f t="shared" si="3"/>
        <v>-5.5183639494402978</v>
      </c>
      <c r="R15" s="54">
        <f t="shared" si="4"/>
        <v>-0.3</v>
      </c>
      <c r="S15" s="54">
        <f t="shared" si="5"/>
        <v>0</v>
      </c>
      <c r="T15" s="54">
        <f t="shared" si="6"/>
        <v>0.46563703782791671</v>
      </c>
      <c r="U15" s="40">
        <f t="shared" si="7"/>
        <v>-4.3837269116123814</v>
      </c>
      <c r="V15" s="38">
        <f t="shared" si="8"/>
        <v>1.2478764596418107E-2</v>
      </c>
      <c r="W15" s="54">
        <f>V15*EXP($W$1*'Sigma__Intra-slab'!K15)</f>
        <v>2.9903916693221722E-2</v>
      </c>
      <c r="X15" s="54">
        <f>V15*EXP(-$W$1*'Sigma__Intra-slab'!K15)</f>
        <v>5.2073301116477063E-3</v>
      </c>
      <c r="Y15" s="54">
        <f>V15*EXP($W$1*'Sigma__Intra-slab'!H15)</f>
        <v>2.113706992272902E-2</v>
      </c>
      <c r="Z15" s="40">
        <f>V15*EXP(-$W$1*'Sigma__Intra-slab'!H15)</f>
        <v>7.3671311313291497E-3</v>
      </c>
    </row>
    <row r="16" spans="1:26">
      <c r="A16" s="33">
        <v>1</v>
      </c>
      <c r="B16" s="26">
        <v>1.821</v>
      </c>
      <c r="C16" s="26">
        <v>1.07</v>
      </c>
      <c r="D16" s="26">
        <v>-7.1999999999999995E-2</v>
      </c>
      <c r="E16" s="54">
        <v>-1</v>
      </c>
      <c r="F16" s="26">
        <v>-3.0000000000000001E-3</v>
      </c>
      <c r="G16" s="26">
        <v>-0.192</v>
      </c>
      <c r="H16" s="26">
        <v>0</v>
      </c>
      <c r="I16" s="26">
        <v>0.35499999999999998</v>
      </c>
      <c r="J16" s="54">
        <v>0.40899999999999997</v>
      </c>
      <c r="K16" s="26">
        <v>0.98</v>
      </c>
      <c r="L16" s="26">
        <v>1.35</v>
      </c>
      <c r="M16" s="35">
        <v>6.5</v>
      </c>
      <c r="N16" s="38">
        <f t="shared" si="0"/>
        <v>1.821</v>
      </c>
      <c r="O16" s="54">
        <f t="shared" si="1"/>
        <v>-0.53500000000000003</v>
      </c>
      <c r="P16" s="54">
        <f t="shared" si="2"/>
        <v>-1.1519999999999999</v>
      </c>
      <c r="Q16" s="54">
        <f t="shared" si="3"/>
        <v>-5.1705284023716587</v>
      </c>
      <c r="R16" s="54">
        <f t="shared" si="4"/>
        <v>-0.3</v>
      </c>
      <c r="S16" s="54">
        <f t="shared" si="5"/>
        <v>0</v>
      </c>
      <c r="T16" s="54">
        <f t="shared" si="6"/>
        <v>0.42276508549593456</v>
      </c>
      <c r="U16" s="40">
        <f t="shared" si="7"/>
        <v>-4.9137633168757233</v>
      </c>
      <c r="V16" s="38">
        <f t="shared" si="8"/>
        <v>7.3447954628177489E-3</v>
      </c>
      <c r="W16" s="54">
        <f>V16*EXP($W$1*'Sigma__Intra-slab'!K16)</f>
        <v>1.6944270597438842E-2</v>
      </c>
      <c r="X16" s="54">
        <f>V16*EXP(-$W$1*'Sigma__Intra-slab'!K16)</f>
        <v>3.1837322285671148E-3</v>
      </c>
      <c r="Y16" s="54">
        <f>V16*EXP($W$1*'Sigma__Intra-slab'!H16)</f>
        <v>1.2037080921518024E-2</v>
      </c>
      <c r="Z16" s="40">
        <f>V16*EXP(-$W$1*'Sigma__Intra-slab'!H16)</f>
        <v>4.481653047143006E-3</v>
      </c>
    </row>
    <row r="17" spans="1:26">
      <c r="A17" s="33">
        <v>1.5</v>
      </c>
      <c r="B17" s="26">
        <v>0.95299999999999996</v>
      </c>
      <c r="C17" s="26">
        <v>1.07</v>
      </c>
      <c r="D17" s="26">
        <v>-8.5000000000000006E-2</v>
      </c>
      <c r="E17" s="54">
        <v>-0.95799999999999996</v>
      </c>
      <c r="F17" s="26">
        <v>-2E-3</v>
      </c>
      <c r="G17" s="26">
        <v>-8.8999999999999996E-2</v>
      </c>
      <c r="H17" s="26">
        <v>0</v>
      </c>
      <c r="I17" s="26">
        <v>0.30399999999999999</v>
      </c>
      <c r="J17" s="54">
        <v>0.317</v>
      </c>
      <c r="K17" s="26">
        <v>0.75600000000000001</v>
      </c>
      <c r="L17" s="26">
        <v>1.0920000000000001</v>
      </c>
      <c r="M17" s="35">
        <v>6.5</v>
      </c>
      <c r="N17" s="38">
        <f t="shared" si="0"/>
        <v>0.95299999999999996</v>
      </c>
      <c r="O17" s="54">
        <f t="shared" si="1"/>
        <v>-0.53500000000000003</v>
      </c>
      <c r="P17" s="54">
        <f t="shared" si="2"/>
        <v>-1.36</v>
      </c>
      <c r="Q17" s="54">
        <f t="shared" si="3"/>
        <v>-4.9731082270083773</v>
      </c>
      <c r="R17" s="54">
        <f t="shared" si="4"/>
        <v>-0.2</v>
      </c>
      <c r="S17" s="54">
        <f t="shared" si="5"/>
        <v>0</v>
      </c>
      <c r="T17" s="54">
        <f t="shared" si="6"/>
        <v>0.36202981969229325</v>
      </c>
      <c r="U17" s="40">
        <f t="shared" si="7"/>
        <v>-5.7530784073160843</v>
      </c>
      <c r="V17" s="38">
        <f t="shared" si="8"/>
        <v>3.1729979663138782E-3</v>
      </c>
      <c r="W17" s="54">
        <f>V17*EXP($W$1*'Sigma__Intra-slab'!K17)</f>
        <v>6.628682920524237E-3</v>
      </c>
      <c r="X17" s="54">
        <f>V17*EXP(-$W$1*'Sigma__Intra-slab'!K17)</f>
        <v>1.5188411053814251E-3</v>
      </c>
      <c r="Y17" s="54">
        <f>V17*EXP($W$1*'Sigma__Intra-slab'!H17)</f>
        <v>5.2734082046233212E-3</v>
      </c>
      <c r="Z17" s="40">
        <f>V17*EXP(-$W$1*'Sigma__Intra-slab'!H17)</f>
        <v>1.9091858061367651E-3</v>
      </c>
    </row>
    <row r="18" spans="1:26">
      <c r="A18" s="33">
        <v>2</v>
      </c>
      <c r="B18" s="26">
        <v>0.34</v>
      </c>
      <c r="C18" s="26">
        <v>1.07</v>
      </c>
      <c r="D18" s="26">
        <v>-9.5000000000000001E-2</v>
      </c>
      <c r="E18" s="54">
        <v>-0.93799999999999994</v>
      </c>
      <c r="F18" s="26">
        <v>-2E-3</v>
      </c>
      <c r="G18" s="26">
        <v>-3.5999999999999997E-2</v>
      </c>
      <c r="H18" s="26">
        <v>0</v>
      </c>
      <c r="I18" s="26">
        <v>0.27800000000000002</v>
      </c>
      <c r="J18" s="54">
        <v>0.28199999999999997</v>
      </c>
      <c r="K18" s="26">
        <v>0.66600000000000004</v>
      </c>
      <c r="L18" s="26">
        <v>0.90900000000000003</v>
      </c>
      <c r="M18" s="35">
        <v>6.5</v>
      </c>
      <c r="N18" s="38">
        <f t="shared" si="0"/>
        <v>0.34</v>
      </c>
      <c r="O18" s="54">
        <f t="shared" si="1"/>
        <v>-0.53500000000000003</v>
      </c>
      <c r="P18" s="54">
        <f t="shared" si="2"/>
        <v>-1.52</v>
      </c>
      <c r="Q18" s="54">
        <f t="shared" si="3"/>
        <v>-4.8790986196925283</v>
      </c>
      <c r="R18" s="54">
        <f t="shared" si="4"/>
        <v>-0.2</v>
      </c>
      <c r="S18" s="54">
        <f t="shared" si="5"/>
        <v>0</v>
      </c>
      <c r="T18" s="54">
        <f t="shared" si="6"/>
        <v>0.33106674300808403</v>
      </c>
      <c r="U18" s="40">
        <f t="shared" si="7"/>
        <v>-6.4630318766844441</v>
      </c>
      <c r="V18" s="38">
        <f t="shared" si="8"/>
        <v>1.5600586275181802E-3</v>
      </c>
      <c r="W18" s="54">
        <f>V18*EXP($W$1*'Sigma__Intra-slab'!K18)</f>
        <v>3.1253706300779951E-3</v>
      </c>
      <c r="X18" s="54">
        <f>V18*EXP(-$W$1*'Sigma__Intra-slab'!K18)</f>
        <v>7.7871817757280571E-4</v>
      </c>
      <c r="Y18" s="54">
        <f>V18*EXP($W$1*'Sigma__Intra-slab'!H18)</f>
        <v>2.6031529991668613E-3</v>
      </c>
      <c r="Z18" s="40">
        <f>V18*EXP(-$W$1*'Sigma__Intra-slab'!H18)</f>
        <v>9.3493656426373712E-4</v>
      </c>
    </row>
    <row r="19" spans="1:26">
      <c r="A19" s="33">
        <v>3</v>
      </c>
      <c r="B19" s="26">
        <v>-0.45800000000000002</v>
      </c>
      <c r="C19" s="26">
        <v>1.07</v>
      </c>
      <c r="D19" s="26">
        <v>-0.104</v>
      </c>
      <c r="E19" s="54">
        <v>-0.93300000000000005</v>
      </c>
      <c r="F19" s="26">
        <v>-2E-3</v>
      </c>
      <c r="G19" s="26">
        <v>-1.7999999999999999E-2</v>
      </c>
      <c r="H19" s="26">
        <v>0</v>
      </c>
      <c r="I19" s="26">
        <v>0.26700000000000002</v>
      </c>
      <c r="J19" s="54">
        <v>0.25700000000000001</v>
      </c>
      <c r="K19" s="26">
        <v>0.59699999999999998</v>
      </c>
      <c r="L19" s="26">
        <v>0.751</v>
      </c>
      <c r="M19" s="35">
        <v>6.5</v>
      </c>
      <c r="N19" s="38">
        <f t="shared" si="0"/>
        <v>-0.45800000000000002</v>
      </c>
      <c r="O19" s="54">
        <f t="shared" si="1"/>
        <v>-0.53500000000000003</v>
      </c>
      <c r="P19" s="54">
        <f t="shared" si="2"/>
        <v>-1.6639999999999999</v>
      </c>
      <c r="Q19" s="54">
        <f t="shared" si="3"/>
        <v>-4.8555962178635665</v>
      </c>
      <c r="R19" s="54">
        <f t="shared" si="4"/>
        <v>-0.2</v>
      </c>
      <c r="S19" s="54">
        <f t="shared" si="5"/>
        <v>0</v>
      </c>
      <c r="T19" s="54">
        <f t="shared" si="6"/>
        <v>0.3179669797955339</v>
      </c>
      <c r="U19" s="40">
        <f t="shared" si="7"/>
        <v>-7.394629238068033</v>
      </c>
      <c r="V19" s="38">
        <f t="shared" si="8"/>
        <v>6.1454448581216249E-4</v>
      </c>
      <c r="W19" s="54">
        <f>V19*EXP($W$1*'Sigma__Intra-slab'!K19)</f>
        <v>1.2346512811687053E-3</v>
      </c>
      <c r="X19" s="54">
        <f>V19*EXP(-$W$1*'Sigma__Intra-slab'!K19)</f>
        <v>3.0588793030258905E-4</v>
      </c>
      <c r="Y19" s="54">
        <f>V19*EXP($W$1*'Sigma__Intra-slab'!H19)</f>
        <v>9.832676087732084E-4</v>
      </c>
      <c r="Z19" s="40">
        <f>V19*EXP(-$W$1*'Sigma__Intra-slab'!H19)</f>
        <v>3.8409169759322757E-4</v>
      </c>
    </row>
    <row r="20" spans="1:26">
      <c r="A20" s="33">
        <v>4</v>
      </c>
      <c r="B20" s="26">
        <v>-1.0329999999999999</v>
      </c>
      <c r="C20" s="26">
        <v>1.07</v>
      </c>
      <c r="D20" s="26">
        <v>-0.107</v>
      </c>
      <c r="E20" s="54">
        <v>-0.93300000000000005</v>
      </c>
      <c r="F20" s="26">
        <v>-2E-3</v>
      </c>
      <c r="G20" s="26">
        <v>-1.7999999999999999E-2</v>
      </c>
      <c r="H20" s="26">
        <v>0</v>
      </c>
      <c r="I20" s="26">
        <v>0.26700000000000002</v>
      </c>
      <c r="J20" s="54">
        <v>0.247</v>
      </c>
      <c r="K20" s="26">
        <v>0.57699999999999996</v>
      </c>
      <c r="L20" s="26">
        <v>0.72399999999999998</v>
      </c>
      <c r="M20" s="35">
        <v>6.5</v>
      </c>
      <c r="N20" s="38">
        <f t="shared" si="0"/>
        <v>-1.0329999999999999</v>
      </c>
      <c r="O20" s="54">
        <f t="shared" si="1"/>
        <v>-0.53500000000000003</v>
      </c>
      <c r="P20" s="54">
        <f t="shared" si="2"/>
        <v>-1.712</v>
      </c>
      <c r="Q20" s="54">
        <f t="shared" si="3"/>
        <v>-4.8555962178635665</v>
      </c>
      <c r="R20" s="54">
        <f t="shared" si="4"/>
        <v>-0.2</v>
      </c>
      <c r="S20" s="54">
        <f t="shared" si="5"/>
        <v>0</v>
      </c>
      <c r="T20" s="54">
        <f t="shared" si="6"/>
        <v>0.3179669797955339</v>
      </c>
      <c r="U20" s="40">
        <f t="shared" si="7"/>
        <v>-8.0176292380680323</v>
      </c>
      <c r="V20" s="38">
        <f t="shared" si="8"/>
        <v>3.2960050160574261E-4</v>
      </c>
      <c r="W20" s="54">
        <f>V20*EXP($W$1*'Sigma__Intra-slab'!K20)</f>
        <v>6.5203790164414515E-4</v>
      </c>
      <c r="X20" s="54">
        <f>V20*EXP(-$W$1*'Sigma__Intra-slab'!K20)</f>
        <v>1.6661069914007293E-4</v>
      </c>
      <c r="Y20" s="54">
        <f>V20*EXP($W$1*'Sigma__Intra-slab'!H20)</f>
        <v>4.9764218755557791E-4</v>
      </c>
      <c r="Z20" s="40">
        <f>V20*EXP(-$W$1*'Sigma__Intra-slab'!H20)</f>
        <v>2.1830241361243984E-4</v>
      </c>
    </row>
    <row r="21" spans="1:26">
      <c r="A21" s="33">
        <v>5</v>
      </c>
      <c r="B21" s="26">
        <v>-1.468</v>
      </c>
      <c r="C21" s="26">
        <v>1.07</v>
      </c>
      <c r="D21" s="26">
        <v>-0.109</v>
      </c>
      <c r="E21" s="54">
        <v>-0.93300000000000005</v>
      </c>
      <c r="F21" s="26">
        <v>-2E-3</v>
      </c>
      <c r="G21" s="26">
        <v>-1.7999999999999999E-2</v>
      </c>
      <c r="H21" s="26">
        <v>0</v>
      </c>
      <c r="I21" s="26">
        <v>0.26700000000000002</v>
      </c>
      <c r="J21" s="54">
        <v>0.247</v>
      </c>
      <c r="K21" s="26">
        <v>0.56699999999999995</v>
      </c>
      <c r="L21" s="26">
        <v>0.72399999999999998</v>
      </c>
      <c r="M21" s="35">
        <v>6.5</v>
      </c>
      <c r="N21" s="38">
        <f t="shared" si="0"/>
        <v>-1.468</v>
      </c>
      <c r="O21" s="54">
        <f t="shared" si="1"/>
        <v>-0.53500000000000003</v>
      </c>
      <c r="P21" s="54">
        <f t="shared" si="2"/>
        <v>-1.744</v>
      </c>
      <c r="Q21" s="54">
        <f t="shared" si="3"/>
        <v>-4.8555962178635665</v>
      </c>
      <c r="R21" s="54">
        <f t="shared" si="4"/>
        <v>-0.2</v>
      </c>
      <c r="S21" s="54">
        <f t="shared" si="5"/>
        <v>0</v>
      </c>
      <c r="T21" s="54">
        <f t="shared" si="6"/>
        <v>0.3179669797955339</v>
      </c>
      <c r="U21" s="40">
        <f t="shared" si="7"/>
        <v>-8.4846292380680328</v>
      </c>
      <c r="V21" s="38">
        <f t="shared" si="8"/>
        <v>2.0661999224657265E-4</v>
      </c>
      <c r="W21" s="54">
        <f>V21*EXP($W$1*'Sigma__Intra-slab'!K21)</f>
        <v>4.2091682683387043E-4</v>
      </c>
      <c r="X21" s="54">
        <f>V21*EXP(-$W$1*'Sigma__Intra-slab'!K21)</f>
        <v>1.0142578883600577E-4</v>
      </c>
      <c r="Y21" s="54">
        <f>V21*EXP($W$1*'Sigma__Intra-slab'!H21)</f>
        <v>3.279566122458815E-4</v>
      </c>
      <c r="Z21" s="40">
        <f>V21*EXP(-$W$1*'Sigma__Intra-slab'!H21)</f>
        <v>1.3017521099396547E-4</v>
      </c>
    </row>
    <row r="22" spans="1:26">
      <c r="A22" s="33">
        <v>6</v>
      </c>
      <c r="B22" s="26">
        <v>-1.825</v>
      </c>
      <c r="C22" s="26">
        <v>1.07</v>
      </c>
      <c r="D22" s="26">
        <v>-0.109</v>
      </c>
      <c r="E22" s="54">
        <v>-0.93300000000000005</v>
      </c>
      <c r="F22" s="26">
        <v>-2E-3</v>
      </c>
      <c r="G22" s="26">
        <v>-1.7999999999999999E-2</v>
      </c>
      <c r="H22" s="26">
        <v>0</v>
      </c>
      <c r="I22" s="26">
        <v>0.26700000000000002</v>
      </c>
      <c r="J22" s="54">
        <v>0.247</v>
      </c>
      <c r="K22" s="26">
        <v>0.56699999999999995</v>
      </c>
      <c r="L22" s="26">
        <v>0.72399999999999998</v>
      </c>
      <c r="M22" s="35">
        <v>6.5</v>
      </c>
      <c r="N22" s="38">
        <f t="shared" si="0"/>
        <v>-1.825</v>
      </c>
      <c r="O22" s="54">
        <f t="shared" si="1"/>
        <v>-0.53500000000000003</v>
      </c>
      <c r="P22" s="54">
        <f t="shared" si="2"/>
        <v>-1.744</v>
      </c>
      <c r="Q22" s="54">
        <f t="shared" si="3"/>
        <v>-4.8555962178635665</v>
      </c>
      <c r="R22" s="54">
        <f t="shared" si="4"/>
        <v>-0.2</v>
      </c>
      <c r="S22" s="54">
        <f t="shared" si="5"/>
        <v>0</v>
      </c>
      <c r="T22" s="54">
        <f t="shared" si="6"/>
        <v>0.3179669797955339</v>
      </c>
      <c r="U22" s="40">
        <f t="shared" si="7"/>
        <v>-8.8416292380680321</v>
      </c>
      <c r="V22" s="38">
        <f t="shared" si="8"/>
        <v>1.445869880562902E-4</v>
      </c>
      <c r="W22" s="54">
        <f>V22*EXP($W$1*'Sigma__Intra-slab'!K22)</f>
        <v>3.0873113981146603E-4</v>
      </c>
      <c r="X22" s="54">
        <f>V22*EXP(-$W$1*'Sigma__Intra-slab'!K22)</f>
        <v>6.7713924575137392E-5</v>
      </c>
      <c r="Y22" s="54">
        <f>V22*EXP($W$1*'Sigma__Intra-slab'!H22)</f>
        <v>2.3862214554910778E-4</v>
      </c>
      <c r="Z22" s="40">
        <f>V22*EXP(-$W$1*'Sigma__Intra-slab'!H22)</f>
        <v>8.7608788644000913E-5</v>
      </c>
    </row>
    <row r="23" spans="1:26">
      <c r="A23" s="33">
        <v>7.5</v>
      </c>
      <c r="B23" s="26">
        <v>-2.2650000000000001</v>
      </c>
      <c r="C23" s="26">
        <v>1.07</v>
      </c>
      <c r="D23" s="26">
        <v>-0.109</v>
      </c>
      <c r="E23" s="54">
        <v>-0.93300000000000005</v>
      </c>
      <c r="F23" s="26">
        <v>-2E-3</v>
      </c>
      <c r="G23" s="26">
        <v>-1.7999999999999999E-2</v>
      </c>
      <c r="H23" s="26">
        <v>0</v>
      </c>
      <c r="I23" s="26">
        <v>0.26700000000000002</v>
      </c>
      <c r="J23" s="54">
        <v>0.247</v>
      </c>
      <c r="K23" s="26">
        <v>0.56699999999999995</v>
      </c>
      <c r="L23" s="26">
        <v>0.72399999999999998</v>
      </c>
      <c r="M23" s="35">
        <v>6.5</v>
      </c>
      <c r="N23" s="38">
        <f t="shared" si="0"/>
        <v>-2.2650000000000001</v>
      </c>
      <c r="O23" s="54">
        <f t="shared" si="1"/>
        <v>-0.53500000000000003</v>
      </c>
      <c r="P23" s="54">
        <f t="shared" si="2"/>
        <v>-1.744</v>
      </c>
      <c r="Q23" s="54">
        <f t="shared" si="3"/>
        <v>-4.8555962178635665</v>
      </c>
      <c r="R23" s="54">
        <f t="shared" si="4"/>
        <v>-0.2</v>
      </c>
      <c r="S23" s="54">
        <f t="shared" si="5"/>
        <v>0</v>
      </c>
      <c r="T23" s="54">
        <f t="shared" si="6"/>
        <v>0.3179669797955339</v>
      </c>
      <c r="U23" s="40">
        <f t="shared" si="7"/>
        <v>-9.2816292380680334</v>
      </c>
      <c r="V23" s="38">
        <f t="shared" si="8"/>
        <v>9.3119286322963928E-5</v>
      </c>
      <c r="W23" s="54">
        <f>V23*EXP($W$1*'Sigma__Intra-slab'!K23)</f>
        <v>2.0999730536264274E-4</v>
      </c>
      <c r="X23" s="54">
        <f>V23*EXP(-$W$1*'Sigma__Intra-slab'!K23)</f>
        <v>4.1291965486528056E-5</v>
      </c>
      <c r="Y23" s="54">
        <f>V23*EXP($W$1*'Sigma__Intra-slab'!H23)</f>
        <v>1.5647266338964603E-4</v>
      </c>
      <c r="Z23" s="40">
        <f>V23*EXP(-$W$1*'Sigma__Intra-slab'!H23)</f>
        <v>5.5416718150347023E-5</v>
      </c>
    </row>
    <row r="24" spans="1:26" ht="16.2" thickBot="1">
      <c r="A24" s="36">
        <v>10</v>
      </c>
      <c r="B24" s="37">
        <v>-2.7549999999999999</v>
      </c>
      <c r="C24" s="37">
        <v>1.07</v>
      </c>
      <c r="D24" s="37">
        <v>-0.109</v>
      </c>
      <c r="E24" s="42">
        <v>-0.93300000000000005</v>
      </c>
      <c r="F24" s="37">
        <v>-2E-3</v>
      </c>
      <c r="G24" s="37">
        <v>-1.7999999999999999E-2</v>
      </c>
      <c r="H24" s="37">
        <v>0</v>
      </c>
      <c r="I24" s="37">
        <v>0.26700000000000002</v>
      </c>
      <c r="J24" s="42">
        <v>0.247</v>
      </c>
      <c r="K24" s="37">
        <v>0.56699999999999995</v>
      </c>
      <c r="L24" s="37">
        <v>0.72399999999999998</v>
      </c>
      <c r="M24" s="37">
        <v>6.5</v>
      </c>
      <c r="N24" s="41">
        <f t="shared" si="0"/>
        <v>-2.7549999999999999</v>
      </c>
      <c r="O24" s="42">
        <f t="shared" si="1"/>
        <v>-0.53500000000000003</v>
      </c>
      <c r="P24" s="42">
        <f t="shared" si="2"/>
        <v>-1.744</v>
      </c>
      <c r="Q24" s="42">
        <f t="shared" si="3"/>
        <v>-4.8555962178635665</v>
      </c>
      <c r="R24" s="42">
        <f t="shared" si="4"/>
        <v>-0.2</v>
      </c>
      <c r="S24" s="42">
        <f t="shared" si="5"/>
        <v>0</v>
      </c>
      <c r="T24" s="42">
        <f t="shared" si="6"/>
        <v>0.3179669797955339</v>
      </c>
      <c r="U24" s="43">
        <f t="shared" si="7"/>
        <v>-9.7716292380680319</v>
      </c>
      <c r="V24" s="41">
        <f t="shared" si="8"/>
        <v>5.7047332609063689E-5</v>
      </c>
      <c r="W24" s="42">
        <f>V24*EXP($W$1*'Sigma__Intra-slab'!K24)</f>
        <v>1.3277757736462553E-4</v>
      </c>
      <c r="X24" s="42">
        <f>V24*EXP(-$W$1*'Sigma__Intra-slab'!K24)</f>
        <v>2.4510148644090076E-5</v>
      </c>
      <c r="Y24" s="42">
        <f>V24*EXP($W$1*'Sigma__Intra-slab'!H24)</f>
        <v>9.8285972877558718E-5</v>
      </c>
      <c r="Z24" s="43">
        <f>V24*EXP(-$W$1*'Sigma__Intra-slab'!H24)</f>
        <v>3.3111522046623671E-5</v>
      </c>
    </row>
  </sheetData>
  <sheetProtection algorithmName="SHA-512" hashValue="alwvNjuFi0cSxHdHb9FK6sKNU8qF0s0OPDndwpsvHBjQrzTS3SiVzOfHnKbMf3rp/Zbl5HR+GJHkB5yB9JBNfA==" saltValue="fhhX6rBm8eWiAreuQ1hh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9A88-D3D5-45FD-AF64-B35DF1A6AA7B}">
  <dimension ref="A1:K25"/>
  <sheetViews>
    <sheetView workbookViewId="0">
      <selection activeCell="D9" sqref="D9:F18"/>
    </sheetView>
  </sheetViews>
  <sheetFormatPr defaultColWidth="10.88671875" defaultRowHeight="14.4"/>
  <cols>
    <col min="10" max="10" width="15.109375" bestFit="1" customWidth="1"/>
  </cols>
  <sheetData>
    <row r="1" spans="1:11" ht="15" thickBot="1">
      <c r="A1" s="27" t="s">
        <v>12</v>
      </c>
      <c r="B1" s="82" t="s">
        <v>27</v>
      </c>
      <c r="C1" s="82" t="s">
        <v>34</v>
      </c>
      <c r="D1" s="82" t="s">
        <v>35</v>
      </c>
      <c r="E1" s="82" t="s">
        <v>36</v>
      </c>
      <c r="F1" s="82" t="s">
        <v>14</v>
      </c>
      <c r="G1" s="86" t="s">
        <v>30</v>
      </c>
      <c r="H1" s="82" t="s">
        <v>31</v>
      </c>
      <c r="I1" s="82" t="s">
        <v>32</v>
      </c>
      <c r="J1" s="31" t="s">
        <v>28</v>
      </c>
      <c r="K1" s="31" t="s">
        <v>29</v>
      </c>
    </row>
    <row r="2" spans="1:11" ht="15" thickBot="1">
      <c r="A2" s="28" t="s">
        <v>33</v>
      </c>
      <c r="B2" s="83"/>
      <c r="C2" s="83"/>
      <c r="D2" s="83"/>
      <c r="E2" s="83"/>
      <c r="F2" s="83"/>
      <c r="G2" s="87"/>
      <c r="H2" s="83"/>
      <c r="I2" s="83"/>
      <c r="J2" s="84" t="str">
        <f>+_xlfn.CONCAT("Rrup: ", MAIN!A22," km")</f>
        <v>Rrup: 100 km</v>
      </c>
      <c r="K2" s="85"/>
    </row>
    <row r="3" spans="1:11" ht="15" thickBot="1">
      <c r="A3" s="29">
        <v>0.01</v>
      </c>
      <c r="B3" s="30">
        <v>0.45200000000000001</v>
      </c>
      <c r="C3" s="30">
        <v>0.72599999999999998</v>
      </c>
      <c r="D3" s="30">
        <v>0.81699999999999995</v>
      </c>
      <c r="E3" s="30">
        <v>0.85499999999999998</v>
      </c>
      <c r="F3" s="30">
        <v>0.93400000000000005</v>
      </c>
      <c r="G3" s="30">
        <v>0.72899999999999998</v>
      </c>
      <c r="H3" s="30">
        <v>0.52200000000000002</v>
      </c>
      <c r="I3" s="30">
        <v>0.69</v>
      </c>
      <c r="J3" s="30">
        <f>+IF(MAIN!$A$22&lt;=150,Sigma_Interface!C3,IF(MAIN!$A$22&gt;=200,Sigma_Interface!D3,Sigma_Interface!C3+(Sigma_Interface!D3-Sigma_Interface!C3)*(MAIN!$A$22-150)*(0.02)))</f>
        <v>0.72599999999999998</v>
      </c>
      <c r="K3" s="30">
        <f>+SQRT(J3^2+B3^2)</f>
        <v>0.85520757714136286</v>
      </c>
    </row>
    <row r="4" spans="1:11" ht="15" thickBot="1">
      <c r="A4" s="29">
        <v>0.02</v>
      </c>
      <c r="B4" s="30">
        <v>0.44800000000000001</v>
      </c>
      <c r="C4" s="30">
        <v>0.73899999999999999</v>
      </c>
      <c r="D4" s="30">
        <v>0.83199999999999996</v>
      </c>
      <c r="E4" s="30">
        <v>0.86399999999999999</v>
      </c>
      <c r="F4" s="30">
        <v>0.94499999999999995</v>
      </c>
      <c r="G4" s="30">
        <v>0.72899999999999998</v>
      </c>
      <c r="H4" s="30">
        <v>0.52200000000000002</v>
      </c>
      <c r="I4" s="30">
        <v>0.68799999999999994</v>
      </c>
      <c r="J4" s="30">
        <f>+IF(MAIN!$A$22&lt;=150,Sigma_Interface!C4,IF(MAIN!$A$22&gt;=200,Sigma_Interface!D4,Sigma_Interface!C4+(Sigma_Interface!D4-Sigma_Interface!C4)*(MAIN!$A$22-150)*(0.02)))</f>
        <v>0.73899999999999999</v>
      </c>
      <c r="K4" s="30">
        <f t="shared" ref="K4:K24" si="0">+SQRT(J4^2+B4^2)</f>
        <v>0.86419037254530895</v>
      </c>
    </row>
    <row r="5" spans="1:11" ht="15" thickBot="1">
      <c r="A5" s="29">
        <v>0.03</v>
      </c>
      <c r="B5" s="30">
        <v>0.439</v>
      </c>
      <c r="C5" s="30">
        <v>0.77700000000000002</v>
      </c>
      <c r="D5" s="30">
        <v>0.84099999999999997</v>
      </c>
      <c r="E5" s="30">
        <v>0.89300000000000002</v>
      </c>
      <c r="F5" s="30">
        <v>0.94899999999999995</v>
      </c>
      <c r="G5" s="30">
        <v>0.746</v>
      </c>
      <c r="H5" s="30">
        <v>0.57399999999999995</v>
      </c>
      <c r="I5" s="30">
        <v>0.72299999999999998</v>
      </c>
      <c r="J5" s="30">
        <f>+IF(MAIN!$A$22&lt;=150,Sigma_Interface!C5,IF(MAIN!$A$22&gt;=200,Sigma_Interface!D5,Sigma_Interface!C5+(Sigma_Interface!D5-Sigma_Interface!C5)*(MAIN!$A$22-150)*(0.02)))</f>
        <v>0.77700000000000002</v>
      </c>
      <c r="K5" s="30">
        <f t="shared" si="0"/>
        <v>0.89244047420542294</v>
      </c>
    </row>
    <row r="6" spans="1:11" ht="15" thickBot="1">
      <c r="A6" s="29">
        <v>0.05</v>
      </c>
      <c r="B6" s="30">
        <v>0.439</v>
      </c>
      <c r="C6" s="30">
        <v>0.79800000000000004</v>
      </c>
      <c r="D6" s="30">
        <v>0.85399999999999998</v>
      </c>
      <c r="E6" s="30">
        <v>0.91100000000000003</v>
      </c>
      <c r="F6" s="30">
        <v>0.96</v>
      </c>
      <c r="G6" s="30">
        <v>0.76300000000000001</v>
      </c>
      <c r="H6" s="30">
        <v>0.65900000000000003</v>
      </c>
      <c r="I6" s="30">
        <v>0.79200000000000004</v>
      </c>
      <c r="J6" s="30">
        <f>+IF(MAIN!$A$22&lt;=150,Sigma_Interface!C6,IF(MAIN!$A$22&gt;=200,Sigma_Interface!D6,Sigma_Interface!C6+(Sigma_Interface!D6-Sigma_Interface!C6)*(MAIN!$A$22-150)*(0.02)))</f>
        <v>0.79800000000000004</v>
      </c>
      <c r="K6" s="30">
        <f t="shared" si="0"/>
        <v>0.91078263048874619</v>
      </c>
    </row>
    <row r="7" spans="1:11" ht="15" thickBot="1">
      <c r="A7" s="29">
        <v>7.4999999999999997E-2</v>
      </c>
      <c r="B7" s="30">
        <v>0.44600000000000001</v>
      </c>
      <c r="C7" s="30">
        <v>0.83599999999999997</v>
      </c>
      <c r="D7" s="30">
        <v>0.89200000000000002</v>
      </c>
      <c r="E7" s="30">
        <v>0.94799999999999995</v>
      </c>
      <c r="F7" s="30">
        <v>0.997</v>
      </c>
      <c r="G7" s="30">
        <v>0.79600000000000004</v>
      </c>
      <c r="H7" s="30">
        <v>0.67400000000000004</v>
      </c>
      <c r="I7" s="30">
        <v>0.80800000000000005</v>
      </c>
      <c r="J7" s="30">
        <f>+IF(MAIN!$A$22&lt;=150,Sigma_Interface!C7,IF(MAIN!$A$22&gt;=200,Sigma_Interface!D7,Sigma_Interface!C7+(Sigma_Interface!D7-Sigma_Interface!C7)*(MAIN!$A$22-150)*(0.02)))</f>
        <v>0.83599999999999997</v>
      </c>
      <c r="K7" s="30">
        <f t="shared" si="0"/>
        <v>0.94752941906834742</v>
      </c>
    </row>
    <row r="8" spans="1:11" ht="15" thickBot="1">
      <c r="A8" s="29">
        <v>0.1</v>
      </c>
      <c r="B8" s="30">
        <v>0.44400000000000001</v>
      </c>
      <c r="C8" s="30">
        <v>0.753</v>
      </c>
      <c r="D8" s="30">
        <v>0.96499999999999997</v>
      </c>
      <c r="E8" s="30">
        <v>0.874</v>
      </c>
      <c r="F8" s="30">
        <v>1.0620000000000001</v>
      </c>
      <c r="G8" s="30">
        <v>0.73799999999999999</v>
      </c>
      <c r="H8" s="30">
        <v>0.63</v>
      </c>
      <c r="I8" s="30">
        <v>0.77100000000000002</v>
      </c>
      <c r="J8" s="30">
        <f>+IF(MAIN!$A$22&lt;=150,Sigma_Interface!C8,IF(MAIN!$A$22&gt;=200,Sigma_Interface!D8,Sigma_Interface!C8+(Sigma_Interface!D8-Sigma_Interface!C8)*(MAIN!$A$22-150)*(0.02)))</f>
        <v>0.753</v>
      </c>
      <c r="K8" s="30">
        <f t="shared" si="0"/>
        <v>0.87415387661440935</v>
      </c>
    </row>
    <row r="9" spans="1:11" ht="15" thickBot="1">
      <c r="A9" s="29">
        <v>0.15</v>
      </c>
      <c r="B9" s="30">
        <v>0.45900000000000002</v>
      </c>
      <c r="C9" s="30">
        <v>0.70799999999999996</v>
      </c>
      <c r="D9" s="30">
        <v>0.98199999999999998</v>
      </c>
      <c r="E9" s="30">
        <v>0.84399999999999997</v>
      </c>
      <c r="F9" s="30">
        <v>1.0840000000000001</v>
      </c>
      <c r="G9" s="30">
        <v>0.628</v>
      </c>
      <c r="H9" s="30">
        <v>0.65</v>
      </c>
      <c r="I9" s="30">
        <v>0.79600000000000004</v>
      </c>
      <c r="J9" s="30">
        <f>+IF(MAIN!$A$22&lt;=150,Sigma_Interface!C9,IF(MAIN!$A$22&gt;=200,Sigma_Interface!D9,Sigma_Interface!C9+(Sigma_Interface!D9-Sigma_Interface!C9)*(MAIN!$A$22-150)*(0.02)))</f>
        <v>0.70799999999999996</v>
      </c>
      <c r="K9" s="30">
        <f t="shared" si="0"/>
        <v>0.84376833313416066</v>
      </c>
    </row>
    <row r="10" spans="1:11" ht="15" thickBot="1">
      <c r="A10" s="29">
        <v>0.2</v>
      </c>
      <c r="B10" s="30">
        <v>0.51900000000000002</v>
      </c>
      <c r="C10" s="30">
        <v>0.73</v>
      </c>
      <c r="D10" s="30">
        <v>0.96199999999999997</v>
      </c>
      <c r="E10" s="30">
        <v>0.89600000000000002</v>
      </c>
      <c r="F10" s="30">
        <v>1.093</v>
      </c>
      <c r="G10" s="30">
        <v>0.58799999999999997</v>
      </c>
      <c r="H10" s="30">
        <v>0.64700000000000002</v>
      </c>
      <c r="I10" s="30">
        <v>0.83</v>
      </c>
      <c r="J10" s="30">
        <f>+IF(MAIN!$A$22&lt;=150,Sigma_Interface!C10,IF(MAIN!$A$22&gt;=200,Sigma_Interface!D10,Sigma_Interface!C10+(Sigma_Interface!D10-Sigma_Interface!C10)*(MAIN!$A$22-150)*(0.02)))</f>
        <v>0.73</v>
      </c>
      <c r="K10" s="30">
        <f t="shared" si="0"/>
        <v>0.89569023663317882</v>
      </c>
    </row>
    <row r="11" spans="1:11" ht="15" thickBot="1">
      <c r="A11" s="29">
        <v>0.25</v>
      </c>
      <c r="B11" s="30">
        <v>0.55900000000000005</v>
      </c>
      <c r="C11" s="30">
        <v>0.83</v>
      </c>
      <c r="D11" s="30">
        <v>0.91600000000000004</v>
      </c>
      <c r="E11" s="30">
        <v>1.0009999999999999</v>
      </c>
      <c r="F11" s="30">
        <v>1.073</v>
      </c>
      <c r="G11" s="30">
        <v>0.59699999999999998</v>
      </c>
      <c r="H11" s="30">
        <v>0.66800000000000004</v>
      </c>
      <c r="I11" s="30">
        <v>0.871</v>
      </c>
      <c r="J11" s="30">
        <f>+IF(MAIN!$A$22&lt;=150,Sigma_Interface!C11,IF(MAIN!$A$22&gt;=200,Sigma_Interface!D11,Sigma_Interface!C11+(Sigma_Interface!D11-Sigma_Interface!C11)*(MAIN!$A$22-150)*(0.02)))</f>
        <v>0.83</v>
      </c>
      <c r="K11" s="30">
        <f t="shared" si="0"/>
        <v>1.0006902617693449</v>
      </c>
    </row>
    <row r="12" spans="1:11" ht="15" thickBot="1">
      <c r="A12" s="29">
        <v>0.3</v>
      </c>
      <c r="B12" s="30">
        <v>0.53500000000000003</v>
      </c>
      <c r="C12" s="30">
        <v>0.80600000000000005</v>
      </c>
      <c r="D12" s="30">
        <v>0.94399999999999995</v>
      </c>
      <c r="E12" s="30">
        <v>0.96699999999999997</v>
      </c>
      <c r="F12" s="30">
        <v>1.085</v>
      </c>
      <c r="G12" s="30">
        <v>0.58399999999999996</v>
      </c>
      <c r="H12" s="30">
        <v>0.63</v>
      </c>
      <c r="I12" s="30">
        <v>0.82599999999999996</v>
      </c>
      <c r="J12" s="30">
        <f>+IF(MAIN!$A$22&lt;=150,Sigma_Interface!C12,IF(MAIN!$A$22&gt;=200,Sigma_Interface!D12,Sigma_Interface!C12+(Sigma_Interface!D12-Sigma_Interface!C12)*(MAIN!$A$22-150)*(0.02)))</f>
        <v>0.80600000000000005</v>
      </c>
      <c r="K12" s="30">
        <f t="shared" si="0"/>
        <v>0.96739909034482763</v>
      </c>
    </row>
    <row r="13" spans="1:11" ht="15" thickBot="1">
      <c r="A13" s="29">
        <v>0.4</v>
      </c>
      <c r="B13" s="30">
        <v>0.50800000000000001</v>
      </c>
      <c r="C13" s="30">
        <v>0.70399999999999996</v>
      </c>
      <c r="D13" s="30">
        <v>0.85</v>
      </c>
      <c r="E13" s="30">
        <v>0.86799999999999999</v>
      </c>
      <c r="F13" s="30">
        <v>0.99</v>
      </c>
      <c r="G13" s="30">
        <v>0.59099999999999997</v>
      </c>
      <c r="H13" s="30">
        <v>0.59199999999999997</v>
      </c>
      <c r="I13" s="30">
        <v>0.78</v>
      </c>
      <c r="J13" s="30">
        <f>+IF(MAIN!$A$22&lt;=150,Sigma_Interface!C13,IF(MAIN!$A$22&gt;=200,Sigma_Interface!D13,Sigma_Interface!C13+(Sigma_Interface!D13-Sigma_Interface!C13)*(MAIN!$A$22-150)*(0.02)))</f>
        <v>0.70399999999999996</v>
      </c>
      <c r="K13" s="30">
        <f t="shared" si="0"/>
        <v>0.86814745291338613</v>
      </c>
    </row>
    <row r="14" spans="1:11" ht="15" thickBot="1">
      <c r="A14" s="29">
        <v>0.5</v>
      </c>
      <c r="B14" s="30">
        <v>0.50900000000000001</v>
      </c>
      <c r="C14" s="30">
        <v>0.71499999999999997</v>
      </c>
      <c r="D14" s="30">
        <v>0.86699999999999999</v>
      </c>
      <c r="E14" s="30">
        <v>0.877</v>
      </c>
      <c r="F14" s="30">
        <v>1.0049999999999999</v>
      </c>
      <c r="G14" s="30">
        <v>0.60399999999999998</v>
      </c>
      <c r="H14" s="30">
        <v>0.58499999999999996</v>
      </c>
      <c r="I14" s="30">
        <v>0.77500000000000002</v>
      </c>
      <c r="J14" s="30">
        <f>+IF(MAIN!$A$22&lt;=150,Sigma_Interface!C14,IF(MAIN!$A$22&gt;=200,Sigma_Interface!D14,Sigma_Interface!C14+(Sigma_Interface!D14-Sigma_Interface!C14)*(MAIN!$A$22-150)*(0.02)))</f>
        <v>0.71499999999999997</v>
      </c>
      <c r="K14" s="30">
        <f t="shared" si="0"/>
        <v>0.87767078110188901</v>
      </c>
    </row>
    <row r="15" spans="1:11" ht="15" thickBot="1">
      <c r="A15" s="29">
        <v>0.75</v>
      </c>
      <c r="B15" s="30">
        <v>0.53600000000000003</v>
      </c>
      <c r="C15" s="30">
        <v>0.627</v>
      </c>
      <c r="D15" s="30">
        <v>0.82099999999999995</v>
      </c>
      <c r="E15" s="30">
        <v>0.82399999999999995</v>
      </c>
      <c r="F15" s="30">
        <v>0.98099999999999998</v>
      </c>
      <c r="G15" s="30">
        <v>0.55100000000000005</v>
      </c>
      <c r="H15" s="30">
        <v>0.499</v>
      </c>
      <c r="I15" s="30">
        <v>0.73199999999999998</v>
      </c>
      <c r="J15" s="30">
        <f>+IF(MAIN!$A$22&lt;=150,Sigma_Interface!C15,IF(MAIN!$A$22&gt;=200,Sigma_Interface!D15,Sigma_Interface!C15+(Sigma_Interface!D15-Sigma_Interface!C15)*(MAIN!$A$22-150)*(0.02)))</f>
        <v>0.627</v>
      </c>
      <c r="K15" s="30">
        <f t="shared" si="0"/>
        <v>0.82487877897300765</v>
      </c>
    </row>
    <row r="16" spans="1:11" ht="15" thickBot="1">
      <c r="A16" s="29">
        <v>1</v>
      </c>
      <c r="B16" s="30">
        <v>0.59799999999999998</v>
      </c>
      <c r="C16" s="30">
        <v>0.65800000000000003</v>
      </c>
      <c r="D16" s="30">
        <v>0.82199999999999995</v>
      </c>
      <c r="E16" s="30">
        <v>0.88900000000000001</v>
      </c>
      <c r="F16" s="30">
        <v>1.016</v>
      </c>
      <c r="G16" s="30">
        <v>0.56499999999999995</v>
      </c>
      <c r="H16" s="30">
        <v>0.44500000000000001</v>
      </c>
      <c r="I16" s="30">
        <v>0.745</v>
      </c>
      <c r="J16" s="30">
        <f>+IF(MAIN!$A$22&lt;=150,Sigma_Interface!C16,IF(MAIN!$A$22&gt;=200,Sigma_Interface!D16,Sigma_Interface!C16+(Sigma_Interface!D16-Sigma_Interface!C16)*(MAIN!$A$22-150)*(0.02)))</f>
        <v>0.65800000000000003</v>
      </c>
      <c r="K16" s="30">
        <f t="shared" si="0"/>
        <v>0.88913890928245853</v>
      </c>
    </row>
    <row r="17" spans="1:11" ht="15" thickBot="1">
      <c r="A17" s="29">
        <v>1.5</v>
      </c>
      <c r="B17" s="30">
        <v>0.63100000000000001</v>
      </c>
      <c r="C17" s="30">
        <v>0.67500000000000004</v>
      </c>
      <c r="D17" s="30">
        <v>0.80400000000000005</v>
      </c>
      <c r="E17" s="30">
        <v>0.92400000000000004</v>
      </c>
      <c r="F17" s="30">
        <v>1.022</v>
      </c>
      <c r="G17" s="30">
        <v>0.58799999999999997</v>
      </c>
      <c r="H17" s="30">
        <v>0.40400000000000003</v>
      </c>
      <c r="I17" s="30">
        <v>0.749</v>
      </c>
      <c r="J17" s="30">
        <f>+IF(MAIN!$A$22&lt;=150,Sigma_Interface!C17,IF(MAIN!$A$22&gt;=200,Sigma_Interface!D17,Sigma_Interface!C17+(Sigma_Interface!D17-Sigma_Interface!C17)*(MAIN!$A$22-150)*(0.02)))</f>
        <v>0.67500000000000004</v>
      </c>
      <c r="K17" s="30">
        <f t="shared" si="0"/>
        <v>0.92400541123956625</v>
      </c>
    </row>
    <row r="18" spans="1:11" ht="15" thickBot="1">
      <c r="A18" s="29">
        <v>2</v>
      </c>
      <c r="B18" s="30">
        <v>0.59199999999999997</v>
      </c>
      <c r="C18" s="30">
        <v>0.71599999999999997</v>
      </c>
      <c r="D18" s="30">
        <v>0.80700000000000005</v>
      </c>
      <c r="E18" s="30">
        <v>0.92900000000000005</v>
      </c>
      <c r="F18" s="30">
        <v>1</v>
      </c>
      <c r="G18" s="30">
        <v>0.6</v>
      </c>
      <c r="H18" s="30">
        <v>0.47799999999999998</v>
      </c>
      <c r="I18" s="30">
        <v>0.76100000000000001</v>
      </c>
      <c r="J18" s="30">
        <f>+IF(MAIN!$A$22&lt;=150,Sigma_Interface!C18,IF(MAIN!$A$22&gt;=200,Sigma_Interface!D18,Sigma_Interface!C18+(Sigma_Interface!D18-Sigma_Interface!C18)*(MAIN!$A$22-150)*(0.02)))</f>
        <v>0.71599999999999997</v>
      </c>
      <c r="K18" s="30">
        <f t="shared" si="0"/>
        <v>0.92904251786449465</v>
      </c>
    </row>
    <row r="19" spans="1:11" ht="15" thickBot="1">
      <c r="A19" s="29">
        <v>3</v>
      </c>
      <c r="B19" s="30">
        <v>0.56999999999999995</v>
      </c>
      <c r="C19" s="30">
        <v>0.69599999999999995</v>
      </c>
      <c r="D19" s="30">
        <v>0.75900000000000001</v>
      </c>
      <c r="E19" s="30">
        <v>0.89900000000000002</v>
      </c>
      <c r="F19" s="30">
        <v>0.94899999999999995</v>
      </c>
      <c r="G19" s="30">
        <v>0.60199999999999998</v>
      </c>
      <c r="H19" s="30">
        <v>0.54300000000000004</v>
      </c>
      <c r="I19" s="30">
        <v>0.78700000000000003</v>
      </c>
      <c r="J19" s="30">
        <f>+IF(MAIN!$A$22&lt;=150,Sigma_Interface!C19,IF(MAIN!$A$22&gt;=200,Sigma_Interface!D19,Sigma_Interface!C19+(Sigma_Interface!D19-Sigma_Interface!C19)*(MAIN!$A$22-150)*(0.02)))</f>
        <v>0.69599999999999995</v>
      </c>
      <c r="K19" s="30">
        <f t="shared" si="0"/>
        <v>0.89961991974388822</v>
      </c>
    </row>
    <row r="20" spans="1:11" ht="15" thickBot="1">
      <c r="A20" s="29">
        <v>4</v>
      </c>
      <c r="B20" s="30">
        <v>0.52500000000000002</v>
      </c>
      <c r="C20" s="30">
        <v>0.748</v>
      </c>
      <c r="D20" s="30">
        <v>0.73099999999999998</v>
      </c>
      <c r="E20" s="30">
        <v>0.91400000000000003</v>
      </c>
      <c r="F20" s="30">
        <v>0.9</v>
      </c>
      <c r="G20" s="30">
        <v>0.60299999999999998</v>
      </c>
      <c r="H20" s="30">
        <v>0.58899999999999997</v>
      </c>
      <c r="I20" s="30">
        <v>0.78900000000000003</v>
      </c>
      <c r="J20" s="30">
        <f>+IF(MAIN!$A$22&lt;=150,Sigma_Interface!C20,IF(MAIN!$A$22&gt;=200,Sigma_Interface!D20,Sigma_Interface!C20+(Sigma_Interface!D20-Sigma_Interface!C20)*(MAIN!$A$22-150)*(0.02)))</f>
        <v>0.748</v>
      </c>
      <c r="K20" s="30">
        <f t="shared" si="0"/>
        <v>0.91385392705836743</v>
      </c>
    </row>
    <row r="21" spans="1:11" ht="15" thickBot="1">
      <c r="A21" s="29">
        <v>5</v>
      </c>
      <c r="B21" s="30">
        <v>0.49399999999999999</v>
      </c>
      <c r="C21" s="30">
        <v>0.747</v>
      </c>
      <c r="D21" s="30">
        <v>0.77500000000000002</v>
      </c>
      <c r="E21" s="30">
        <v>0.89500000000000002</v>
      </c>
      <c r="F21" s="30">
        <v>0.91900000000000004</v>
      </c>
      <c r="G21" s="30">
        <v>0.629</v>
      </c>
      <c r="H21" s="30">
        <v>0.51</v>
      </c>
      <c r="I21" s="30">
        <v>0.71</v>
      </c>
      <c r="J21" s="30">
        <f>+IF(MAIN!$A$22&lt;=150,Sigma_Interface!C21,IF(MAIN!$A$22&gt;=200,Sigma_Interface!D21,Sigma_Interface!C21+(Sigma_Interface!D21-Sigma_Interface!C21)*(MAIN!$A$22-150)*(0.02)))</f>
        <v>0.747</v>
      </c>
      <c r="K21" s="30">
        <f t="shared" si="0"/>
        <v>0.89556965111598108</v>
      </c>
    </row>
    <row r="22" spans="1:11" ht="15" thickBot="1">
      <c r="A22" s="29">
        <v>6</v>
      </c>
      <c r="B22" s="30">
        <v>0.45500000000000002</v>
      </c>
      <c r="C22" s="30">
        <v>0.79100000000000004</v>
      </c>
      <c r="D22" s="30">
        <v>0.80700000000000005</v>
      </c>
      <c r="E22" s="30">
        <v>0.91300000000000003</v>
      </c>
      <c r="F22" s="30">
        <v>0.92700000000000005</v>
      </c>
      <c r="G22" s="30">
        <v>0.63200000000000001</v>
      </c>
      <c r="H22" s="30">
        <v>0.48</v>
      </c>
      <c r="I22" s="30">
        <v>0.66200000000000003</v>
      </c>
      <c r="J22" s="30">
        <f>+IF(MAIN!$A$22&lt;=150,Sigma_Interface!C22,IF(MAIN!$A$22&gt;=200,Sigma_Interface!D22,Sigma_Interface!C22+(Sigma_Interface!D22-Sigma_Interface!C22)*(MAIN!$A$22-150)*(0.02)))</f>
        <v>0.79100000000000004</v>
      </c>
      <c r="K22" s="30">
        <f t="shared" si="0"/>
        <v>0.91252725986679439</v>
      </c>
    </row>
    <row r="23" spans="1:11" ht="15" thickBot="1">
      <c r="A23" s="29">
        <v>7.5</v>
      </c>
      <c r="B23" s="30">
        <v>0.44</v>
      </c>
      <c r="C23" s="30">
        <v>0.746</v>
      </c>
      <c r="D23" s="30">
        <v>0.83099999999999996</v>
      </c>
      <c r="E23" s="30">
        <v>0.86599999999999999</v>
      </c>
      <c r="F23" s="30">
        <v>0.94</v>
      </c>
      <c r="G23" s="30">
        <v>0.63600000000000001</v>
      </c>
      <c r="H23" s="30">
        <v>0.44400000000000001</v>
      </c>
      <c r="I23" s="30">
        <v>0.625</v>
      </c>
      <c r="J23" s="30">
        <f>+IF(MAIN!$A$22&lt;=150,Sigma_Interface!C23,IF(MAIN!$A$22&gt;=200,Sigma_Interface!D23,Sigma_Interface!C23+(Sigma_Interface!D23-Sigma_Interface!C23)*(MAIN!$A$22-150)*(0.02)))</f>
        <v>0.746</v>
      </c>
      <c r="K23" s="30">
        <f t="shared" si="0"/>
        <v>0.86609237382625648</v>
      </c>
    </row>
    <row r="24" spans="1:11" ht="15" thickBot="1">
      <c r="A24" s="29">
        <v>10</v>
      </c>
      <c r="B24" s="30">
        <v>0.46800000000000003</v>
      </c>
      <c r="C24" s="30">
        <v>0.72399999999999998</v>
      </c>
      <c r="D24" s="30">
        <v>0.79100000000000004</v>
      </c>
      <c r="E24" s="30">
        <v>0.86199999999999999</v>
      </c>
      <c r="F24" s="30">
        <v>0.91900000000000004</v>
      </c>
      <c r="G24" s="30">
        <v>0.64</v>
      </c>
      <c r="H24" s="30">
        <v>0.39</v>
      </c>
      <c r="I24" s="30">
        <v>0.60899999999999999</v>
      </c>
      <c r="J24" s="30">
        <f>+IF(MAIN!$A$22&lt;=150,Sigma_Interface!C24,IF(MAIN!$A$22&gt;=200,Sigma_Interface!D24,Sigma_Interface!C24+(Sigma_Interface!D24-Sigma_Interface!C24)*(MAIN!$A$22-150)*(0.02)))</f>
        <v>0.72399999999999998</v>
      </c>
      <c r="K24" s="30">
        <f t="shared" si="0"/>
        <v>0.86209048249009224</v>
      </c>
    </row>
    <row r="25" spans="1:11">
      <c r="A25" s="32"/>
    </row>
  </sheetData>
  <sheetProtection algorithmName="SHA-512" hashValue="ycIWlGlXvJ759K/hRa1y1yds0gM2h2A2BXebSc8LJAaiEMinQBB+m+1X8F5YgPYDxFzrJtOrK2VFKN+yLLU8TQ==" saltValue="sCK/bWvPDU3ha+ertu0qIw==" spinCount="100000" sheet="1" objects="1" scenarios="1"/>
  <mergeCells count="9">
    <mergeCell ref="H1:H2"/>
    <mergeCell ref="I1:I2"/>
    <mergeCell ref="J2:K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F90B-5BF8-45BD-9375-3C043BAEB1E0}">
  <dimension ref="A1:K25"/>
  <sheetViews>
    <sheetView workbookViewId="0">
      <selection activeCell="D9" sqref="D9:F18"/>
    </sheetView>
  </sheetViews>
  <sheetFormatPr defaultColWidth="10.88671875" defaultRowHeight="14.4"/>
  <cols>
    <col min="10" max="10" width="15.109375" bestFit="1" customWidth="1"/>
  </cols>
  <sheetData>
    <row r="1" spans="1:11" ht="15" thickBot="1">
      <c r="A1" s="27" t="s">
        <v>12</v>
      </c>
      <c r="B1" s="82" t="s">
        <v>27</v>
      </c>
      <c r="C1" s="82" t="s">
        <v>34</v>
      </c>
      <c r="D1" s="82" t="s">
        <v>35</v>
      </c>
      <c r="E1" s="82" t="s">
        <v>36</v>
      </c>
      <c r="F1" s="82" t="s">
        <v>14</v>
      </c>
      <c r="G1" s="86" t="s">
        <v>30</v>
      </c>
      <c r="H1" s="82" t="s">
        <v>31</v>
      </c>
      <c r="I1" s="82" t="s">
        <v>32</v>
      </c>
      <c r="J1" s="31" t="s">
        <v>28</v>
      </c>
      <c r="K1" s="31" t="s">
        <v>29</v>
      </c>
    </row>
    <row r="2" spans="1:11" ht="15" thickBot="1">
      <c r="A2" s="28" t="s">
        <v>33</v>
      </c>
      <c r="B2" s="83"/>
      <c r="C2" s="83"/>
      <c r="D2" s="83"/>
      <c r="E2" s="83"/>
      <c r="F2" s="83"/>
      <c r="G2" s="87"/>
      <c r="H2" s="83"/>
      <c r="I2" s="83"/>
      <c r="J2" s="84" t="str">
        <f>+_xlfn.CONCAT("Rhypo: ", MAIN!A22," km")</f>
        <v>Rhypo: 100 km</v>
      </c>
      <c r="K2" s="85"/>
    </row>
    <row r="3" spans="1:11" ht="15" thickBot="1">
      <c r="A3" s="29">
        <v>0.01</v>
      </c>
      <c r="B3" s="30">
        <v>0.36399999999999999</v>
      </c>
      <c r="C3" s="30">
        <v>0.70699999999999996</v>
      </c>
      <c r="D3" s="30">
        <v>0.83399999999999996</v>
      </c>
      <c r="E3" s="30">
        <v>0.79500000000000004</v>
      </c>
      <c r="F3" s="30">
        <v>0.90900000000000003</v>
      </c>
      <c r="G3" s="30">
        <v>0.55600000000000005</v>
      </c>
      <c r="H3" s="30">
        <v>0.56899999999999995</v>
      </c>
      <c r="I3" s="30">
        <v>0.67600000000000005</v>
      </c>
      <c r="J3" s="30">
        <f>+IF(MAIN!$A$22&lt;=150,'Sigma__Intra-slab'!C3,IF(MAIN!$A$22&gt;=200,'Sigma__Intra-slab'!D3,'Sigma__Intra-slab'!C3+('Sigma__Intra-slab'!D3-'Sigma__Intra-slab'!C3)*(MAIN!$A$22-150)*(0.02)))</f>
        <v>0.70699999999999996</v>
      </c>
      <c r="K3" s="30">
        <f t="shared" ref="K3:K24" si="0">+SQRT(J3^2+B3^2)</f>
        <v>0.79520123239341123</v>
      </c>
    </row>
    <row r="4" spans="1:11" ht="15" thickBot="1">
      <c r="A4" s="29">
        <v>0.02</v>
      </c>
      <c r="B4" s="30">
        <v>0.35599999999999998</v>
      </c>
      <c r="C4" s="30">
        <v>0.69899999999999995</v>
      </c>
      <c r="D4" s="30">
        <v>0.84799999999999998</v>
      </c>
      <c r="E4" s="30">
        <v>0.78400000000000003</v>
      </c>
      <c r="F4" s="30">
        <v>0.92</v>
      </c>
      <c r="G4" s="30">
        <v>0.56599999999999995</v>
      </c>
      <c r="H4" s="30">
        <v>0.57599999999999996</v>
      </c>
      <c r="I4" s="30">
        <v>0.67800000000000005</v>
      </c>
      <c r="J4" s="30">
        <f>+IF(MAIN!$A$22&lt;=150,'Sigma__Intra-slab'!C4,IF(MAIN!$A$22&gt;=200,'Sigma__Intra-slab'!D4,'Sigma__Intra-slab'!C4+('Sigma__Intra-slab'!D4-'Sigma__Intra-slab'!C4)*(MAIN!$A$22-150)*(0.02)))</f>
        <v>0.69899999999999995</v>
      </c>
      <c r="K4" s="30">
        <f t="shared" si="0"/>
        <v>0.78443419099373779</v>
      </c>
    </row>
    <row r="5" spans="1:11" ht="15" thickBot="1">
      <c r="A5" s="29">
        <v>0.03</v>
      </c>
      <c r="B5" s="30">
        <v>0.35899999999999999</v>
      </c>
      <c r="C5" s="30">
        <v>0.70399999999999996</v>
      </c>
      <c r="D5" s="30">
        <v>0.85599999999999998</v>
      </c>
      <c r="E5" s="30">
        <v>0.79</v>
      </c>
      <c r="F5" s="30">
        <v>0.92800000000000005</v>
      </c>
      <c r="G5" s="30">
        <v>0.57199999999999995</v>
      </c>
      <c r="H5" s="30">
        <v>0.58299999999999996</v>
      </c>
      <c r="I5" s="30">
        <v>0.68400000000000005</v>
      </c>
      <c r="J5" s="30">
        <f>+IF(MAIN!$A$22&lt;=150,'Sigma__Intra-slab'!C5,IF(MAIN!$A$22&gt;=200,'Sigma__Intra-slab'!D5,'Sigma__Intra-slab'!C5+('Sigma__Intra-slab'!D5-'Sigma__Intra-slab'!C5)*(MAIN!$A$22-150)*(0.02)))</f>
        <v>0.70399999999999996</v>
      </c>
      <c r="K5" s="30">
        <f t="shared" si="0"/>
        <v>0.79025122587693586</v>
      </c>
    </row>
    <row r="6" spans="1:11" ht="15" thickBot="1">
      <c r="A6" s="29">
        <v>0.05</v>
      </c>
      <c r="B6" s="30">
        <v>0.34</v>
      </c>
      <c r="C6" s="30">
        <v>0.72499999999999998</v>
      </c>
      <c r="D6" s="30">
        <v>0.873</v>
      </c>
      <c r="E6" s="30">
        <v>0.80100000000000005</v>
      </c>
      <c r="F6" s="30">
        <v>0.93700000000000006</v>
      </c>
      <c r="G6" s="30">
        <v>0.58699999999999997</v>
      </c>
      <c r="H6" s="30">
        <v>0.58599999999999997</v>
      </c>
      <c r="I6" s="30">
        <v>0.67800000000000005</v>
      </c>
      <c r="J6" s="30">
        <f>+IF(MAIN!$A$22&lt;=150,'Sigma__Intra-slab'!C6,IF(MAIN!$A$22&gt;=200,'Sigma__Intra-slab'!D6,'Sigma__Intra-slab'!C6+('Sigma__Intra-slab'!D6-'Sigma__Intra-slab'!C6)*(MAIN!$A$22-150)*(0.02)))</f>
        <v>0.72499999999999998</v>
      </c>
      <c r="K6" s="30">
        <f t="shared" si="0"/>
        <v>0.80076525898667705</v>
      </c>
    </row>
    <row r="7" spans="1:11" ht="15" thickBot="1">
      <c r="A7" s="29">
        <v>7.4999999999999997E-2</v>
      </c>
      <c r="B7" s="30">
        <v>0.318</v>
      </c>
      <c r="C7" s="30">
        <v>0.79100000000000004</v>
      </c>
      <c r="D7" s="30">
        <v>0.90200000000000002</v>
      </c>
      <c r="E7" s="30">
        <v>0.85299999999999998</v>
      </c>
      <c r="F7" s="30">
        <v>0.95699999999999996</v>
      </c>
      <c r="G7" s="30">
        <v>0.59499999999999997</v>
      </c>
      <c r="H7" s="30">
        <v>0.627</v>
      </c>
      <c r="I7" s="30">
        <v>0.70299999999999996</v>
      </c>
      <c r="J7" s="30">
        <f>+IF(MAIN!$A$22&lt;=150,'Sigma__Intra-slab'!C7,IF(MAIN!$A$22&gt;=200,'Sigma__Intra-slab'!D7,'Sigma__Intra-slab'!C7+('Sigma__Intra-slab'!D7-'Sigma__Intra-slab'!C7)*(MAIN!$A$22-150)*(0.02)))</f>
        <v>0.79100000000000004</v>
      </c>
      <c r="K7" s="30">
        <f t="shared" si="0"/>
        <v>0.85252859189589647</v>
      </c>
    </row>
    <row r="8" spans="1:11" ht="15" thickBot="1">
      <c r="A8" s="29">
        <v>0.1</v>
      </c>
      <c r="B8" s="30">
        <v>0.308</v>
      </c>
      <c r="C8" s="30">
        <v>0.85499999999999998</v>
      </c>
      <c r="D8" s="30">
        <v>0.97699999999999998</v>
      </c>
      <c r="E8" s="30">
        <v>0.90900000000000003</v>
      </c>
      <c r="F8" s="30">
        <v>1.024</v>
      </c>
      <c r="G8" s="30">
        <v>0.60399999999999998</v>
      </c>
      <c r="H8" s="30">
        <v>0.70599999999999996</v>
      </c>
      <c r="I8" s="30">
        <v>0.77</v>
      </c>
      <c r="J8" s="30">
        <f>+IF(MAIN!$A$22&lt;=150,'Sigma__Intra-slab'!C8,IF(MAIN!$A$22&gt;=200,'Sigma__Intra-slab'!D8,'Sigma__Intra-slab'!C8+('Sigma__Intra-slab'!D8-'Sigma__Intra-slab'!C8)*(MAIN!$A$22-150)*(0.02)))</f>
        <v>0.85499999999999998</v>
      </c>
      <c r="K8" s="30">
        <f t="shared" si="0"/>
        <v>0.90878435285825643</v>
      </c>
    </row>
    <row r="9" spans="1:11" ht="15" thickBot="1">
      <c r="A9" s="29">
        <v>0.15</v>
      </c>
      <c r="B9" s="30">
        <v>0.35099999999999998</v>
      </c>
      <c r="C9" s="30">
        <v>0.85299999999999998</v>
      </c>
      <c r="D9" s="30">
        <v>0.995</v>
      </c>
      <c r="E9" s="30">
        <v>0.92200000000000004</v>
      </c>
      <c r="F9" s="30">
        <v>1.056</v>
      </c>
      <c r="G9" s="30">
        <v>0.61399999999999999</v>
      </c>
      <c r="H9" s="30">
        <v>0.71099999999999997</v>
      </c>
      <c r="I9" s="30">
        <v>0.79300000000000004</v>
      </c>
      <c r="J9" s="30">
        <f>+IF(MAIN!$A$22&lt;=150,'Sigma__Intra-slab'!C9,IF(MAIN!$A$22&gt;=200,'Sigma__Intra-slab'!D9,'Sigma__Intra-slab'!C9+('Sigma__Intra-slab'!D9-'Sigma__Intra-slab'!C9)*(MAIN!$A$22-150)*(0.02)))</f>
        <v>0.85299999999999998</v>
      </c>
      <c r="K9" s="30">
        <f t="shared" si="0"/>
        <v>0.92239362530321078</v>
      </c>
    </row>
    <row r="10" spans="1:11" ht="15" thickBot="1">
      <c r="A10" s="29">
        <v>0.2</v>
      </c>
      <c r="B10" s="30">
        <v>0.35799999999999998</v>
      </c>
      <c r="C10" s="30">
        <v>0.79300000000000004</v>
      </c>
      <c r="D10" s="30">
        <v>0.98299999999999998</v>
      </c>
      <c r="E10" s="30">
        <v>0.87</v>
      </c>
      <c r="F10" s="30">
        <v>1.046</v>
      </c>
      <c r="G10" s="30">
        <v>0.628</v>
      </c>
      <c r="H10" s="30">
        <v>0.66700000000000004</v>
      </c>
      <c r="I10" s="30">
        <v>0.75700000000000001</v>
      </c>
      <c r="J10" s="30">
        <f>+IF(MAIN!$A$22&lt;=150,'Sigma__Intra-slab'!C10,IF(MAIN!$A$22&gt;=200,'Sigma__Intra-slab'!D10,'Sigma__Intra-slab'!C10+('Sigma__Intra-slab'!D10-'Sigma__Intra-slab'!C10)*(MAIN!$A$22-150)*(0.02)))</f>
        <v>0.79300000000000004</v>
      </c>
      <c r="K10" s="30">
        <f t="shared" si="0"/>
        <v>0.87006494010504765</v>
      </c>
    </row>
    <row r="11" spans="1:11" ht="15" thickBot="1">
      <c r="A11" s="29">
        <v>0.25</v>
      </c>
      <c r="B11" s="30">
        <v>0.34499999999999997</v>
      </c>
      <c r="C11" s="30">
        <v>0.78200000000000003</v>
      </c>
      <c r="D11" s="30">
        <v>0.94199999999999995</v>
      </c>
      <c r="E11" s="30">
        <v>0.85499999999999998</v>
      </c>
      <c r="F11" s="30">
        <v>1.0029999999999999</v>
      </c>
      <c r="G11" s="30">
        <v>0.60899999999999999</v>
      </c>
      <c r="H11" s="30">
        <v>0.626</v>
      </c>
      <c r="I11" s="30">
        <v>0.71499999999999997</v>
      </c>
      <c r="J11" s="30">
        <f>+IF(MAIN!$A$22&lt;=150,'Sigma__Intra-slab'!C11,IF(MAIN!$A$22&gt;=200,'Sigma__Intra-slab'!D11,'Sigma__Intra-slab'!C11+('Sigma__Intra-slab'!D11-'Sigma__Intra-slab'!C11)*(MAIN!$A$22-150)*(0.02)))</f>
        <v>0.78200000000000003</v>
      </c>
      <c r="K11" s="30">
        <f t="shared" si="0"/>
        <v>0.85472159209885412</v>
      </c>
    </row>
    <row r="12" spans="1:11" ht="15" thickBot="1">
      <c r="A12" s="29">
        <v>0.3</v>
      </c>
      <c r="B12" s="30">
        <v>0.35799999999999998</v>
      </c>
      <c r="C12" s="30">
        <v>0.73099999999999998</v>
      </c>
      <c r="D12" s="30">
        <v>0.97199999999999998</v>
      </c>
      <c r="E12" s="30">
        <v>0.81399999999999995</v>
      </c>
      <c r="F12" s="30">
        <v>1.0349999999999999</v>
      </c>
      <c r="G12" s="30">
        <v>0.64100000000000001</v>
      </c>
      <c r="H12" s="30">
        <v>0.63500000000000001</v>
      </c>
      <c r="I12" s="30">
        <v>0.72899999999999998</v>
      </c>
      <c r="J12" s="30">
        <f>+IF(MAIN!$A$22&lt;=150,'Sigma__Intra-slab'!C12,IF(MAIN!$A$22&gt;=200,'Sigma__Intra-slab'!D12,'Sigma__Intra-slab'!C12+('Sigma__Intra-slab'!D12-'Sigma__Intra-slab'!C12)*(MAIN!$A$22-150)*(0.02)))</f>
        <v>0.73099999999999998</v>
      </c>
      <c r="K12" s="30">
        <f t="shared" si="0"/>
        <v>0.81395638703802797</v>
      </c>
    </row>
    <row r="13" spans="1:11" ht="15" thickBot="1">
      <c r="A13" s="29">
        <v>0.4</v>
      </c>
      <c r="B13" s="30">
        <v>0.38200000000000001</v>
      </c>
      <c r="C13" s="30">
        <v>0.6</v>
      </c>
      <c r="D13" s="30">
        <v>0.88900000000000001</v>
      </c>
      <c r="E13" s="30">
        <v>0.71199999999999997</v>
      </c>
      <c r="F13" s="30">
        <v>0.96699999999999997</v>
      </c>
      <c r="G13" s="30">
        <v>0.61399999999999999</v>
      </c>
      <c r="H13" s="30">
        <v>0.52800000000000002</v>
      </c>
      <c r="I13" s="30">
        <v>0.65200000000000002</v>
      </c>
      <c r="J13" s="30">
        <f>+IF(MAIN!$A$22&lt;=150,'Sigma__Intra-slab'!C13,IF(MAIN!$A$22&gt;=200,'Sigma__Intra-slab'!D13,'Sigma__Intra-slab'!C13+('Sigma__Intra-slab'!D13-'Sigma__Intra-slab'!C13)*(MAIN!$A$22-150)*(0.02)))</f>
        <v>0.6</v>
      </c>
      <c r="K13" s="30">
        <f t="shared" si="0"/>
        <v>0.71128334719716313</v>
      </c>
    </row>
    <row r="14" spans="1:11" ht="15" thickBot="1">
      <c r="A14" s="29">
        <v>0.5</v>
      </c>
      <c r="B14" s="30">
        <v>0.41599999999999998</v>
      </c>
      <c r="C14" s="30">
        <v>0.65600000000000003</v>
      </c>
      <c r="D14" s="30">
        <v>0.91300000000000003</v>
      </c>
      <c r="E14" s="30">
        <v>0.77700000000000002</v>
      </c>
      <c r="F14" s="30">
        <v>1.0029999999999999</v>
      </c>
      <c r="G14" s="30">
        <v>0.61899999999999999</v>
      </c>
      <c r="H14" s="30">
        <v>0.56000000000000005</v>
      </c>
      <c r="I14" s="30">
        <v>0.69799999999999995</v>
      </c>
      <c r="J14" s="30">
        <f>+IF(MAIN!$A$22&lt;=150,'Sigma__Intra-slab'!C14,IF(MAIN!$A$22&gt;=200,'Sigma__Intra-slab'!D14,'Sigma__Intra-slab'!C14+('Sigma__Intra-slab'!D14-'Sigma__Intra-slab'!C14)*(MAIN!$A$22-150)*(0.02)))</f>
        <v>0.65600000000000003</v>
      </c>
      <c r="K14" s="30">
        <f t="shared" si="0"/>
        <v>0.7767831100120548</v>
      </c>
    </row>
    <row r="15" spans="1:11" ht="15" thickBot="1">
      <c r="A15" s="29">
        <v>0.75</v>
      </c>
      <c r="B15" s="30">
        <v>0.45200000000000001</v>
      </c>
      <c r="C15" s="30">
        <v>0.748</v>
      </c>
      <c r="D15" s="30">
        <v>0.88</v>
      </c>
      <c r="E15" s="30">
        <v>0.874</v>
      </c>
      <c r="F15" s="30">
        <v>0.98899999999999999</v>
      </c>
      <c r="G15" s="30">
        <v>0.623</v>
      </c>
      <c r="H15" s="30">
        <v>0.52700000000000002</v>
      </c>
      <c r="I15" s="30">
        <v>0.69499999999999995</v>
      </c>
      <c r="J15" s="30">
        <f>+IF(MAIN!$A$22&lt;=150,'Sigma__Intra-slab'!C15,IF(MAIN!$A$22&gt;=200,'Sigma__Intra-slab'!D15,'Sigma__Intra-slab'!C15+('Sigma__Intra-slab'!D15-'Sigma__Intra-slab'!C15)*(MAIN!$A$22-150)*(0.02)))</f>
        <v>0.748</v>
      </c>
      <c r="K15" s="30">
        <f t="shared" si="0"/>
        <v>0.87396109753237872</v>
      </c>
    </row>
    <row r="16" spans="1:11" ht="15" thickBot="1">
      <c r="A16" s="29">
        <v>1</v>
      </c>
      <c r="B16" s="30">
        <v>0.46600000000000003</v>
      </c>
      <c r="C16" s="30">
        <v>0.69399999999999995</v>
      </c>
      <c r="D16" s="30">
        <v>0.85</v>
      </c>
      <c r="E16" s="30">
        <v>0.83599999999999997</v>
      </c>
      <c r="F16" s="30">
        <v>0.96899999999999997</v>
      </c>
      <c r="G16" s="30">
        <v>0.63</v>
      </c>
      <c r="H16" s="30">
        <v>0.49399999999999999</v>
      </c>
      <c r="I16" s="30">
        <v>0.67900000000000005</v>
      </c>
      <c r="J16" s="30">
        <f>+IF(MAIN!$A$22&lt;=150,'Sigma__Intra-slab'!C16,IF(MAIN!$A$22&gt;=200,'Sigma__Intra-slab'!D16,'Sigma__Intra-slab'!C16+('Sigma__Intra-slab'!D16-'Sigma__Intra-slab'!C16)*(MAIN!$A$22-150)*(0.02)))</f>
        <v>0.69399999999999995</v>
      </c>
      <c r="K16" s="30">
        <f t="shared" si="0"/>
        <v>0.83593779672891932</v>
      </c>
    </row>
    <row r="17" spans="1:11" ht="15" thickBot="1">
      <c r="A17" s="29">
        <v>1.5</v>
      </c>
      <c r="B17" s="30">
        <v>0.45300000000000001</v>
      </c>
      <c r="C17" s="30">
        <v>0.58099999999999996</v>
      </c>
      <c r="D17" s="30">
        <v>0.83899999999999997</v>
      </c>
      <c r="E17" s="30">
        <v>0.73699999999999999</v>
      </c>
      <c r="F17" s="30">
        <v>0.95299999999999996</v>
      </c>
      <c r="G17" s="30">
        <v>0.58499999999999996</v>
      </c>
      <c r="H17" s="30">
        <v>0.50800000000000001</v>
      </c>
      <c r="I17" s="30">
        <v>0.68</v>
      </c>
      <c r="J17" s="30">
        <f>+IF(MAIN!$A$22&lt;=150,'Sigma__Intra-slab'!C17,IF(MAIN!$A$22&gt;=200,'Sigma__Intra-slab'!D17,'Sigma__Intra-slab'!C17+('Sigma__Intra-slab'!D17-'Sigma__Intra-slab'!C17)*(MAIN!$A$22-150)*(0.02)))</f>
        <v>0.58099999999999996</v>
      </c>
      <c r="K17" s="30">
        <f t="shared" si="0"/>
        <v>0.73672925827606439</v>
      </c>
    </row>
    <row r="18" spans="1:11" ht="15" thickBot="1">
      <c r="A18" s="29">
        <v>2</v>
      </c>
      <c r="B18" s="30">
        <v>0.42199999999999999</v>
      </c>
      <c r="C18" s="30">
        <v>0.55200000000000005</v>
      </c>
      <c r="D18" s="30">
        <v>0.84099999999999997</v>
      </c>
      <c r="E18" s="30">
        <v>0.69499999999999995</v>
      </c>
      <c r="F18" s="30">
        <v>0.94099999999999995</v>
      </c>
      <c r="G18" s="30">
        <v>0.57599999999999996</v>
      </c>
      <c r="H18" s="30">
        <v>0.51200000000000001</v>
      </c>
      <c r="I18" s="30">
        <v>0.66400000000000003</v>
      </c>
      <c r="J18" s="30">
        <f>+IF(MAIN!$A$22&lt;=150,'Sigma__Intra-slab'!C18,IF(MAIN!$A$22&gt;=200,'Sigma__Intra-slab'!D18,'Sigma__Intra-slab'!C18+('Sigma__Intra-slab'!D18-'Sigma__Intra-slab'!C18)*(MAIN!$A$22-150)*(0.02)))</f>
        <v>0.55200000000000005</v>
      </c>
      <c r="K18" s="30">
        <f t="shared" si="0"/>
        <v>0.69482947548301377</v>
      </c>
    </row>
    <row r="19" spans="1:11" ht="15" thickBot="1">
      <c r="A19" s="29">
        <v>3</v>
      </c>
      <c r="B19" s="30">
        <v>0.39800000000000002</v>
      </c>
      <c r="C19" s="30">
        <v>0.57299999999999995</v>
      </c>
      <c r="D19" s="30">
        <v>0.80900000000000005</v>
      </c>
      <c r="E19" s="30">
        <v>0.69699999999999995</v>
      </c>
      <c r="F19" s="30">
        <v>0.90100000000000002</v>
      </c>
      <c r="G19" s="30">
        <v>0.56999999999999995</v>
      </c>
      <c r="H19" s="30">
        <v>0.47</v>
      </c>
      <c r="I19" s="30">
        <v>0.61599999999999999</v>
      </c>
      <c r="J19" s="30">
        <f>+IF(MAIN!$A$22&lt;=150,'Sigma__Intra-slab'!C19,IF(MAIN!$A$22&gt;=200,'Sigma__Intra-slab'!D19,'Sigma__Intra-slab'!C19+('Sigma__Intra-slab'!D19-'Sigma__Intra-slab'!C19)*(MAIN!$A$22-150)*(0.02)))</f>
        <v>0.57299999999999995</v>
      </c>
      <c r="K19" s="30">
        <f t="shared" si="0"/>
        <v>0.69766252586762889</v>
      </c>
    </row>
    <row r="20" spans="1:11" ht="15" thickBot="1">
      <c r="A20" s="29">
        <v>4</v>
      </c>
      <c r="B20" s="30">
        <v>0.40500000000000003</v>
      </c>
      <c r="C20" s="30">
        <v>0.54900000000000004</v>
      </c>
      <c r="D20" s="30">
        <v>0.75700000000000001</v>
      </c>
      <c r="E20" s="30">
        <v>0.68200000000000005</v>
      </c>
      <c r="F20" s="30">
        <v>0.85899999999999999</v>
      </c>
      <c r="G20" s="30">
        <v>0.56999999999999995</v>
      </c>
      <c r="H20" s="30">
        <v>0.41199999999999998</v>
      </c>
      <c r="I20" s="30">
        <v>0.57799999999999996</v>
      </c>
      <c r="J20" s="30">
        <f>+IF(MAIN!$A$22&lt;=150,'Sigma__Intra-slab'!C20,IF(MAIN!$A$22&gt;=200,'Sigma__Intra-slab'!D20,'Sigma__Intra-slab'!C20+('Sigma__Intra-slab'!D20-'Sigma__Intra-slab'!C20)*(MAIN!$A$22-150)*(0.02)))</f>
        <v>0.54900000000000004</v>
      </c>
      <c r="K20" s="30">
        <f t="shared" si="0"/>
        <v>0.68222137169690023</v>
      </c>
    </row>
    <row r="21" spans="1:11" ht="15" thickBot="1">
      <c r="A21" s="29">
        <v>5</v>
      </c>
      <c r="B21" s="30">
        <v>0.41499999999999998</v>
      </c>
      <c r="C21" s="30">
        <v>0.57799999999999996</v>
      </c>
      <c r="D21" s="30">
        <v>0.78100000000000003</v>
      </c>
      <c r="E21" s="30">
        <v>0.71099999999999997</v>
      </c>
      <c r="F21" s="30">
        <v>0.88500000000000001</v>
      </c>
      <c r="G21" s="30">
        <v>0.58799999999999997</v>
      </c>
      <c r="H21" s="30">
        <v>0.46200000000000002</v>
      </c>
      <c r="I21" s="30">
        <v>0.621</v>
      </c>
      <c r="J21" s="30">
        <f>+IF(MAIN!$A$22&lt;=150,'Sigma__Intra-slab'!C21,IF(MAIN!$A$22&gt;=200,'Sigma__Intra-slab'!D21,'Sigma__Intra-slab'!C21+('Sigma__Intra-slab'!D21-'Sigma__Intra-slab'!C21)*(MAIN!$A$22-150)*(0.02)))</f>
        <v>0.57799999999999996</v>
      </c>
      <c r="K21" s="30">
        <f t="shared" si="0"/>
        <v>0.71155393330372363</v>
      </c>
    </row>
    <row r="22" spans="1:11" ht="15" thickBot="1">
      <c r="A22" s="29">
        <v>6</v>
      </c>
      <c r="B22" s="30">
        <v>0.42699999999999999</v>
      </c>
      <c r="C22" s="30">
        <v>0.627</v>
      </c>
      <c r="D22" s="30">
        <v>0.81299999999999994</v>
      </c>
      <c r="E22" s="30">
        <v>0.75800000000000001</v>
      </c>
      <c r="F22" s="30">
        <v>0.91800000000000004</v>
      </c>
      <c r="G22" s="30">
        <v>0.60699999999999998</v>
      </c>
      <c r="H22" s="30">
        <v>0.501</v>
      </c>
      <c r="I22" s="30">
        <v>0.65800000000000003</v>
      </c>
      <c r="J22" s="30">
        <f>+IF(MAIN!$A$22&lt;=150,'Sigma__Intra-slab'!C22,IF(MAIN!$A$22&gt;=200,'Sigma__Intra-slab'!D22,'Sigma__Intra-slab'!C22+('Sigma__Intra-slab'!D22-'Sigma__Intra-slab'!C22)*(MAIN!$A$22-150)*(0.02)))</f>
        <v>0.627</v>
      </c>
      <c r="K22" s="30">
        <f t="shared" si="0"/>
        <v>0.75858948054926256</v>
      </c>
    </row>
    <row r="23" spans="1:11" ht="15" thickBot="1">
      <c r="A23" s="29">
        <v>7.5</v>
      </c>
      <c r="B23" s="30">
        <v>0.44600000000000001</v>
      </c>
      <c r="C23" s="30">
        <v>0.68</v>
      </c>
      <c r="D23" s="30">
        <v>0.82499999999999996</v>
      </c>
      <c r="E23" s="30">
        <v>0.81299999999999994</v>
      </c>
      <c r="F23" s="30">
        <v>0.93799999999999994</v>
      </c>
      <c r="G23" s="30">
        <v>0.63500000000000001</v>
      </c>
      <c r="H23" s="30">
        <v>0.51900000000000002</v>
      </c>
      <c r="I23" s="30">
        <v>0.68400000000000005</v>
      </c>
      <c r="J23" s="30">
        <f>+IF(MAIN!$A$22&lt;=150,'Sigma__Intra-slab'!C23,IF(MAIN!$A$22&gt;=200,'Sigma__Intra-slab'!D23,'Sigma__Intra-slab'!C23+('Sigma__Intra-slab'!D23-'Sigma__Intra-slab'!C23)*(MAIN!$A$22-150)*(0.02)))</f>
        <v>0.68</v>
      </c>
      <c r="K23" s="30">
        <f t="shared" si="0"/>
        <v>0.81321337913243907</v>
      </c>
    </row>
    <row r="24" spans="1:11" ht="15" thickBot="1">
      <c r="A24" s="29">
        <v>10</v>
      </c>
      <c r="B24" s="30">
        <v>0.48599999999999999</v>
      </c>
      <c r="C24" s="30">
        <v>0.69099999999999995</v>
      </c>
      <c r="D24" s="30">
        <v>0.76100000000000001</v>
      </c>
      <c r="E24" s="30">
        <v>0.84499999999999997</v>
      </c>
      <c r="F24" s="30">
        <v>0.90300000000000002</v>
      </c>
      <c r="G24" s="30">
        <v>0.59799999999999998</v>
      </c>
      <c r="H24" s="30">
        <v>0.54400000000000004</v>
      </c>
      <c r="I24" s="30">
        <v>0.73</v>
      </c>
      <c r="J24" s="30">
        <f>+IF(MAIN!$A$22&lt;=150,'Sigma__Intra-slab'!C24,IF(MAIN!$A$22&gt;=200,'Sigma__Intra-slab'!D24,'Sigma__Intra-slab'!C24+('Sigma__Intra-slab'!D24-'Sigma__Intra-slab'!C24)*(MAIN!$A$22-150)*(0.02)))</f>
        <v>0.69099999999999995</v>
      </c>
      <c r="K24" s="30">
        <f t="shared" si="0"/>
        <v>0.84479405774425276</v>
      </c>
    </row>
    <row r="25" spans="1:11">
      <c r="A25" s="32"/>
    </row>
  </sheetData>
  <sheetProtection algorithmName="SHA-512" hashValue="Hwx/osHHqLgxBwPhdRzecWSAkC9cN4sJWzyMkd/FAyFUSj7ncNflyjyHlBIV2VdT+Oxuv8pqwdVI30Wp+5lmvg==" saltValue="sRvTOKKeNV9AYQvnNihnCg==" spinCount="100000" sheet="1" objects="1" scenarios="1"/>
  <mergeCells count="9">
    <mergeCell ref="H1:H2"/>
    <mergeCell ref="I1:I2"/>
    <mergeCell ref="J2:K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Coefficients_Interface</vt:lpstr>
      <vt:lpstr>Coefficients_Intra-slab</vt:lpstr>
      <vt:lpstr>Sigma_Interface</vt:lpstr>
      <vt:lpstr>Sigma__Intra-slab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PAJARO</dc:creator>
  <cp:lastModifiedBy>Carlos Arteta</cp:lastModifiedBy>
  <dcterms:created xsi:type="dcterms:W3CDTF">2021-07-12T23:15:09Z</dcterms:created>
  <dcterms:modified xsi:type="dcterms:W3CDTF">2021-07-13T17:33:45Z</dcterms:modified>
</cp:coreProperties>
</file>