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Paras\Desktop\"/>
    </mc:Choice>
  </mc:AlternateContent>
  <xr:revisionPtr revIDLastSave="0" documentId="13_ncr:1_{F18D1F37-1B32-4D41-BB5A-D56420BFE763}" xr6:coauthVersionLast="47" xr6:coauthVersionMax="47" xr10:uidLastSave="{00000000-0000-0000-0000-000000000000}"/>
  <bookViews>
    <workbookView xWindow="-120" yWindow="-120" windowWidth="20730" windowHeight="11160" tabRatio="780" activeTab="6" xr2:uid="{00000000-000D-0000-FFFF-FFFF00000000}"/>
  </bookViews>
  <sheets>
    <sheet name="Summary" sheetId="33" r:id="rId1"/>
    <sheet name="DCF Valuation" sheetId="25" r:id="rId2"/>
    <sheet name="Profit &amp; Loss St." sheetId="2" r:id="rId3"/>
    <sheet name="Sheet1" sheetId="39" state="hidden" r:id="rId4"/>
    <sheet name="Balance Sheet" sheetId="1" r:id="rId5"/>
    <sheet name="Cash Flow St." sheetId="14" r:id="rId6"/>
    <sheet name="Working Capital" sheetId="16" r:id="rId7"/>
    <sheet name="FA Schedule" sheetId="18" r:id="rId8"/>
    <sheet name="50L T.L. Repayment Sch." sheetId="40" r:id="rId9"/>
    <sheet name="DSCR" sheetId="41" state="hidden" r:id="rId10"/>
    <sheet name="Sales Schedule" sheetId="19" r:id="rId11"/>
    <sheet name="Sales Export" sheetId="37" r:id="rId12"/>
    <sheet name="Sales (RTE) - Inst." sheetId="29" r:id="rId13"/>
    <sheet name="Sales-Retail-RTE" sheetId="36" state="hidden" r:id="rId14"/>
    <sheet name="Sales (Premixes) - Inst." sheetId="31" r:id="rId15"/>
    <sheet name="Products (Export)" sheetId="38" r:id="rId16"/>
    <sheet name="Products (RTE) - Inst." sheetId="20" r:id="rId17"/>
    <sheet name="Products (RTE) - Retail" sheetId="34" state="hidden" r:id="rId18"/>
    <sheet name="Products (Premixes)" sheetId="27" r:id="rId19"/>
    <sheet name="Equipment Cost" sheetId="22" r:id="rId20"/>
    <sheet name="Manpower" sheetId="32" r:id="rId21"/>
    <sheet name="Sales Manpower" sheetId="24" state="hidden" r:id="rId22"/>
    <sheet name="List of Markets" sheetId="28" state="hidden" r:id="rId23"/>
  </sheets>
  <definedNames>
    <definedName name="_xlnm.Print_Area" localSheetId="8">'50L T.L. Repayment Sch.'!$A$1:$Q$66</definedName>
    <definedName name="_xlnm.Print_Area" localSheetId="4">'Balance Sheet'!$A$1:$M$56</definedName>
    <definedName name="_xlnm.Print_Area" localSheetId="1">'DCF Valuation'!$A$1:$H$41</definedName>
    <definedName name="_xlnm.Print_Area" localSheetId="19">'Equipment Cost'!$A$1:$R$34</definedName>
    <definedName name="_xlnm.Print_Area" localSheetId="15">'Products (Export)'!$A$1:$I$23</definedName>
    <definedName name="_xlnm.Print_Area" localSheetId="18">'Products (Premixes)'!$A$1:$M$25</definedName>
    <definedName name="_xlnm.Print_Area" localSheetId="16">'Products (RTE) - Inst.'!$A$1:$I$38</definedName>
    <definedName name="_xlnm.Print_Area" localSheetId="2">'Profit &amp; Loss St.'!$A$1:$M$76</definedName>
    <definedName name="_xlnm.Print_Area" localSheetId="14">'Sales (Premixes) - Inst.'!$A$1:$W$71</definedName>
    <definedName name="_xlnm.Print_Area" localSheetId="12">'Sales (RTE) - Inst.'!$A$1:$W$65</definedName>
    <definedName name="_xlnm.Print_Area" localSheetId="10">'Sales Schedule'!$A$1:$V$40</definedName>
    <definedName name="_xlnm.Print_Area" localSheetId="0">Summary!$A$1:$L$25</definedName>
    <definedName name="_xlnm.Print_Area" localSheetId="6">'Working Capital'!$A$1:$K$44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K11" i="1" s="1"/>
  <c r="L11" i="1" s="1"/>
  <c r="M11" i="1" s="1"/>
  <c r="B12" i="16"/>
  <c r="J57" i="2"/>
  <c r="J14" i="1" s="1"/>
  <c r="C51" i="2"/>
  <c r="C43" i="2"/>
  <c r="I13" i="1"/>
  <c r="J13" i="1" s="1"/>
  <c r="H12" i="16" l="1"/>
  <c r="K13" i="1"/>
  <c r="L13" i="1" s="1"/>
  <c r="M13" i="1" s="1"/>
  <c r="K68" i="2"/>
  <c r="L68" i="2"/>
  <c r="M68" i="2"/>
  <c r="J68" i="2"/>
  <c r="N8" i="37"/>
  <c r="N9" i="37"/>
  <c r="N10" i="37"/>
  <c r="N11" i="37"/>
  <c r="N12" i="37"/>
  <c r="N13" i="37"/>
  <c r="N14" i="37"/>
  <c r="N15" i="37"/>
  <c r="N7" i="37"/>
  <c r="L8" i="37"/>
  <c r="L9" i="37"/>
  <c r="L10" i="37"/>
  <c r="L11" i="37"/>
  <c r="L12" i="37"/>
  <c r="L13" i="37"/>
  <c r="L14" i="37"/>
  <c r="L15" i="37"/>
  <c r="L7" i="37"/>
  <c r="M32" i="2"/>
  <c r="K32" i="2"/>
  <c r="L32" i="2"/>
  <c r="M44" i="2"/>
  <c r="L44" i="2"/>
  <c r="K44" i="2"/>
  <c r="J44" i="2"/>
  <c r="G19" i="22"/>
  <c r="I19" i="22" s="1"/>
  <c r="J19" i="22"/>
  <c r="L19" i="22" s="1"/>
  <c r="F13" i="27"/>
  <c r="F12" i="27"/>
  <c r="F11" i="27"/>
  <c r="F10" i="20"/>
  <c r="K57" i="2"/>
  <c r="K14" i="1" s="1"/>
  <c r="L57" i="2"/>
  <c r="M57" i="2"/>
  <c r="G11" i="16"/>
  <c r="H11" i="16" s="1"/>
  <c r="I11" i="16" s="1"/>
  <c r="J11" i="16" s="1"/>
  <c r="K11" i="16" s="1"/>
  <c r="G10" i="16"/>
  <c r="H10" i="16" s="1"/>
  <c r="I10" i="16" s="1"/>
  <c r="J10" i="16" s="1"/>
  <c r="K10" i="16" s="1"/>
  <c r="H45" i="1"/>
  <c r="G23" i="16" s="1"/>
  <c r="H23" i="16" s="1"/>
  <c r="I23" i="16" s="1"/>
  <c r="J23" i="16" s="1"/>
  <c r="K23" i="16" s="1"/>
  <c r="H18" i="1"/>
  <c r="I18" i="1" s="1"/>
  <c r="J18" i="1" s="1"/>
  <c r="K18" i="1" s="1"/>
  <c r="L18" i="1" s="1"/>
  <c r="H15" i="1"/>
  <c r="H8" i="1"/>
  <c r="H69" i="2"/>
  <c r="H58" i="2"/>
  <c r="H34" i="2"/>
  <c r="H12" i="2"/>
  <c r="H4" i="1"/>
  <c r="J4" i="1"/>
  <c r="I4" i="1"/>
  <c r="M19" i="22" l="1"/>
  <c r="L14" i="1"/>
  <c r="I12" i="16"/>
  <c r="H40" i="16"/>
  <c r="H41" i="16"/>
  <c r="I69" i="2"/>
  <c r="I44" i="2"/>
  <c r="I68" i="2"/>
  <c r="M50" i="2"/>
  <c r="L50" i="2"/>
  <c r="J50" i="2"/>
  <c r="K50" i="2"/>
  <c r="I50" i="2"/>
  <c r="M41" i="2"/>
  <c r="K39" i="2"/>
  <c r="M39" i="2" s="1"/>
  <c r="J39" i="2"/>
  <c r="M36" i="2"/>
  <c r="L36" i="2"/>
  <c r="K36" i="2"/>
  <c r="J36" i="2"/>
  <c r="I24" i="2"/>
  <c r="J24" i="2"/>
  <c r="V8" i="37"/>
  <c r="V9" i="37"/>
  <c r="V10" i="37"/>
  <c r="V11" i="37"/>
  <c r="V12" i="37"/>
  <c r="V13" i="37"/>
  <c r="V14" i="37"/>
  <c r="W14" i="37" s="1"/>
  <c r="V15" i="37"/>
  <c r="V7" i="37"/>
  <c r="T8" i="37"/>
  <c r="T9" i="37"/>
  <c r="U9" i="37" s="1"/>
  <c r="U21" i="37" s="1"/>
  <c r="T10" i="37"/>
  <c r="U10" i="37" s="1"/>
  <c r="T11" i="37"/>
  <c r="T12" i="37"/>
  <c r="U12" i="37" s="1"/>
  <c r="T13" i="37"/>
  <c r="T14" i="37"/>
  <c r="T15" i="37"/>
  <c r="T7" i="37"/>
  <c r="R8" i="37"/>
  <c r="S8" i="37" s="1"/>
  <c r="S33" i="37" s="1"/>
  <c r="R9" i="37"/>
  <c r="S9" i="37" s="1"/>
  <c r="R10" i="37"/>
  <c r="R11" i="37"/>
  <c r="R12" i="37"/>
  <c r="R13" i="37"/>
  <c r="R14" i="37"/>
  <c r="S14" i="37" s="1"/>
  <c r="R15" i="37"/>
  <c r="R7" i="37"/>
  <c r="S7" i="37" s="1"/>
  <c r="P8" i="37"/>
  <c r="P33" i="37" s="1"/>
  <c r="P9" i="37"/>
  <c r="P10" i="37"/>
  <c r="Q10" i="37" s="1"/>
  <c r="Q35" i="37" s="1"/>
  <c r="P11" i="37"/>
  <c r="P12" i="37"/>
  <c r="Q12" i="37" s="1"/>
  <c r="P13" i="37"/>
  <c r="P14" i="37"/>
  <c r="P15" i="37"/>
  <c r="P7" i="37"/>
  <c r="Q7" i="37" s="1"/>
  <c r="O12" i="37"/>
  <c r="O13" i="37"/>
  <c r="O14" i="37"/>
  <c r="O15" i="37"/>
  <c r="O7" i="37"/>
  <c r="L23" i="31"/>
  <c r="N23" i="31" s="1"/>
  <c r="R23" i="31" s="1"/>
  <c r="S23" i="31" s="1"/>
  <c r="U23" i="31" s="1"/>
  <c r="I23" i="31"/>
  <c r="I31" i="31"/>
  <c r="D31" i="31"/>
  <c r="D7" i="31"/>
  <c r="D12" i="31" s="1"/>
  <c r="B53" i="31"/>
  <c r="F31" i="31"/>
  <c r="G31" i="31"/>
  <c r="H31" i="31"/>
  <c r="E31" i="31"/>
  <c r="B30" i="31"/>
  <c r="B19" i="31" s="1"/>
  <c r="B41" i="31" s="1"/>
  <c r="E7" i="29"/>
  <c r="D12" i="29"/>
  <c r="F9" i="20"/>
  <c r="F8" i="20"/>
  <c r="F7" i="20"/>
  <c r="F6" i="20"/>
  <c r="B11" i="29"/>
  <c r="I11" i="29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B8" i="29"/>
  <c r="B9" i="29"/>
  <c r="B10" i="29"/>
  <c r="B7" i="29"/>
  <c r="M13" i="37"/>
  <c r="M14" i="37"/>
  <c r="J8" i="37"/>
  <c r="K8" i="37" s="1"/>
  <c r="K33" i="37" s="1"/>
  <c r="J9" i="37"/>
  <c r="J10" i="37"/>
  <c r="K10" i="37" s="1"/>
  <c r="K35" i="37" s="1"/>
  <c r="J11" i="37"/>
  <c r="J12" i="37"/>
  <c r="J13" i="37"/>
  <c r="J14" i="37"/>
  <c r="J15" i="37"/>
  <c r="K15" i="37" s="1"/>
  <c r="J7" i="37"/>
  <c r="K7" i="37" s="1"/>
  <c r="U8" i="37"/>
  <c r="W8" i="37"/>
  <c r="W10" i="37"/>
  <c r="U11" i="37"/>
  <c r="W12" i="37"/>
  <c r="U13" i="37"/>
  <c r="U15" i="37"/>
  <c r="W7" i="37"/>
  <c r="U7" i="37"/>
  <c r="S10" i="37"/>
  <c r="S12" i="37"/>
  <c r="Q9" i="37"/>
  <c r="Q34" i="37" s="1"/>
  <c r="Q11" i="37"/>
  <c r="Q13" i="37"/>
  <c r="Q14" i="37"/>
  <c r="O8" i="37"/>
  <c r="O9" i="37"/>
  <c r="O34" i="37" s="1"/>
  <c r="O10" i="37"/>
  <c r="O11" i="37"/>
  <c r="M10" i="37"/>
  <c r="M12" i="37"/>
  <c r="M15" i="37"/>
  <c r="M7" i="37"/>
  <c r="M8" i="37"/>
  <c r="M33" i="37" s="1"/>
  <c r="M9" i="37"/>
  <c r="M11" i="37"/>
  <c r="K9" i="37"/>
  <c r="K11" i="37"/>
  <c r="F16" i="37"/>
  <c r="G16" i="37"/>
  <c r="H16" i="37"/>
  <c r="I16" i="37"/>
  <c r="E16" i="37"/>
  <c r="F33" i="37"/>
  <c r="H33" i="37"/>
  <c r="N33" i="37"/>
  <c r="T33" i="37"/>
  <c r="E34" i="37"/>
  <c r="F34" i="37"/>
  <c r="H34" i="37"/>
  <c r="J34" i="37"/>
  <c r="M34" i="37"/>
  <c r="N34" i="37"/>
  <c r="F35" i="37"/>
  <c r="G35" i="37"/>
  <c r="I35" i="37"/>
  <c r="P35" i="37"/>
  <c r="S35" i="37"/>
  <c r="V35" i="37"/>
  <c r="C33" i="37"/>
  <c r="E33" i="37" s="1"/>
  <c r="B34" i="37"/>
  <c r="C34" i="37"/>
  <c r="G34" i="37" s="1"/>
  <c r="B35" i="37"/>
  <c r="C35" i="37"/>
  <c r="H35" i="37" s="1"/>
  <c r="B38" i="37"/>
  <c r="B39" i="37"/>
  <c r="D21" i="37"/>
  <c r="G21" i="37"/>
  <c r="H21" i="37"/>
  <c r="J21" i="37"/>
  <c r="L21" i="37"/>
  <c r="P21" i="37"/>
  <c r="Q21" i="37"/>
  <c r="C9" i="37"/>
  <c r="I21" i="37" s="1"/>
  <c r="B20" i="37"/>
  <c r="B33" i="37" s="1"/>
  <c r="B21" i="37"/>
  <c r="B22" i="37"/>
  <c r="B23" i="37"/>
  <c r="B36" i="37" s="1"/>
  <c r="B24" i="37"/>
  <c r="B37" i="37" s="1"/>
  <c r="B25" i="37"/>
  <c r="B26" i="37"/>
  <c r="B27" i="37"/>
  <c r="B40" i="37" s="1"/>
  <c r="B8" i="37"/>
  <c r="B9" i="37"/>
  <c r="B10" i="37"/>
  <c r="B11" i="37"/>
  <c r="B12" i="37"/>
  <c r="B13" i="37"/>
  <c r="B14" i="37"/>
  <c r="B15" i="37"/>
  <c r="G9" i="38"/>
  <c r="F6" i="38"/>
  <c r="F7" i="38"/>
  <c r="E15" i="38"/>
  <c r="G23" i="20"/>
  <c r="C33" i="29" s="1"/>
  <c r="F23" i="20"/>
  <c r="C32" i="29" s="1"/>
  <c r="E23" i="20"/>
  <c r="E24" i="20" s="1"/>
  <c r="C42" i="29" s="1"/>
  <c r="D23" i="20"/>
  <c r="D24" i="20" s="1"/>
  <c r="D25" i="20" s="1"/>
  <c r="H22" i="20"/>
  <c r="G22" i="20"/>
  <c r="F22" i="20"/>
  <c r="E22" i="20"/>
  <c r="J12" i="27"/>
  <c r="J11" i="27"/>
  <c r="F10" i="27"/>
  <c r="J9" i="27"/>
  <c r="J8" i="27"/>
  <c r="F8" i="27"/>
  <c r="J7" i="27"/>
  <c r="F7" i="27"/>
  <c r="D22" i="20"/>
  <c r="S21" i="37" l="1"/>
  <c r="S34" i="37"/>
  <c r="N21" i="37"/>
  <c r="F21" i="37"/>
  <c r="N35" i="37"/>
  <c r="E35" i="37"/>
  <c r="L34" i="37"/>
  <c r="W33" i="37"/>
  <c r="J33" i="37"/>
  <c r="V34" i="37"/>
  <c r="L33" i="37"/>
  <c r="Q8" i="37"/>
  <c r="M21" i="37"/>
  <c r="E21" i="37"/>
  <c r="W35" i="37"/>
  <c r="L35" i="37"/>
  <c r="T34" i="37"/>
  <c r="K34" i="37"/>
  <c r="V33" i="37"/>
  <c r="I33" i="37"/>
  <c r="T21" i="37"/>
  <c r="K21" i="37"/>
  <c r="T35" i="37"/>
  <c r="J35" i="37"/>
  <c r="R34" i="37"/>
  <c r="I34" i="37"/>
  <c r="R33" i="37"/>
  <c r="G33" i="37"/>
  <c r="U33" i="37"/>
  <c r="R16" i="37"/>
  <c r="O19" i="22"/>
  <c r="P19" i="22"/>
  <c r="R19" i="22" s="1"/>
  <c r="V16" i="37"/>
  <c r="R21" i="37"/>
  <c r="R35" i="37"/>
  <c r="P34" i="37"/>
  <c r="O33" i="37"/>
  <c r="O35" i="37"/>
  <c r="C30" i="29"/>
  <c r="M14" i="1"/>
  <c r="K12" i="16" s="1"/>
  <c r="J12" i="16"/>
  <c r="T16" i="37"/>
  <c r="U14" i="37"/>
  <c r="U16" i="37" s="1"/>
  <c r="S13" i="37"/>
  <c r="Q15" i="37"/>
  <c r="K31" i="31"/>
  <c r="J31" i="31"/>
  <c r="D13" i="31"/>
  <c r="D14" i="31"/>
  <c r="D15" i="31"/>
  <c r="D16" i="31"/>
  <c r="D17" i="31"/>
  <c r="D59" i="31"/>
  <c r="D18" i="31"/>
  <c r="D8" i="31"/>
  <c r="D19" i="31"/>
  <c r="C31" i="29"/>
  <c r="C41" i="29"/>
  <c r="O21" i="37"/>
  <c r="U35" i="37"/>
  <c r="W15" i="37"/>
  <c r="W13" i="37"/>
  <c r="W11" i="37"/>
  <c r="W9" i="37"/>
  <c r="V21" i="37"/>
  <c r="U34" i="37"/>
  <c r="S15" i="37"/>
  <c r="S11" i="37"/>
  <c r="Q33" i="37"/>
  <c r="Q16" i="37"/>
  <c r="P16" i="37"/>
  <c r="O16" i="37"/>
  <c r="N16" i="37"/>
  <c r="K13" i="37"/>
  <c r="K16" i="37" s="1"/>
  <c r="K14" i="37"/>
  <c r="K12" i="37"/>
  <c r="M35" i="37"/>
  <c r="M16" i="37"/>
  <c r="L16" i="37"/>
  <c r="J16" i="37"/>
  <c r="E25" i="20"/>
  <c r="D26" i="20"/>
  <c r="F6" i="27"/>
  <c r="H6" i="27"/>
  <c r="E14" i="27"/>
  <c r="J13" i="27"/>
  <c r="K13" i="27" s="1"/>
  <c r="G13" i="27"/>
  <c r="H13" i="27"/>
  <c r="H7" i="27"/>
  <c r="H8" i="27"/>
  <c r="H10" i="27"/>
  <c r="H11" i="27"/>
  <c r="H12" i="27"/>
  <c r="J6" i="27"/>
  <c r="D11" i="22"/>
  <c r="L13" i="27" l="1"/>
  <c r="M13" i="27" s="1"/>
  <c r="C19" i="31"/>
  <c r="I13" i="27"/>
  <c r="C53" i="31"/>
  <c r="D53" i="31" s="1"/>
  <c r="S16" i="37"/>
  <c r="L31" i="31"/>
  <c r="D41" i="31"/>
  <c r="D20" i="31"/>
  <c r="D27" i="20"/>
  <c r="C49" i="29"/>
  <c r="W21" i="37"/>
  <c r="W34" i="37"/>
  <c r="W16" i="37"/>
  <c r="E26" i="20"/>
  <c r="D28" i="20"/>
  <c r="D29" i="20" s="1"/>
  <c r="N13" i="27"/>
  <c r="M31" i="31" l="1"/>
  <c r="E27" i="20"/>
  <c r="E28" i="20" s="1"/>
  <c r="E29" i="20" s="1"/>
  <c r="C50" i="29"/>
  <c r="D30" i="20"/>
  <c r="D31" i="20" s="1"/>
  <c r="E58" i="2"/>
  <c r="D58" i="2"/>
  <c r="E46" i="2"/>
  <c r="D46" i="2"/>
  <c r="N31" i="31" l="1"/>
  <c r="D32" i="20"/>
  <c r="H6" i="20"/>
  <c r="H6" i="38" s="1"/>
  <c r="E30" i="20"/>
  <c r="E31" i="20" s="1"/>
  <c r="D25" i="1"/>
  <c r="O31" i="31" l="1"/>
  <c r="E32" i="20"/>
  <c r="H7" i="20"/>
  <c r="I42" i="1"/>
  <c r="J42" i="1" s="1"/>
  <c r="K42" i="1" s="1"/>
  <c r="L42" i="1" s="1"/>
  <c r="M42" i="1" s="1"/>
  <c r="P31" i="31" l="1"/>
  <c r="Q31" i="31" l="1"/>
  <c r="R31" i="31" l="1"/>
  <c r="S31" i="31" l="1"/>
  <c r="T31" i="31" l="1"/>
  <c r="U31" i="31" l="1"/>
  <c r="V31" i="31" l="1"/>
  <c r="W31" i="31"/>
  <c r="I20" i="1" l="1"/>
  <c r="J20" i="1" s="1"/>
  <c r="K20" i="1" s="1"/>
  <c r="L20" i="1" s="1"/>
  <c r="M20" i="1" s="1"/>
  <c r="I19" i="1"/>
  <c r="J19" i="1" s="1"/>
  <c r="K19" i="1" s="1"/>
  <c r="L19" i="1" s="1"/>
  <c r="M19" i="1" s="1"/>
  <c r="I15" i="1"/>
  <c r="J15" i="1" s="1"/>
  <c r="G43" i="1"/>
  <c r="F43" i="1"/>
  <c r="G8" i="1"/>
  <c r="G58" i="2"/>
  <c r="E68" i="2"/>
  <c r="G38" i="2"/>
  <c r="U5" i="18"/>
  <c r="F58" i="2"/>
  <c r="F23" i="14" l="1"/>
  <c r="K15" i="1"/>
  <c r="L15" i="1" s="1"/>
  <c r="M15" i="1" s="1"/>
  <c r="E23" i="14"/>
  <c r="G23" i="14"/>
  <c r="F13" i="40"/>
  <c r="Q13" i="40"/>
  <c r="Q21" i="40" s="1"/>
  <c r="Q29" i="40" s="1"/>
  <c r="Q37" i="40" s="1"/>
  <c r="Q45" i="40" s="1"/>
  <c r="Q53" i="40" s="1"/>
  <c r="Q61" i="40" s="1"/>
  <c r="P13" i="40"/>
  <c r="P21" i="40" s="1"/>
  <c r="P29" i="40" s="1"/>
  <c r="P37" i="40" s="1"/>
  <c r="P45" i="40" s="1"/>
  <c r="P53" i="40" s="1"/>
  <c r="P61" i="40" s="1"/>
  <c r="O13" i="40"/>
  <c r="O21" i="40" s="1"/>
  <c r="O29" i="40" s="1"/>
  <c r="O37" i="40" s="1"/>
  <c r="O45" i="40" s="1"/>
  <c r="O53" i="40" s="1"/>
  <c r="O61" i="40" s="1"/>
  <c r="N13" i="40"/>
  <c r="M13" i="40"/>
  <c r="L13" i="40"/>
  <c r="L21" i="40" s="1"/>
  <c r="L29" i="40" s="1"/>
  <c r="L37" i="40" s="1"/>
  <c r="L45" i="40" s="1"/>
  <c r="L53" i="40" s="1"/>
  <c r="L61" i="40" s="1"/>
  <c r="K13" i="40"/>
  <c r="K21" i="40" s="1"/>
  <c r="K29" i="40" s="1"/>
  <c r="K37" i="40" s="1"/>
  <c r="K45" i="40" s="1"/>
  <c r="K53" i="40" s="1"/>
  <c r="K61" i="40" s="1"/>
  <c r="J13" i="40"/>
  <c r="J21" i="40" s="1"/>
  <c r="J29" i="40" s="1"/>
  <c r="J37" i="40" s="1"/>
  <c r="J45" i="40" s="1"/>
  <c r="J53" i="40" s="1"/>
  <c r="J61" i="40" s="1"/>
  <c r="I13" i="40"/>
  <c r="H13" i="40"/>
  <c r="H21" i="40" s="1"/>
  <c r="H29" i="40" s="1"/>
  <c r="H37" i="40" s="1"/>
  <c r="H45" i="40" s="1"/>
  <c r="H53" i="40" s="1"/>
  <c r="H61" i="40" s="1"/>
  <c r="G13" i="40"/>
  <c r="G21" i="40" s="1"/>
  <c r="G29" i="40" s="1"/>
  <c r="G37" i="40" s="1"/>
  <c r="G45" i="40" s="1"/>
  <c r="G53" i="40" s="1"/>
  <c r="G61" i="40" s="1"/>
  <c r="E13" i="40"/>
  <c r="E21" i="40" s="1"/>
  <c r="E29" i="40" s="1"/>
  <c r="E37" i="40" s="1"/>
  <c r="E45" i="40" s="1"/>
  <c r="E53" i="40" s="1"/>
  <c r="E61" i="40" s="1"/>
  <c r="E12" i="40"/>
  <c r="N21" i="40"/>
  <c r="M21" i="40"/>
  <c r="M29" i="40" s="1"/>
  <c r="M37" i="40" s="1"/>
  <c r="M45" i="40" s="1"/>
  <c r="M53" i="40" s="1"/>
  <c r="M61" i="40" s="1"/>
  <c r="I21" i="40"/>
  <c r="I29" i="40" s="1"/>
  <c r="I37" i="40" s="1"/>
  <c r="I45" i="40" s="1"/>
  <c r="I53" i="40" s="1"/>
  <c r="I61" i="40" s="1"/>
  <c r="F21" i="40"/>
  <c r="F29" i="40" s="1"/>
  <c r="F37" i="40" s="1"/>
  <c r="F45" i="40" s="1"/>
  <c r="F53" i="40" s="1"/>
  <c r="F61" i="40" s="1"/>
  <c r="E20" i="40"/>
  <c r="E28" i="40" s="1"/>
  <c r="E36" i="40" s="1"/>
  <c r="E44" i="40" s="1"/>
  <c r="E52" i="40" s="1"/>
  <c r="E60" i="40" s="1"/>
  <c r="N29" i="40"/>
  <c r="N37" i="40" s="1"/>
  <c r="N45" i="40" s="1"/>
  <c r="N53" i="40" s="1"/>
  <c r="N61" i="40" s="1"/>
  <c r="B34" i="40" l="1"/>
  <c r="B42" i="40" s="1"/>
  <c r="B50" i="40" s="1"/>
  <c r="B58" i="40" s="1"/>
  <c r="B66" i="40" s="1"/>
  <c r="B33" i="40"/>
  <c r="B41" i="40" s="1"/>
  <c r="B49" i="40" s="1"/>
  <c r="B57" i="40" s="1"/>
  <c r="B65" i="40" s="1"/>
  <c r="B26" i="40"/>
  <c r="B25" i="40"/>
  <c r="C23" i="40"/>
  <c r="C31" i="40" s="1"/>
  <c r="C39" i="40" s="1"/>
  <c r="C47" i="40" s="1"/>
  <c r="C55" i="40" s="1"/>
  <c r="C63" i="40" s="1"/>
  <c r="B23" i="40"/>
  <c r="B31" i="40" s="1"/>
  <c r="B39" i="40" s="1"/>
  <c r="B47" i="40" s="1"/>
  <c r="B55" i="40" s="1"/>
  <c r="B63" i="40" s="1"/>
  <c r="B18" i="40"/>
  <c r="B17" i="40"/>
  <c r="B15" i="40"/>
  <c r="B14" i="40"/>
  <c r="B22" i="40" s="1"/>
  <c r="B30" i="40" s="1"/>
  <c r="B38" i="40" s="1"/>
  <c r="B46" i="40" s="1"/>
  <c r="B54" i="40" s="1"/>
  <c r="B62" i="40" s="1"/>
  <c r="B13" i="40"/>
  <c r="B21" i="40" s="1"/>
  <c r="B29" i="40" s="1"/>
  <c r="B37" i="40" s="1"/>
  <c r="B45" i="40" s="1"/>
  <c r="B53" i="40" s="1"/>
  <c r="B61" i="40" s="1"/>
  <c r="C21" i="40"/>
  <c r="C29" i="40" s="1"/>
  <c r="C37" i="40" s="1"/>
  <c r="C45" i="40" s="1"/>
  <c r="C53" i="40" s="1"/>
  <c r="C61" i="40" s="1"/>
  <c r="J32" i="2" l="1"/>
  <c r="M8" i="32"/>
  <c r="R8" i="32" s="1"/>
  <c r="I8" i="32"/>
  <c r="J8" i="32"/>
  <c r="K8" i="32"/>
  <c r="L8" i="32"/>
  <c r="H8" i="40"/>
  <c r="E7" i="40"/>
  <c r="V8" i="32" l="1"/>
  <c r="U8" i="32"/>
  <c r="T8" i="32"/>
  <c r="S8" i="32"/>
  <c r="E8" i="40"/>
  <c r="E10" i="40" s="1"/>
  <c r="F7" i="40" s="1"/>
  <c r="D12" i="22"/>
  <c r="D10" i="22"/>
  <c r="D13" i="22"/>
  <c r="D15" i="22"/>
  <c r="X8" i="32" l="1"/>
  <c r="F8" i="40"/>
  <c r="F10" i="40" s="1"/>
  <c r="G7" i="40" s="1"/>
  <c r="B35" i="2"/>
  <c r="B39" i="2" s="1"/>
  <c r="B41" i="2" s="1"/>
  <c r="B43" i="2" s="1"/>
  <c r="G4" i="39" l="1"/>
  <c r="D4" i="39"/>
  <c r="G8" i="40" l="1"/>
  <c r="G10" i="40" s="1"/>
  <c r="H23" i="20" l="1"/>
  <c r="C34" i="29" s="1"/>
  <c r="H7" i="40"/>
  <c r="L26" i="22"/>
  <c r="O26" i="22" s="1"/>
  <c r="H35" i="16"/>
  <c r="I35" i="16" s="1"/>
  <c r="J35" i="16" s="1"/>
  <c r="K35" i="16" s="1"/>
  <c r="I39" i="16"/>
  <c r="H9" i="40" l="1"/>
  <c r="H10" i="40" s="1"/>
  <c r="I6" i="40" s="1"/>
  <c r="M11" i="32"/>
  <c r="V11" i="32" s="1"/>
  <c r="L11" i="32"/>
  <c r="K11" i="32"/>
  <c r="J11" i="32"/>
  <c r="I7" i="40" l="1"/>
  <c r="I8" i="40"/>
  <c r="R11" i="32"/>
  <c r="S11" i="32"/>
  <c r="U11" i="32"/>
  <c r="T11" i="32"/>
  <c r="F9" i="27"/>
  <c r="H9" i="27" s="1"/>
  <c r="H14" i="27" s="1"/>
  <c r="J10" i="27"/>
  <c r="J53" i="2"/>
  <c r="I9" i="40" l="1"/>
  <c r="M18" i="1"/>
  <c r="K24" i="2"/>
  <c r="L24" i="2" s="1"/>
  <c r="I10" i="40" l="1"/>
  <c r="J6" i="40" s="1"/>
  <c r="G8" i="39"/>
  <c r="J8" i="40" l="1"/>
  <c r="J7" i="40"/>
  <c r="Q34" i="22"/>
  <c r="P34" i="22"/>
  <c r="R32" i="22"/>
  <c r="P24" i="22"/>
  <c r="N34" i="22"/>
  <c r="M34" i="22"/>
  <c r="O32" i="22"/>
  <c r="M24" i="22"/>
  <c r="K34" i="22"/>
  <c r="J34" i="22"/>
  <c r="L32" i="22"/>
  <c r="J24" i="22"/>
  <c r="B2" i="39"/>
  <c r="I11" i="2"/>
  <c r="J9" i="40" l="1"/>
  <c r="J10" i="40"/>
  <c r="K6" i="40" s="1"/>
  <c r="K22" i="32"/>
  <c r="J22" i="32"/>
  <c r="I22" i="32"/>
  <c r="L22" i="32"/>
  <c r="M22" i="32"/>
  <c r="U22" i="32" s="1"/>
  <c r="F7" i="22"/>
  <c r="K8" i="40" l="1"/>
  <c r="K7" i="40"/>
  <c r="E4" i="39"/>
  <c r="D6" i="39"/>
  <c r="K9" i="40" l="1"/>
  <c r="K10" i="40" s="1"/>
  <c r="L6" i="40" s="1"/>
  <c r="R14" i="32"/>
  <c r="S14" i="32"/>
  <c r="T14" i="32"/>
  <c r="L8" i="40" l="1"/>
  <c r="L7" i="40"/>
  <c r="B23" i="25"/>
  <c r="M55" i="25"/>
  <c r="G6" i="2"/>
  <c r="H6" i="2"/>
  <c r="L9" i="40" l="1"/>
  <c r="L10" i="40" s="1"/>
  <c r="M6" i="40" s="1"/>
  <c r="C29" i="14"/>
  <c r="I16" i="1"/>
  <c r="I17" i="1"/>
  <c r="J17" i="1" s="1"/>
  <c r="K17" i="1" s="1"/>
  <c r="L17" i="1" s="1"/>
  <c r="M17" i="1" s="1"/>
  <c r="J28" i="1"/>
  <c r="K28" i="1"/>
  <c r="L28" i="1"/>
  <c r="M28" i="1"/>
  <c r="I28" i="1"/>
  <c r="F34" i="16"/>
  <c r="G34" i="16" s="1"/>
  <c r="F44" i="16"/>
  <c r="G44" i="16" s="1"/>
  <c r="F19" i="16"/>
  <c r="F8" i="16"/>
  <c r="F9" i="16"/>
  <c r="F13" i="16"/>
  <c r="E9" i="16"/>
  <c r="F21" i="16"/>
  <c r="F22" i="16"/>
  <c r="H40" i="1"/>
  <c r="F18" i="16" s="1"/>
  <c r="D43" i="1"/>
  <c r="M7" i="40" l="1"/>
  <c r="M9" i="40" s="1"/>
  <c r="M8" i="40"/>
  <c r="J16" i="1"/>
  <c r="K16" i="1"/>
  <c r="M10" i="40" l="1"/>
  <c r="N6" i="40" s="1"/>
  <c r="L16" i="1"/>
  <c r="H11" i="2"/>
  <c r="N8" i="40" l="1"/>
  <c r="N7" i="40"/>
  <c r="N9" i="40" s="1"/>
  <c r="M16" i="1"/>
  <c r="BG7" i="18"/>
  <c r="D49" i="37"/>
  <c r="D44" i="37"/>
  <c r="D57" i="29"/>
  <c r="N10" i="40" l="1"/>
  <c r="O6" i="40" s="1"/>
  <c r="V14" i="32"/>
  <c r="X14" i="32" s="1"/>
  <c r="U14" i="32"/>
  <c r="O30" i="32"/>
  <c r="X11" i="32"/>
  <c r="N30" i="32"/>
  <c r="P30" i="32"/>
  <c r="Q30" i="32"/>
  <c r="J30" i="2" s="1"/>
  <c r="V9" i="32"/>
  <c r="M10" i="32"/>
  <c r="V10" i="32" s="1"/>
  <c r="M12" i="32"/>
  <c r="V12" i="32" s="1"/>
  <c r="M13" i="32"/>
  <c r="V13" i="32" s="1"/>
  <c r="M15" i="32"/>
  <c r="V15" i="32" s="1"/>
  <c r="M16" i="32"/>
  <c r="V16" i="32" s="1"/>
  <c r="M17" i="32"/>
  <c r="V17" i="32" s="1"/>
  <c r="M18" i="32"/>
  <c r="V18" i="32" s="1"/>
  <c r="M19" i="32"/>
  <c r="V19" i="32" s="1"/>
  <c r="M20" i="32"/>
  <c r="V20" i="32" s="1"/>
  <c r="M21" i="32"/>
  <c r="V21" i="32" s="1"/>
  <c r="M23" i="32"/>
  <c r="V23" i="32" s="1"/>
  <c r="M24" i="32"/>
  <c r="V24" i="32" s="1"/>
  <c r="M25" i="32"/>
  <c r="V25" i="32" s="1"/>
  <c r="M26" i="32"/>
  <c r="V26" i="32" s="1"/>
  <c r="M27" i="32"/>
  <c r="V27" i="32" s="1"/>
  <c r="M28" i="32"/>
  <c r="V7" i="32"/>
  <c r="F30" i="32"/>
  <c r="G30" i="32"/>
  <c r="H30" i="32"/>
  <c r="I30" i="2" s="1"/>
  <c r="E30" i="32"/>
  <c r="H23" i="24"/>
  <c r="J8" i="22"/>
  <c r="J9" i="22"/>
  <c r="J10" i="22"/>
  <c r="J11" i="22"/>
  <c r="J12" i="22"/>
  <c r="J13" i="22"/>
  <c r="J14" i="22"/>
  <c r="J15" i="22"/>
  <c r="J16" i="22"/>
  <c r="J17" i="22"/>
  <c r="M17" i="22" s="1"/>
  <c r="P17" i="22" s="1"/>
  <c r="J18" i="22"/>
  <c r="J20" i="22"/>
  <c r="L20" i="22" s="1"/>
  <c r="J7" i="22"/>
  <c r="G17" i="22"/>
  <c r="I17" i="22" s="1"/>
  <c r="G18" i="22"/>
  <c r="I18" i="22" s="1"/>
  <c r="G20" i="22"/>
  <c r="I20" i="22" s="1"/>
  <c r="G24" i="22"/>
  <c r="D24" i="22"/>
  <c r="F20" i="22"/>
  <c r="H52" i="2"/>
  <c r="H28" i="2"/>
  <c r="M20" i="22" l="1"/>
  <c r="O20" i="22" s="1"/>
  <c r="O7" i="40"/>
  <c r="O9" i="40" s="1"/>
  <c r="O8" i="40"/>
  <c r="O10" i="40" s="1"/>
  <c r="P6" i="40" s="1"/>
  <c r="M18" i="22"/>
  <c r="L18" i="22"/>
  <c r="V28" i="32"/>
  <c r="V30" i="32" s="1"/>
  <c r="R28" i="32"/>
  <c r="T28" i="32"/>
  <c r="U28" i="32"/>
  <c r="S28" i="32"/>
  <c r="M30" i="32"/>
  <c r="H9" i="2"/>
  <c r="F18" i="22"/>
  <c r="P20" i="22" l="1"/>
  <c r="R20" i="22" s="1"/>
  <c r="P18" i="22"/>
  <c r="R18" i="22" s="1"/>
  <c r="P7" i="40"/>
  <c r="P8" i="40"/>
  <c r="O18" i="22"/>
  <c r="L28" i="32"/>
  <c r="K28" i="32"/>
  <c r="J28" i="32"/>
  <c r="I28" i="32"/>
  <c r="P9" i="40" l="1"/>
  <c r="Q9" i="40" s="1"/>
  <c r="Q7" i="40"/>
  <c r="X28" i="32"/>
  <c r="F29" i="19"/>
  <c r="I7" i="32"/>
  <c r="E6" i="41" l="1"/>
  <c r="E7" i="41" s="1"/>
  <c r="C24" i="14"/>
  <c r="C25" i="14" s="1"/>
  <c r="G7" i="41"/>
  <c r="P10" i="40"/>
  <c r="I26" i="32"/>
  <c r="I23" i="32"/>
  <c r="I21" i="32"/>
  <c r="O28" i="36"/>
  <c r="P28" i="36" s="1"/>
  <c r="Q28" i="36" s="1"/>
  <c r="R28" i="36" s="1"/>
  <c r="S28" i="36" s="1"/>
  <c r="T28" i="36" s="1"/>
  <c r="U28" i="36" s="1"/>
  <c r="V28" i="36" s="1"/>
  <c r="W28" i="36" s="1"/>
  <c r="I28" i="36"/>
  <c r="J28" i="36" s="1"/>
  <c r="K28" i="36" s="1"/>
  <c r="L28" i="36" s="1"/>
  <c r="M28" i="36" s="1"/>
  <c r="O27" i="36"/>
  <c r="P27" i="36" s="1"/>
  <c r="Q27" i="36" s="1"/>
  <c r="R27" i="36" s="1"/>
  <c r="S27" i="36" s="1"/>
  <c r="T27" i="36" s="1"/>
  <c r="U27" i="36" s="1"/>
  <c r="V27" i="36" s="1"/>
  <c r="W27" i="36" s="1"/>
  <c r="I27" i="36"/>
  <c r="J27" i="36" s="1"/>
  <c r="K27" i="36" s="1"/>
  <c r="L27" i="36" s="1"/>
  <c r="M27" i="36" s="1"/>
  <c r="O26" i="36"/>
  <c r="P26" i="36" s="1"/>
  <c r="Q26" i="36" s="1"/>
  <c r="R26" i="36" s="1"/>
  <c r="S26" i="36" s="1"/>
  <c r="T26" i="36" s="1"/>
  <c r="U26" i="36" s="1"/>
  <c r="V26" i="36" s="1"/>
  <c r="W26" i="36" s="1"/>
  <c r="I26" i="36"/>
  <c r="J26" i="36" s="1"/>
  <c r="K26" i="36" s="1"/>
  <c r="L26" i="36" s="1"/>
  <c r="M26" i="36" s="1"/>
  <c r="O25" i="36"/>
  <c r="P25" i="36" s="1"/>
  <c r="Q25" i="36" s="1"/>
  <c r="R25" i="36" s="1"/>
  <c r="S25" i="36" s="1"/>
  <c r="T25" i="36" s="1"/>
  <c r="U25" i="36" s="1"/>
  <c r="V25" i="36" s="1"/>
  <c r="W25" i="36" s="1"/>
  <c r="I25" i="36"/>
  <c r="O24" i="36"/>
  <c r="P24" i="36" s="1"/>
  <c r="Q24" i="36" s="1"/>
  <c r="R24" i="36" s="1"/>
  <c r="S24" i="36" s="1"/>
  <c r="T24" i="36" s="1"/>
  <c r="U24" i="36" s="1"/>
  <c r="V24" i="36" s="1"/>
  <c r="W24" i="36" s="1"/>
  <c r="I24" i="36"/>
  <c r="J24" i="36" s="1"/>
  <c r="K24" i="36" s="1"/>
  <c r="L24" i="36" s="1"/>
  <c r="M24" i="36" s="1"/>
  <c r="O23" i="36"/>
  <c r="P23" i="36" s="1"/>
  <c r="Q23" i="36" s="1"/>
  <c r="R23" i="36" s="1"/>
  <c r="S23" i="36" s="1"/>
  <c r="T23" i="36" s="1"/>
  <c r="U23" i="36" s="1"/>
  <c r="V23" i="36" s="1"/>
  <c r="W23" i="36" s="1"/>
  <c r="I23" i="36"/>
  <c r="J23" i="36" s="1"/>
  <c r="K23" i="36" s="1"/>
  <c r="L23" i="36" s="1"/>
  <c r="M23" i="36" s="1"/>
  <c r="O22" i="36"/>
  <c r="P22" i="36" s="1"/>
  <c r="Q22" i="36" s="1"/>
  <c r="R22" i="36" s="1"/>
  <c r="S22" i="36" s="1"/>
  <c r="T22" i="36" s="1"/>
  <c r="U22" i="36" s="1"/>
  <c r="V22" i="36" s="1"/>
  <c r="W22" i="36" s="1"/>
  <c r="I22" i="36"/>
  <c r="J22" i="36" s="1"/>
  <c r="K22" i="36" s="1"/>
  <c r="L22" i="36" s="1"/>
  <c r="M22" i="36" s="1"/>
  <c r="O21" i="36"/>
  <c r="P21" i="36" s="1"/>
  <c r="Q21" i="36" s="1"/>
  <c r="R21" i="36" s="1"/>
  <c r="S21" i="36" s="1"/>
  <c r="T21" i="36" s="1"/>
  <c r="U21" i="36" s="1"/>
  <c r="V21" i="36" s="1"/>
  <c r="W21" i="36" s="1"/>
  <c r="I21" i="36"/>
  <c r="O20" i="36"/>
  <c r="P20" i="36" s="1"/>
  <c r="Q20" i="36" s="1"/>
  <c r="R20" i="36" s="1"/>
  <c r="S20" i="36" s="1"/>
  <c r="T20" i="36" s="1"/>
  <c r="U20" i="36" s="1"/>
  <c r="V20" i="36" s="1"/>
  <c r="W20" i="36" s="1"/>
  <c r="I20" i="36"/>
  <c r="J20" i="36" s="1"/>
  <c r="K20" i="36" s="1"/>
  <c r="L20" i="36" s="1"/>
  <c r="M20" i="36" s="1"/>
  <c r="O19" i="36"/>
  <c r="P19" i="36" s="1"/>
  <c r="Q19" i="36" s="1"/>
  <c r="R19" i="36" s="1"/>
  <c r="S19" i="36" s="1"/>
  <c r="T19" i="36" s="1"/>
  <c r="U19" i="36" s="1"/>
  <c r="V19" i="36" s="1"/>
  <c r="W19" i="36" s="1"/>
  <c r="I19" i="36"/>
  <c r="J19" i="36" s="1"/>
  <c r="K19" i="36" s="1"/>
  <c r="L19" i="36" s="1"/>
  <c r="M19" i="36" s="1"/>
  <c r="E15" i="36"/>
  <c r="E15" i="40" l="1"/>
  <c r="E17" i="40" s="1"/>
  <c r="E16" i="40"/>
  <c r="I7" i="41"/>
  <c r="J21" i="36"/>
  <c r="J25" i="36"/>
  <c r="E10" i="36"/>
  <c r="E13" i="36"/>
  <c r="E8" i="36"/>
  <c r="D17" i="36"/>
  <c r="E14" i="36"/>
  <c r="E7" i="36"/>
  <c r="E9" i="36"/>
  <c r="E12" i="36"/>
  <c r="E16" i="36"/>
  <c r="E11" i="36"/>
  <c r="E18" i="40" l="1"/>
  <c r="F14" i="40" s="1"/>
  <c r="F16" i="40" s="1"/>
  <c r="K25" i="36"/>
  <c r="L25" i="36" s="1"/>
  <c r="M25" i="36" s="1"/>
  <c r="K21" i="36"/>
  <c r="L21" i="36" s="1"/>
  <c r="M21" i="36" s="1"/>
  <c r="E17" i="36"/>
  <c r="B19" i="37"/>
  <c r="C32" i="37"/>
  <c r="E32" i="37" s="1"/>
  <c r="F15" i="40" l="1"/>
  <c r="F17" i="40" s="1"/>
  <c r="F18" i="40" s="1"/>
  <c r="G14" i="40" s="1"/>
  <c r="G15" i="40" s="1"/>
  <c r="G17" i="40" s="1"/>
  <c r="F17" i="36"/>
  <c r="H15" i="36"/>
  <c r="I15" i="36" s="1"/>
  <c r="J15" i="36" s="1"/>
  <c r="K15" i="36" s="1"/>
  <c r="N44" i="37"/>
  <c r="C7" i="37"/>
  <c r="N19" i="37" s="1"/>
  <c r="G16" i="40" l="1"/>
  <c r="G18" i="40" s="1"/>
  <c r="H14" i="40" s="1"/>
  <c r="H15" i="40" s="1"/>
  <c r="H17" i="40" s="1"/>
  <c r="L15" i="36"/>
  <c r="H11" i="36"/>
  <c r="I11" i="36" s="1"/>
  <c r="J11" i="36" s="1"/>
  <c r="K11" i="36" s="1"/>
  <c r="L11" i="36" s="1"/>
  <c r="H10" i="36"/>
  <c r="I10" i="36" s="1"/>
  <c r="J10" i="36" s="1"/>
  <c r="K10" i="36" s="1"/>
  <c r="L10" i="36" s="1"/>
  <c r="M10" i="36" s="1"/>
  <c r="N10" i="36" s="1"/>
  <c r="O10" i="36" s="1"/>
  <c r="H12" i="36"/>
  <c r="I12" i="36" s="1"/>
  <c r="J12" i="36" s="1"/>
  <c r="K12" i="36" s="1"/>
  <c r="L12" i="36" s="1"/>
  <c r="M12" i="36" s="1"/>
  <c r="H14" i="36"/>
  <c r="I14" i="36" s="1"/>
  <c r="J14" i="36" s="1"/>
  <c r="K14" i="36" s="1"/>
  <c r="L14" i="36" s="1"/>
  <c r="M14" i="36" s="1"/>
  <c r="N14" i="36" s="1"/>
  <c r="O14" i="36" s="1"/>
  <c r="H16" i="36"/>
  <c r="I16" i="36" s="1"/>
  <c r="J16" i="36" s="1"/>
  <c r="K16" i="36" s="1"/>
  <c r="L16" i="36" s="1"/>
  <c r="M16" i="36" s="1"/>
  <c r="H13" i="36"/>
  <c r="I13" i="36" s="1"/>
  <c r="J13" i="36" s="1"/>
  <c r="K13" i="36" s="1"/>
  <c r="L13" i="36" s="1"/>
  <c r="G17" i="36"/>
  <c r="H7" i="36"/>
  <c r="I7" i="36" s="1"/>
  <c r="H8" i="36"/>
  <c r="I8" i="36" s="1"/>
  <c r="J8" i="36" s="1"/>
  <c r="K8" i="36" s="1"/>
  <c r="L8" i="36" s="1"/>
  <c r="M8" i="36" s="1"/>
  <c r="H9" i="36"/>
  <c r="I9" i="36" s="1"/>
  <c r="J9" i="36" s="1"/>
  <c r="K9" i="36" s="1"/>
  <c r="L9" i="36" s="1"/>
  <c r="C24" i="19"/>
  <c r="B7" i="37"/>
  <c r="B32" i="37" s="1"/>
  <c r="I8" i="38"/>
  <c r="G8" i="38"/>
  <c r="G7" i="38"/>
  <c r="A1" i="38"/>
  <c r="B42" i="37"/>
  <c r="A1" i="37"/>
  <c r="H16" i="40" l="1"/>
  <c r="H18" i="40"/>
  <c r="I14" i="40" s="1"/>
  <c r="I15" i="40"/>
  <c r="I17" i="40" s="1"/>
  <c r="I16" i="40"/>
  <c r="J7" i="36"/>
  <c r="I17" i="36"/>
  <c r="P14" i="36"/>
  <c r="P10" i="36"/>
  <c r="M13" i="36"/>
  <c r="N12" i="36"/>
  <c r="M15" i="36"/>
  <c r="N8" i="36"/>
  <c r="M11" i="36"/>
  <c r="M9" i="36"/>
  <c r="N16" i="36"/>
  <c r="H17" i="36"/>
  <c r="U19" i="37"/>
  <c r="G19" i="37"/>
  <c r="O19" i="37"/>
  <c r="R32" i="37"/>
  <c r="K32" i="37"/>
  <c r="G6" i="38"/>
  <c r="I6" i="38"/>
  <c r="L32" i="37"/>
  <c r="M32" i="37"/>
  <c r="N32" i="37"/>
  <c r="Q19" i="37"/>
  <c r="U32" i="37"/>
  <c r="E44" i="37"/>
  <c r="P19" i="37"/>
  <c r="F19" i="37"/>
  <c r="I19" i="37"/>
  <c r="R19" i="37"/>
  <c r="K19" i="37"/>
  <c r="S19" i="37"/>
  <c r="D19" i="37"/>
  <c r="L19" i="37"/>
  <c r="P32" i="37"/>
  <c r="O32" i="37"/>
  <c r="G32" i="37"/>
  <c r="F32" i="37"/>
  <c r="S32" i="37"/>
  <c r="E19" i="37"/>
  <c r="M19" i="37"/>
  <c r="I32" i="37"/>
  <c r="I18" i="40" l="1"/>
  <c r="J14" i="40" s="1"/>
  <c r="J15" i="40" s="1"/>
  <c r="J17" i="40" s="1"/>
  <c r="J16" i="40"/>
  <c r="K7" i="36"/>
  <c r="J17" i="36"/>
  <c r="O12" i="36"/>
  <c r="N15" i="36"/>
  <c r="N13" i="36"/>
  <c r="Q14" i="36"/>
  <c r="N9" i="36"/>
  <c r="O8" i="36"/>
  <c r="N11" i="36"/>
  <c r="O16" i="36"/>
  <c r="Q10" i="36"/>
  <c r="H32" i="37"/>
  <c r="T19" i="37"/>
  <c r="T32" i="37"/>
  <c r="J32" i="37"/>
  <c r="Q32" i="37"/>
  <c r="F44" i="37"/>
  <c r="V32" i="37"/>
  <c r="V19" i="37"/>
  <c r="H19" i="37"/>
  <c r="J19" i="37"/>
  <c r="I8" i="29"/>
  <c r="J8" i="29" s="1"/>
  <c r="K8" i="29" s="1"/>
  <c r="L8" i="29" s="1"/>
  <c r="M8" i="29" s="1"/>
  <c r="N8" i="29" s="1"/>
  <c r="O8" i="29" s="1"/>
  <c r="P8" i="29" s="1"/>
  <c r="Q8" i="29" s="1"/>
  <c r="R8" i="29" s="1"/>
  <c r="S8" i="29" s="1"/>
  <c r="T8" i="29" s="1"/>
  <c r="U8" i="29" s="1"/>
  <c r="V8" i="29" s="1"/>
  <c r="W8" i="29" s="1"/>
  <c r="I9" i="29"/>
  <c r="J9" i="29" s="1"/>
  <c r="K9" i="29" s="1"/>
  <c r="L9" i="29" s="1"/>
  <c r="M9" i="29" s="1"/>
  <c r="N9" i="29" s="1"/>
  <c r="O9" i="29" s="1"/>
  <c r="P9" i="29" s="1"/>
  <c r="Q9" i="29" s="1"/>
  <c r="R9" i="29" s="1"/>
  <c r="S9" i="29" s="1"/>
  <c r="T9" i="29" s="1"/>
  <c r="U9" i="29" s="1"/>
  <c r="V9" i="29" s="1"/>
  <c r="W9" i="29" s="1"/>
  <c r="I10" i="29"/>
  <c r="J10" i="29" s="1"/>
  <c r="K10" i="29" s="1"/>
  <c r="L10" i="29" s="1"/>
  <c r="M10" i="29" s="1"/>
  <c r="N10" i="29" s="1"/>
  <c r="O10" i="29" s="1"/>
  <c r="P10" i="29" s="1"/>
  <c r="Q10" i="29" s="1"/>
  <c r="R10" i="29" s="1"/>
  <c r="S10" i="29" s="1"/>
  <c r="T10" i="29" s="1"/>
  <c r="U10" i="29" s="1"/>
  <c r="V10" i="29" s="1"/>
  <c r="W10" i="29" s="1"/>
  <c r="I7" i="29"/>
  <c r="J7" i="29" s="1"/>
  <c r="K7" i="29" s="1"/>
  <c r="J18" i="40" l="1"/>
  <c r="K14" i="40" s="1"/>
  <c r="K15" i="40" s="1"/>
  <c r="K17" i="40" s="1"/>
  <c r="K16" i="40"/>
  <c r="L7" i="29"/>
  <c r="M7" i="29" s="1"/>
  <c r="K12" i="29"/>
  <c r="K57" i="29" s="1"/>
  <c r="I12" i="29"/>
  <c r="I57" i="29" s="1"/>
  <c r="L7" i="36"/>
  <c r="K17" i="36"/>
  <c r="O9" i="36"/>
  <c r="R14" i="36"/>
  <c r="P12" i="36"/>
  <c r="O11" i="36"/>
  <c r="P8" i="36"/>
  <c r="O13" i="36"/>
  <c r="R10" i="36"/>
  <c r="P16" i="36"/>
  <c r="O15" i="36"/>
  <c r="G44" i="37"/>
  <c r="W19" i="37"/>
  <c r="W32" i="37"/>
  <c r="G12" i="29"/>
  <c r="G57" i="29" s="1"/>
  <c r="E12" i="29"/>
  <c r="E57" i="29" s="1"/>
  <c r="F12" i="29"/>
  <c r="F57" i="29" s="1"/>
  <c r="K18" i="40" l="1"/>
  <c r="L14" i="40" s="1"/>
  <c r="L15" i="40" s="1"/>
  <c r="L17" i="40" s="1"/>
  <c r="N7" i="29"/>
  <c r="O7" i="29" s="1"/>
  <c r="P7" i="29" s="1"/>
  <c r="Q7" i="29" s="1"/>
  <c r="R7" i="29" s="1"/>
  <c r="S7" i="29" s="1"/>
  <c r="T7" i="29" s="1"/>
  <c r="U7" i="29" s="1"/>
  <c r="V7" i="29" s="1"/>
  <c r="W7" i="29" s="1"/>
  <c r="M12" i="29"/>
  <c r="M57" i="29" s="1"/>
  <c r="M7" i="36"/>
  <c r="L17" i="36"/>
  <c r="Q16" i="36"/>
  <c r="P13" i="36"/>
  <c r="S10" i="36"/>
  <c r="P9" i="36"/>
  <c r="P15" i="36"/>
  <c r="Q8" i="36"/>
  <c r="P11" i="36"/>
  <c r="Q12" i="36"/>
  <c r="S14" i="36"/>
  <c r="H44" i="37"/>
  <c r="H12" i="29"/>
  <c r="H57" i="29" s="1"/>
  <c r="B14" i="29"/>
  <c r="B21" i="29" s="1"/>
  <c r="B30" i="29" s="1"/>
  <c r="B41" i="29" s="1"/>
  <c r="B49" i="29" s="1"/>
  <c r="B15" i="29"/>
  <c r="B22" i="29" s="1"/>
  <c r="B31" i="29" s="1"/>
  <c r="B42" i="29" s="1"/>
  <c r="B50" i="29" s="1"/>
  <c r="B16" i="29"/>
  <c r="B23" i="29" s="1"/>
  <c r="B32" i="29" s="1"/>
  <c r="B43" i="29" s="1"/>
  <c r="B51" i="29" s="1"/>
  <c r="B17" i="29"/>
  <c r="B24" i="29" s="1"/>
  <c r="B33" i="29" s="1"/>
  <c r="B44" i="29" s="1"/>
  <c r="B52" i="29" s="1"/>
  <c r="B18" i="29"/>
  <c r="B25" i="29" s="1"/>
  <c r="B34" i="29" s="1"/>
  <c r="B45" i="29" s="1"/>
  <c r="B53" i="29" s="1"/>
  <c r="X5" i="32"/>
  <c r="I9" i="32"/>
  <c r="J9" i="32"/>
  <c r="K9" i="32"/>
  <c r="L9" i="32"/>
  <c r="I10" i="32"/>
  <c r="J10" i="32"/>
  <c r="K10" i="32"/>
  <c r="L10" i="32"/>
  <c r="I12" i="32"/>
  <c r="J12" i="32"/>
  <c r="K12" i="32"/>
  <c r="L12" i="32"/>
  <c r="I13" i="32"/>
  <c r="J13" i="32"/>
  <c r="K13" i="32"/>
  <c r="L13" i="32"/>
  <c r="I15" i="32"/>
  <c r="J15" i="32"/>
  <c r="K15" i="32"/>
  <c r="L15" i="32"/>
  <c r="I16" i="32"/>
  <c r="J16" i="32"/>
  <c r="K16" i="32"/>
  <c r="L16" i="32"/>
  <c r="I17" i="32"/>
  <c r="J17" i="32"/>
  <c r="K17" i="32"/>
  <c r="L17" i="32"/>
  <c r="I18" i="32"/>
  <c r="J18" i="32"/>
  <c r="K18" i="32"/>
  <c r="L18" i="32"/>
  <c r="I19" i="32"/>
  <c r="J19" i="32"/>
  <c r="K19" i="32"/>
  <c r="L19" i="32"/>
  <c r="I20" i="32"/>
  <c r="J20" i="32"/>
  <c r="K20" i="32"/>
  <c r="L20" i="32"/>
  <c r="J21" i="32"/>
  <c r="K21" i="32"/>
  <c r="L21" i="32"/>
  <c r="J23" i="32"/>
  <c r="K23" i="32"/>
  <c r="L23" i="32"/>
  <c r="I24" i="32"/>
  <c r="J24" i="32"/>
  <c r="K24" i="32"/>
  <c r="L24" i="32"/>
  <c r="I25" i="32"/>
  <c r="J25" i="32"/>
  <c r="K25" i="32"/>
  <c r="L25" i="32"/>
  <c r="J26" i="32"/>
  <c r="K26" i="32"/>
  <c r="L26" i="32"/>
  <c r="I27" i="32"/>
  <c r="J27" i="32"/>
  <c r="K27" i="32"/>
  <c r="L27" i="32"/>
  <c r="L7" i="32"/>
  <c r="K7" i="32"/>
  <c r="J7" i="32"/>
  <c r="L16" i="40" l="1"/>
  <c r="L18" i="40" s="1"/>
  <c r="M14" i="40" s="1"/>
  <c r="M15" i="40"/>
  <c r="M17" i="40" s="1"/>
  <c r="M16" i="40"/>
  <c r="M18" i="40" s="1"/>
  <c r="N14" i="40" s="1"/>
  <c r="L30" i="32"/>
  <c r="N7" i="36"/>
  <c r="M17" i="36"/>
  <c r="R12" i="36"/>
  <c r="Q15" i="36"/>
  <c r="T10" i="36"/>
  <c r="T14" i="36"/>
  <c r="R8" i="36"/>
  <c r="Q11" i="36"/>
  <c r="Q9" i="36"/>
  <c r="Q13" i="36"/>
  <c r="R16" i="36"/>
  <c r="J30" i="32"/>
  <c r="K30" i="32"/>
  <c r="I30" i="32"/>
  <c r="I44" i="37"/>
  <c r="K11" i="27"/>
  <c r="C17" i="31" s="1"/>
  <c r="D39" i="31" s="1"/>
  <c r="K12" i="27"/>
  <c r="C18" i="31" s="1"/>
  <c r="D40" i="31" s="1"/>
  <c r="K10" i="27"/>
  <c r="C16" i="31" s="1"/>
  <c r="D38" i="31" s="1"/>
  <c r="K9" i="27"/>
  <c r="C15" i="31" s="1"/>
  <c r="D37" i="31" s="1"/>
  <c r="K8" i="27"/>
  <c r="C14" i="31" s="1"/>
  <c r="D36" i="31" s="1"/>
  <c r="K7" i="27"/>
  <c r="C13" i="31" s="1"/>
  <c r="D35" i="31" s="1"/>
  <c r="K6" i="27"/>
  <c r="C12" i="31" s="1"/>
  <c r="D34" i="31" s="1"/>
  <c r="G14" i="34"/>
  <c r="G15" i="34"/>
  <c r="G13" i="34"/>
  <c r="D42" i="31" l="1"/>
  <c r="D60" i="31" s="1"/>
  <c r="D61" i="31" s="1"/>
  <c r="N15" i="40"/>
  <c r="N17" i="40" s="1"/>
  <c r="N16" i="40"/>
  <c r="L11" i="27"/>
  <c r="H13" i="38" s="1"/>
  <c r="N11" i="27"/>
  <c r="L7" i="27"/>
  <c r="N7" i="27"/>
  <c r="L6" i="27"/>
  <c r="N6" i="27"/>
  <c r="L8" i="27"/>
  <c r="H10" i="38" s="1"/>
  <c r="N8" i="27"/>
  <c r="L9" i="27"/>
  <c r="H11" i="38" s="1"/>
  <c r="N9" i="27"/>
  <c r="L10" i="27"/>
  <c r="H12" i="38" s="1"/>
  <c r="N10" i="27"/>
  <c r="L12" i="27"/>
  <c r="H14" i="38" s="1"/>
  <c r="N12" i="27"/>
  <c r="O7" i="36"/>
  <c r="N17" i="36"/>
  <c r="R13" i="36"/>
  <c r="R15" i="36"/>
  <c r="R9" i="36"/>
  <c r="R11" i="36"/>
  <c r="S8" i="36"/>
  <c r="S12" i="36"/>
  <c r="S16" i="36"/>
  <c r="U10" i="36"/>
  <c r="U14" i="36"/>
  <c r="L32" i="32"/>
  <c r="J44" i="37"/>
  <c r="B20" i="36"/>
  <c r="B32" i="36" s="1"/>
  <c r="B21" i="36"/>
  <c r="B33" i="36" s="1"/>
  <c r="B22" i="36"/>
  <c r="B34" i="36" s="1"/>
  <c r="B23" i="36"/>
  <c r="B35" i="36" s="1"/>
  <c r="B49" i="36" s="1"/>
  <c r="B65" i="36" s="1"/>
  <c r="B78" i="36" s="1"/>
  <c r="B24" i="36"/>
  <c r="B36" i="36" s="1"/>
  <c r="B50" i="36" s="1"/>
  <c r="B66" i="36" s="1"/>
  <c r="B79" i="36" s="1"/>
  <c r="B25" i="36"/>
  <c r="B37" i="36" s="1"/>
  <c r="B51" i="36" s="1"/>
  <c r="B67" i="36" s="1"/>
  <c r="B80" i="36" s="1"/>
  <c r="B26" i="36"/>
  <c r="B38" i="36" s="1"/>
  <c r="B27" i="36"/>
  <c r="B39" i="36" s="1"/>
  <c r="B28" i="36"/>
  <c r="B40" i="36" s="1"/>
  <c r="B54" i="36" s="1"/>
  <c r="B70" i="36" s="1"/>
  <c r="B83" i="36" s="1"/>
  <c r="B19" i="36"/>
  <c r="B31" i="36" s="1"/>
  <c r="B56" i="36"/>
  <c r="A1" i="36"/>
  <c r="K13" i="34"/>
  <c r="K14" i="34"/>
  <c r="K15" i="34"/>
  <c r="M30" i="34"/>
  <c r="L30" i="34"/>
  <c r="C53" i="36" s="1"/>
  <c r="K30" i="34"/>
  <c r="G12" i="34"/>
  <c r="K12" i="34" s="1"/>
  <c r="G7" i="34"/>
  <c r="G11" i="34"/>
  <c r="I30" i="34" s="1"/>
  <c r="G10" i="34"/>
  <c r="H30" i="34" s="1"/>
  <c r="G9" i="34"/>
  <c r="G30" i="34" s="1"/>
  <c r="G8" i="34"/>
  <c r="F30" i="34" s="1"/>
  <c r="G6" i="34"/>
  <c r="D30" i="34" s="1"/>
  <c r="I12" i="38" l="1"/>
  <c r="C13" i="37"/>
  <c r="I11" i="38"/>
  <c r="C12" i="37"/>
  <c r="I13" i="38"/>
  <c r="C14" i="37"/>
  <c r="N18" i="40"/>
  <c r="O14" i="40" s="1"/>
  <c r="O15" i="40" s="1"/>
  <c r="O17" i="40" s="1"/>
  <c r="I10" i="38"/>
  <c r="C11" i="37"/>
  <c r="I14" i="38"/>
  <c r="C15" i="37"/>
  <c r="L14" i="27"/>
  <c r="L36" i="32"/>
  <c r="I22" i="2"/>
  <c r="L35" i="32"/>
  <c r="I53" i="36"/>
  <c r="J53" i="36"/>
  <c r="K53" i="36"/>
  <c r="L53" i="36"/>
  <c r="M53" i="36"/>
  <c r="N53" i="36"/>
  <c r="O53" i="36"/>
  <c r="P53" i="36"/>
  <c r="Q53" i="36"/>
  <c r="P7" i="36"/>
  <c r="O17" i="36"/>
  <c r="V14" i="36"/>
  <c r="S11" i="36"/>
  <c r="S9" i="36"/>
  <c r="V10" i="36"/>
  <c r="T16" i="36"/>
  <c r="T8" i="36"/>
  <c r="S13" i="36"/>
  <c r="T12" i="36"/>
  <c r="R53" i="36"/>
  <c r="S15" i="36"/>
  <c r="E53" i="36"/>
  <c r="D53" i="36"/>
  <c r="F53" i="36"/>
  <c r="G53" i="36"/>
  <c r="H53" i="36"/>
  <c r="K44" i="37"/>
  <c r="G31" i="34"/>
  <c r="C64" i="36" s="1"/>
  <c r="U64" i="36" s="1"/>
  <c r="C48" i="36"/>
  <c r="U48" i="36" s="1"/>
  <c r="D31" i="34"/>
  <c r="C45" i="36"/>
  <c r="B45" i="36"/>
  <c r="B61" i="36" s="1"/>
  <c r="B74" i="36" s="1"/>
  <c r="M31" i="34"/>
  <c r="C54" i="36"/>
  <c r="S54" i="36" s="1"/>
  <c r="I31" i="34"/>
  <c r="C66" i="36" s="1"/>
  <c r="S66" i="36" s="1"/>
  <c r="C50" i="36"/>
  <c r="S50" i="36" s="1"/>
  <c r="H31" i="34"/>
  <c r="C65" i="36" s="1"/>
  <c r="R65" i="36" s="1"/>
  <c r="C49" i="36"/>
  <c r="G16" i="34"/>
  <c r="K31" i="34"/>
  <c r="C52" i="36"/>
  <c r="U52" i="36" s="1"/>
  <c r="F31" i="34"/>
  <c r="C63" i="36" s="1"/>
  <c r="C47" i="36"/>
  <c r="B47" i="36"/>
  <c r="B53" i="36"/>
  <c r="B52" i="36"/>
  <c r="B46" i="36"/>
  <c r="B48" i="36"/>
  <c r="B64" i="36" s="1"/>
  <c r="B77" i="36" s="1"/>
  <c r="E30" i="34"/>
  <c r="K11" i="34"/>
  <c r="K10" i="34"/>
  <c r="J30" i="34"/>
  <c r="C51" i="36" s="1"/>
  <c r="F11" i="20"/>
  <c r="F16" i="34"/>
  <c r="E16" i="34"/>
  <c r="O16" i="40" l="1"/>
  <c r="O18" i="40" s="1"/>
  <c r="P14" i="40" s="1"/>
  <c r="E24" i="37"/>
  <c r="R24" i="37"/>
  <c r="F24" i="37"/>
  <c r="S24" i="37"/>
  <c r="G24" i="37"/>
  <c r="T24" i="37"/>
  <c r="H24" i="37"/>
  <c r="V24" i="37"/>
  <c r="I24" i="37"/>
  <c r="L24" i="37"/>
  <c r="D24" i="37"/>
  <c r="J24" i="37"/>
  <c r="N24" i="37"/>
  <c r="P24" i="37"/>
  <c r="O24" i="37"/>
  <c r="W24" i="37"/>
  <c r="U24" i="37"/>
  <c r="Q24" i="37"/>
  <c r="M24" i="37"/>
  <c r="K24" i="37"/>
  <c r="F26" i="37"/>
  <c r="G26" i="37"/>
  <c r="H26" i="37"/>
  <c r="I26" i="37"/>
  <c r="E26" i="37"/>
  <c r="D26" i="37"/>
  <c r="J26" i="37"/>
  <c r="T26" i="37"/>
  <c r="Q26" i="37"/>
  <c r="N26" i="37"/>
  <c r="O26" i="37"/>
  <c r="U26" i="37"/>
  <c r="P26" i="37"/>
  <c r="L26" i="37"/>
  <c r="W26" i="37"/>
  <c r="S26" i="37"/>
  <c r="M26" i="37"/>
  <c r="V26" i="37"/>
  <c r="R26" i="37"/>
  <c r="K26" i="37"/>
  <c r="H27" i="37"/>
  <c r="I27" i="37"/>
  <c r="N27" i="37"/>
  <c r="D27" i="37"/>
  <c r="E27" i="37"/>
  <c r="F27" i="37"/>
  <c r="G27" i="37"/>
  <c r="K27" i="37"/>
  <c r="T27" i="37"/>
  <c r="V27" i="37"/>
  <c r="U27" i="37"/>
  <c r="Q27" i="37"/>
  <c r="L27" i="37"/>
  <c r="J27" i="37"/>
  <c r="R27" i="37"/>
  <c r="P27" i="37"/>
  <c r="O27" i="37"/>
  <c r="M27" i="37"/>
  <c r="S27" i="37"/>
  <c r="W27" i="37"/>
  <c r="H25" i="37"/>
  <c r="I25" i="37"/>
  <c r="N25" i="37"/>
  <c r="P25" i="37"/>
  <c r="D25" i="37"/>
  <c r="Q25" i="37"/>
  <c r="G25" i="37"/>
  <c r="E25" i="37"/>
  <c r="T25" i="37"/>
  <c r="F25" i="37"/>
  <c r="O25" i="37"/>
  <c r="M25" i="37"/>
  <c r="V25" i="37"/>
  <c r="J25" i="37"/>
  <c r="U25" i="37"/>
  <c r="R25" i="37"/>
  <c r="L25" i="37"/>
  <c r="S25" i="37"/>
  <c r="W25" i="37"/>
  <c r="K25" i="37"/>
  <c r="I23" i="37"/>
  <c r="V23" i="37"/>
  <c r="P23" i="37"/>
  <c r="J23" i="37"/>
  <c r="K23" i="37"/>
  <c r="R23" i="37"/>
  <c r="D23" i="37"/>
  <c r="L23" i="37"/>
  <c r="E23" i="37"/>
  <c r="M23" i="37"/>
  <c r="G23" i="37"/>
  <c r="F23" i="37"/>
  <c r="N23" i="37"/>
  <c r="T23" i="37"/>
  <c r="H23" i="37"/>
  <c r="O23" i="37"/>
  <c r="U23" i="37"/>
  <c r="Q23" i="37"/>
  <c r="S23" i="37"/>
  <c r="W23" i="37"/>
  <c r="P15" i="40"/>
  <c r="P16" i="40"/>
  <c r="C10" i="39"/>
  <c r="G10" i="39" s="1"/>
  <c r="L37" i="32"/>
  <c r="I51" i="36"/>
  <c r="J51" i="36"/>
  <c r="K51" i="36"/>
  <c r="L51" i="36"/>
  <c r="M51" i="36"/>
  <c r="N51" i="36"/>
  <c r="O51" i="36"/>
  <c r="P51" i="36"/>
  <c r="Q51" i="36"/>
  <c r="I47" i="36"/>
  <c r="J47" i="36"/>
  <c r="K47" i="36"/>
  <c r="L47" i="36"/>
  <c r="M47" i="36"/>
  <c r="N47" i="36"/>
  <c r="O47" i="36"/>
  <c r="P47" i="36"/>
  <c r="Q47" i="36"/>
  <c r="I50" i="36"/>
  <c r="J50" i="36"/>
  <c r="K50" i="36"/>
  <c r="L50" i="36"/>
  <c r="M50" i="36"/>
  <c r="N50" i="36"/>
  <c r="O50" i="36"/>
  <c r="P50" i="36"/>
  <c r="Q50" i="36"/>
  <c r="R50" i="36"/>
  <c r="J64" i="36"/>
  <c r="I64" i="36"/>
  <c r="K64" i="36"/>
  <c r="L64" i="36"/>
  <c r="M64" i="36"/>
  <c r="N64" i="36"/>
  <c r="O64" i="36"/>
  <c r="P64" i="36"/>
  <c r="Q64" i="36"/>
  <c r="R64" i="36"/>
  <c r="S64" i="36"/>
  <c r="T64" i="36"/>
  <c r="R47" i="36"/>
  <c r="I63" i="36"/>
  <c r="J63" i="36"/>
  <c r="K63" i="36"/>
  <c r="L63" i="36"/>
  <c r="M63" i="36"/>
  <c r="N63" i="36"/>
  <c r="O63" i="36"/>
  <c r="P63" i="36"/>
  <c r="Q63" i="36"/>
  <c r="I49" i="36"/>
  <c r="J49" i="36"/>
  <c r="K49" i="36"/>
  <c r="L49" i="36"/>
  <c r="M49" i="36"/>
  <c r="N49" i="36"/>
  <c r="O49" i="36"/>
  <c r="P49" i="36"/>
  <c r="Q49" i="36"/>
  <c r="I66" i="36"/>
  <c r="J66" i="36"/>
  <c r="K66" i="36"/>
  <c r="L66" i="36"/>
  <c r="M66" i="36"/>
  <c r="N66" i="36"/>
  <c r="O66" i="36"/>
  <c r="P66" i="36"/>
  <c r="Q66" i="36"/>
  <c r="R66" i="36"/>
  <c r="I45" i="36"/>
  <c r="J45" i="36"/>
  <c r="K45" i="36"/>
  <c r="L45" i="36"/>
  <c r="M45" i="36"/>
  <c r="N45" i="36"/>
  <c r="O45" i="36"/>
  <c r="P45" i="36"/>
  <c r="Q7" i="36"/>
  <c r="P17" i="36"/>
  <c r="I48" i="36"/>
  <c r="K48" i="36"/>
  <c r="J48" i="36"/>
  <c r="L48" i="36"/>
  <c r="M48" i="36"/>
  <c r="N48" i="36"/>
  <c r="O48" i="36"/>
  <c r="P48" i="36"/>
  <c r="Q48" i="36"/>
  <c r="R48" i="36"/>
  <c r="S48" i="36"/>
  <c r="T48" i="36"/>
  <c r="J52" i="36"/>
  <c r="K52" i="36"/>
  <c r="I52" i="36"/>
  <c r="L52" i="36"/>
  <c r="M52" i="36"/>
  <c r="N52" i="36"/>
  <c r="O52" i="36"/>
  <c r="P52" i="36"/>
  <c r="Q52" i="36"/>
  <c r="R52" i="36"/>
  <c r="S52" i="36"/>
  <c r="T52" i="36"/>
  <c r="I65" i="36"/>
  <c r="J65" i="36"/>
  <c r="K65" i="36"/>
  <c r="L65" i="36"/>
  <c r="M65" i="36"/>
  <c r="N65" i="36"/>
  <c r="O65" i="36"/>
  <c r="P65" i="36"/>
  <c r="Q65" i="36"/>
  <c r="I54" i="36"/>
  <c r="J54" i="36"/>
  <c r="K54" i="36"/>
  <c r="L54" i="36"/>
  <c r="M54" i="36"/>
  <c r="N54" i="36"/>
  <c r="O54" i="36"/>
  <c r="P54" i="36"/>
  <c r="Q54" i="36"/>
  <c r="R54" i="36"/>
  <c r="R51" i="36"/>
  <c r="R63" i="36"/>
  <c r="R49" i="36"/>
  <c r="T66" i="36"/>
  <c r="T50" i="36"/>
  <c r="U12" i="36"/>
  <c r="V64" i="36"/>
  <c r="V48" i="36"/>
  <c r="W10" i="36"/>
  <c r="S53" i="36"/>
  <c r="T15" i="36"/>
  <c r="U8" i="36"/>
  <c r="S65" i="36"/>
  <c r="S49" i="36"/>
  <c r="T11" i="36"/>
  <c r="T13" i="36"/>
  <c r="S51" i="36"/>
  <c r="S63" i="36"/>
  <c r="S47" i="36"/>
  <c r="T9" i="36"/>
  <c r="V52" i="36"/>
  <c r="W14" i="36"/>
  <c r="T54" i="36"/>
  <c r="U16" i="36"/>
  <c r="D49" i="36"/>
  <c r="E49" i="36"/>
  <c r="F49" i="36"/>
  <c r="G49" i="36"/>
  <c r="H49" i="36"/>
  <c r="D45" i="36"/>
  <c r="E45" i="36"/>
  <c r="F45" i="36"/>
  <c r="G45" i="36"/>
  <c r="H45" i="36"/>
  <c r="D52" i="36"/>
  <c r="E52" i="36"/>
  <c r="F52" i="36"/>
  <c r="G52" i="36"/>
  <c r="H52" i="36"/>
  <c r="D65" i="36"/>
  <c r="E65" i="36"/>
  <c r="F65" i="36"/>
  <c r="G65" i="36"/>
  <c r="H65" i="36"/>
  <c r="D54" i="36"/>
  <c r="E54" i="36"/>
  <c r="F54" i="36"/>
  <c r="G54" i="36"/>
  <c r="H54" i="36"/>
  <c r="D47" i="36"/>
  <c r="E47" i="36"/>
  <c r="F47" i="36"/>
  <c r="G47" i="36"/>
  <c r="H47" i="36"/>
  <c r="D50" i="36"/>
  <c r="E50" i="36"/>
  <c r="F50" i="36"/>
  <c r="G50" i="36"/>
  <c r="H50" i="36"/>
  <c r="D64" i="36"/>
  <c r="E64" i="36"/>
  <c r="F64" i="36"/>
  <c r="G64" i="36"/>
  <c r="H64" i="36"/>
  <c r="D63" i="36"/>
  <c r="E63" i="36"/>
  <c r="F63" i="36"/>
  <c r="G63" i="36"/>
  <c r="H63" i="36"/>
  <c r="D66" i="36"/>
  <c r="E66" i="36"/>
  <c r="F66" i="36"/>
  <c r="G66" i="36"/>
  <c r="H66" i="36"/>
  <c r="D51" i="36"/>
  <c r="E51" i="36"/>
  <c r="F51" i="36"/>
  <c r="G51" i="36"/>
  <c r="H51" i="36"/>
  <c r="D48" i="36"/>
  <c r="E48" i="36"/>
  <c r="F48" i="36"/>
  <c r="G48" i="36"/>
  <c r="H48" i="36"/>
  <c r="L44" i="37"/>
  <c r="E31" i="34"/>
  <c r="C62" i="36" s="1"/>
  <c r="C46" i="36"/>
  <c r="D32" i="34"/>
  <c r="C61" i="36"/>
  <c r="M32" i="34"/>
  <c r="M33" i="34" s="1"/>
  <c r="C70" i="36"/>
  <c r="T70" i="36" s="1"/>
  <c r="K32" i="34"/>
  <c r="K33" i="34" s="1"/>
  <c r="C68" i="36"/>
  <c r="V68" i="36" s="1"/>
  <c r="B68" i="36"/>
  <c r="B81" i="36" s="1"/>
  <c r="B62" i="36"/>
  <c r="B75" i="36" s="1"/>
  <c r="B63" i="36"/>
  <c r="B76" i="36" s="1"/>
  <c r="B69" i="36"/>
  <c r="B82" i="36" s="1"/>
  <c r="L31" i="34"/>
  <c r="K8" i="34"/>
  <c r="K6" i="34"/>
  <c r="A1" i="34"/>
  <c r="E10" i="39" l="1"/>
  <c r="B10" i="39"/>
  <c r="Q15" i="40"/>
  <c r="J69" i="2" s="1"/>
  <c r="P17" i="40"/>
  <c r="Q17" i="40" s="1"/>
  <c r="E31" i="29"/>
  <c r="G31" i="29"/>
  <c r="O31" i="29"/>
  <c r="W31" i="29"/>
  <c r="H31" i="29"/>
  <c r="P31" i="29"/>
  <c r="I31" i="29"/>
  <c r="Q31" i="29"/>
  <c r="J31" i="29"/>
  <c r="R31" i="29"/>
  <c r="K31" i="29"/>
  <c r="S31" i="29"/>
  <c r="L31" i="29"/>
  <c r="T31" i="29"/>
  <c r="M31" i="29"/>
  <c r="U31" i="29"/>
  <c r="N31" i="29"/>
  <c r="V31" i="29"/>
  <c r="E30" i="29"/>
  <c r="H30" i="29"/>
  <c r="P30" i="29"/>
  <c r="I30" i="29"/>
  <c r="Q30" i="29"/>
  <c r="J30" i="29"/>
  <c r="R30" i="29"/>
  <c r="K30" i="29"/>
  <c r="S30" i="29"/>
  <c r="L30" i="29"/>
  <c r="T30" i="29"/>
  <c r="M30" i="29"/>
  <c r="U30" i="29"/>
  <c r="N30" i="29"/>
  <c r="V30" i="29"/>
  <c r="W30" i="29"/>
  <c r="G30" i="29"/>
  <c r="O30" i="29"/>
  <c r="I46" i="36"/>
  <c r="I55" i="36" s="1"/>
  <c r="J46" i="36"/>
  <c r="J55" i="36" s="1"/>
  <c r="K46" i="36"/>
  <c r="K55" i="36" s="1"/>
  <c r="L46" i="36"/>
  <c r="L55" i="36" s="1"/>
  <c r="M46" i="36"/>
  <c r="M55" i="36" s="1"/>
  <c r="N46" i="36"/>
  <c r="N55" i="36" s="1"/>
  <c r="O46" i="36"/>
  <c r="O55" i="36" s="1"/>
  <c r="P46" i="36"/>
  <c r="P55" i="36" s="1"/>
  <c r="Q46" i="36"/>
  <c r="R46" i="36"/>
  <c r="S46" i="36"/>
  <c r="I62" i="36"/>
  <c r="J62" i="36"/>
  <c r="K62" i="36"/>
  <c r="L62" i="36"/>
  <c r="M62" i="36"/>
  <c r="N62" i="36"/>
  <c r="O62" i="36"/>
  <c r="P62" i="36"/>
  <c r="Q62" i="36"/>
  <c r="R62" i="36"/>
  <c r="S62" i="36"/>
  <c r="T46" i="36"/>
  <c r="J68" i="36"/>
  <c r="I68" i="36"/>
  <c r="K68" i="36"/>
  <c r="L68" i="36"/>
  <c r="M68" i="36"/>
  <c r="N68" i="36"/>
  <c r="O68" i="36"/>
  <c r="P68" i="36"/>
  <c r="Q68" i="36"/>
  <c r="R68" i="36"/>
  <c r="S68" i="36"/>
  <c r="T68" i="36"/>
  <c r="U68" i="36"/>
  <c r="I61" i="36"/>
  <c r="J61" i="36"/>
  <c r="K61" i="36"/>
  <c r="L61" i="36"/>
  <c r="M61" i="36"/>
  <c r="N61" i="36"/>
  <c r="O61" i="36"/>
  <c r="P61" i="36"/>
  <c r="Q61" i="36"/>
  <c r="T62" i="36"/>
  <c r="R7" i="36"/>
  <c r="Q17" i="36"/>
  <c r="Q45" i="36"/>
  <c r="Q55" i="36" s="1"/>
  <c r="I70" i="36"/>
  <c r="J70" i="36"/>
  <c r="K70" i="36"/>
  <c r="L70" i="36"/>
  <c r="M70" i="36"/>
  <c r="N70" i="36"/>
  <c r="O70" i="36"/>
  <c r="P70" i="36"/>
  <c r="Q70" i="36"/>
  <c r="R70" i="36"/>
  <c r="S70" i="36"/>
  <c r="W52" i="36"/>
  <c r="W68" i="36"/>
  <c r="W64" i="36"/>
  <c r="W48" i="36"/>
  <c r="U13" i="36"/>
  <c r="T51" i="36"/>
  <c r="T53" i="36"/>
  <c r="U15" i="36"/>
  <c r="U50" i="36"/>
  <c r="U66" i="36"/>
  <c r="V12" i="36"/>
  <c r="U70" i="36"/>
  <c r="U54" i="36"/>
  <c r="V16" i="36"/>
  <c r="U62" i="36"/>
  <c r="U46" i="36"/>
  <c r="V8" i="36"/>
  <c r="T49" i="36"/>
  <c r="T65" i="36"/>
  <c r="U11" i="36"/>
  <c r="T63" i="36"/>
  <c r="T47" i="36"/>
  <c r="U9" i="36"/>
  <c r="D70" i="36"/>
  <c r="E70" i="36"/>
  <c r="F70" i="36"/>
  <c r="G70" i="36"/>
  <c r="H70" i="36"/>
  <c r="D68" i="36"/>
  <c r="E68" i="36"/>
  <c r="F68" i="36"/>
  <c r="G68" i="36"/>
  <c r="H68" i="36"/>
  <c r="D61" i="36"/>
  <c r="E61" i="36"/>
  <c r="F61" i="36"/>
  <c r="G61" i="36"/>
  <c r="H61" i="36"/>
  <c r="D46" i="36"/>
  <c r="D55" i="36" s="1"/>
  <c r="E46" i="36"/>
  <c r="E55" i="36" s="1"/>
  <c r="F46" i="36"/>
  <c r="F55" i="36" s="1"/>
  <c r="G46" i="36"/>
  <c r="G55" i="36" s="1"/>
  <c r="H46" i="36"/>
  <c r="H55" i="36" s="1"/>
  <c r="K22" i="19" s="1"/>
  <c r="D62" i="36"/>
  <c r="E62" i="36"/>
  <c r="F62" i="36"/>
  <c r="G62" i="36"/>
  <c r="H62" i="36"/>
  <c r="M44" i="37"/>
  <c r="K34" i="34"/>
  <c r="K35" i="34" s="1"/>
  <c r="K36" i="34" s="1"/>
  <c r="K37" i="34" s="1"/>
  <c r="K38" i="34" s="1"/>
  <c r="H13" i="34" s="1"/>
  <c r="C14" i="36" s="1"/>
  <c r="W38" i="36" s="1"/>
  <c r="C81" i="36"/>
  <c r="W81" i="36" s="1"/>
  <c r="L32" i="34"/>
  <c r="L33" i="34" s="1"/>
  <c r="C69" i="36"/>
  <c r="T69" i="36" s="1"/>
  <c r="M34" i="34"/>
  <c r="M35" i="34" s="1"/>
  <c r="M36" i="34" s="1"/>
  <c r="M37" i="34" s="1"/>
  <c r="M38" i="34" s="1"/>
  <c r="H15" i="34" s="1"/>
  <c r="C83" i="36"/>
  <c r="H24" i="20"/>
  <c r="C45" i="29" s="1"/>
  <c r="G24" i="20"/>
  <c r="C44" i="29" s="1"/>
  <c r="F24" i="20"/>
  <c r="C43" i="29" s="1"/>
  <c r="G17" i="34"/>
  <c r="D33" i="34"/>
  <c r="C74" i="36" s="1"/>
  <c r="K7" i="34"/>
  <c r="I32" i="34"/>
  <c r="K9" i="34"/>
  <c r="D24" i="14" l="1"/>
  <c r="J12" i="1"/>
  <c r="D25" i="14"/>
  <c r="G10" i="41"/>
  <c r="E9" i="41"/>
  <c r="E10" i="41" s="1"/>
  <c r="I10" i="41" s="1"/>
  <c r="P18" i="40"/>
  <c r="E22" i="40" s="1"/>
  <c r="E32" i="29"/>
  <c r="N32" i="29"/>
  <c r="V32" i="29"/>
  <c r="G32" i="29"/>
  <c r="O32" i="29"/>
  <c r="W32" i="29"/>
  <c r="H32" i="29"/>
  <c r="P32" i="29"/>
  <c r="I32" i="29"/>
  <c r="Q32" i="29"/>
  <c r="J32" i="29"/>
  <c r="R32" i="29"/>
  <c r="K32" i="29"/>
  <c r="S32" i="29"/>
  <c r="L32" i="29"/>
  <c r="T32" i="29"/>
  <c r="M32" i="29"/>
  <c r="U32" i="29"/>
  <c r="E34" i="29"/>
  <c r="J34" i="29"/>
  <c r="R34" i="29"/>
  <c r="K34" i="29"/>
  <c r="S34" i="29"/>
  <c r="L34" i="29"/>
  <c r="T34" i="29"/>
  <c r="M34" i="29"/>
  <c r="U34" i="29"/>
  <c r="N34" i="29"/>
  <c r="V34" i="29"/>
  <c r="G34" i="29"/>
  <c r="O34" i="29"/>
  <c r="W34" i="29"/>
  <c r="H34" i="29"/>
  <c r="P34" i="29"/>
  <c r="I34" i="29"/>
  <c r="Q34" i="29"/>
  <c r="E33" i="29"/>
  <c r="M33" i="29"/>
  <c r="U33" i="29"/>
  <c r="N33" i="29"/>
  <c r="V33" i="29"/>
  <c r="G33" i="29"/>
  <c r="O33" i="29"/>
  <c r="W33" i="29"/>
  <c r="H33" i="29"/>
  <c r="P33" i="29"/>
  <c r="I33" i="29"/>
  <c r="Q33" i="29"/>
  <c r="J33" i="29"/>
  <c r="R33" i="29"/>
  <c r="K33" i="29"/>
  <c r="S33" i="29"/>
  <c r="L33" i="29"/>
  <c r="T33" i="29"/>
  <c r="Q56" i="36"/>
  <c r="O56" i="36"/>
  <c r="K56" i="36"/>
  <c r="I74" i="36"/>
  <c r="J74" i="36"/>
  <c r="K74" i="36"/>
  <c r="L74" i="36"/>
  <c r="M74" i="36"/>
  <c r="N74" i="36"/>
  <c r="O74" i="36"/>
  <c r="P74" i="36"/>
  <c r="Q74" i="36"/>
  <c r="R74" i="36"/>
  <c r="I83" i="36"/>
  <c r="J83" i="36"/>
  <c r="K83" i="36"/>
  <c r="L83" i="36"/>
  <c r="M83" i="36"/>
  <c r="N83" i="36"/>
  <c r="O83" i="36"/>
  <c r="P83" i="36"/>
  <c r="Q83" i="36"/>
  <c r="R83" i="36"/>
  <c r="S83" i="36"/>
  <c r="T83" i="36"/>
  <c r="N56" i="36"/>
  <c r="M56" i="36"/>
  <c r="J56" i="36"/>
  <c r="I38" i="36"/>
  <c r="K38" i="36"/>
  <c r="J38" i="36"/>
  <c r="L38" i="36"/>
  <c r="M38" i="36"/>
  <c r="N38" i="36"/>
  <c r="O38" i="36"/>
  <c r="P38" i="36"/>
  <c r="Q38" i="36"/>
  <c r="R38" i="36"/>
  <c r="S38" i="36"/>
  <c r="T38" i="36"/>
  <c r="U38" i="36"/>
  <c r="V38" i="36"/>
  <c r="I69" i="36"/>
  <c r="J69" i="36"/>
  <c r="K69" i="36"/>
  <c r="L69" i="36"/>
  <c r="M69" i="36"/>
  <c r="N69" i="36"/>
  <c r="O69" i="36"/>
  <c r="P69" i="36"/>
  <c r="Q69" i="36"/>
  <c r="R69" i="36"/>
  <c r="S69" i="36"/>
  <c r="U83" i="36"/>
  <c r="L56" i="36"/>
  <c r="P56" i="36"/>
  <c r="J81" i="36"/>
  <c r="K81" i="36"/>
  <c r="I81" i="36"/>
  <c r="L81" i="36"/>
  <c r="M81" i="36"/>
  <c r="N81" i="36"/>
  <c r="O81" i="36"/>
  <c r="P81" i="36"/>
  <c r="Q81" i="36"/>
  <c r="R81" i="36"/>
  <c r="S81" i="36"/>
  <c r="T81" i="36"/>
  <c r="U81" i="36"/>
  <c r="V81" i="36"/>
  <c r="S7" i="36"/>
  <c r="R17" i="36"/>
  <c r="R45" i="36"/>
  <c r="R55" i="36" s="1"/>
  <c r="R61" i="36"/>
  <c r="I56" i="36"/>
  <c r="V62" i="36"/>
  <c r="V46" i="36"/>
  <c r="W8" i="36"/>
  <c r="U51" i="36"/>
  <c r="V13" i="36"/>
  <c r="U65" i="36"/>
  <c r="U49" i="36"/>
  <c r="V11" i="36"/>
  <c r="V83" i="36"/>
  <c r="V70" i="36"/>
  <c r="W16" i="36"/>
  <c r="V54" i="36"/>
  <c r="V66" i="36"/>
  <c r="V50" i="36"/>
  <c r="W12" i="36"/>
  <c r="U63" i="36"/>
  <c r="U47" i="36"/>
  <c r="V9" i="36"/>
  <c r="U69" i="36"/>
  <c r="V15" i="36"/>
  <c r="U53" i="36"/>
  <c r="E56" i="36"/>
  <c r="H22" i="19"/>
  <c r="G22" i="19"/>
  <c r="F56" i="36"/>
  <c r="I22" i="19"/>
  <c r="D83" i="36"/>
  <c r="E83" i="36"/>
  <c r="F83" i="36"/>
  <c r="G83" i="36"/>
  <c r="H83" i="36"/>
  <c r="H56" i="36"/>
  <c r="G56" i="36"/>
  <c r="J22" i="19"/>
  <c r="D74" i="36"/>
  <c r="E74" i="36"/>
  <c r="F74" i="36"/>
  <c r="G74" i="36"/>
  <c r="H74" i="36"/>
  <c r="E69" i="36"/>
  <c r="D69" i="36"/>
  <c r="F69" i="36"/>
  <c r="G69" i="36"/>
  <c r="H69" i="36"/>
  <c r="D38" i="36"/>
  <c r="E38" i="36"/>
  <c r="F38" i="36"/>
  <c r="G38" i="36"/>
  <c r="H38" i="36"/>
  <c r="L22" i="19"/>
  <c r="D81" i="36"/>
  <c r="E81" i="36"/>
  <c r="F81" i="36"/>
  <c r="G81" i="36"/>
  <c r="H81" i="36"/>
  <c r="L34" i="34"/>
  <c r="L35" i="34" s="1"/>
  <c r="L36" i="34" s="1"/>
  <c r="L37" i="34" s="1"/>
  <c r="L38" i="34" s="1"/>
  <c r="H14" i="34" s="1"/>
  <c r="C82" i="36"/>
  <c r="F25" i="20"/>
  <c r="F26" i="20" s="1"/>
  <c r="C51" i="29" s="1"/>
  <c r="F33" i="29"/>
  <c r="G25" i="20"/>
  <c r="G26" i="20" s="1"/>
  <c r="C52" i="29" s="1"/>
  <c r="H25" i="20"/>
  <c r="H26" i="20" s="1"/>
  <c r="C53" i="29" s="1"/>
  <c r="K16" i="34"/>
  <c r="L16" i="34" s="1"/>
  <c r="H21" i="34" s="1"/>
  <c r="I21" i="34" s="1"/>
  <c r="J21" i="34" s="1"/>
  <c r="K21" i="34" s="1"/>
  <c r="L21" i="34" s="1"/>
  <c r="I15" i="34"/>
  <c r="C16" i="36"/>
  <c r="M22" i="19"/>
  <c r="I13" i="34"/>
  <c r="M39" i="34"/>
  <c r="M40" i="34" s="1"/>
  <c r="K39" i="34"/>
  <c r="K40" i="34" s="1"/>
  <c r="D34" i="34"/>
  <c r="D35" i="34" s="1"/>
  <c r="I33" i="34"/>
  <c r="E23" i="40" l="1"/>
  <c r="E25" i="40" s="1"/>
  <c r="E24" i="40"/>
  <c r="L39" i="34"/>
  <c r="L40" i="34" s="1"/>
  <c r="K42" i="29"/>
  <c r="S42" i="29"/>
  <c r="L42" i="29"/>
  <c r="T42" i="29"/>
  <c r="M42" i="29"/>
  <c r="U42" i="29"/>
  <c r="N42" i="29"/>
  <c r="V42" i="29"/>
  <c r="G42" i="29"/>
  <c r="O42" i="29"/>
  <c r="W42" i="29"/>
  <c r="H42" i="29"/>
  <c r="P42" i="29"/>
  <c r="I42" i="29"/>
  <c r="Q42" i="29"/>
  <c r="J42" i="29"/>
  <c r="R42" i="29"/>
  <c r="I44" i="29"/>
  <c r="Q44" i="29"/>
  <c r="J44" i="29"/>
  <c r="R44" i="29"/>
  <c r="K44" i="29"/>
  <c r="S44" i="29"/>
  <c r="L44" i="29"/>
  <c r="T44" i="29"/>
  <c r="M44" i="29"/>
  <c r="U44" i="29"/>
  <c r="N44" i="29"/>
  <c r="V44" i="29"/>
  <c r="G44" i="29"/>
  <c r="O44" i="29"/>
  <c r="W44" i="29"/>
  <c r="H44" i="29"/>
  <c r="P44" i="29"/>
  <c r="N45" i="29"/>
  <c r="V45" i="29"/>
  <c r="G45" i="29"/>
  <c r="O45" i="29"/>
  <c r="W45" i="29"/>
  <c r="H45" i="29"/>
  <c r="P45" i="29"/>
  <c r="I45" i="29"/>
  <c r="Q45" i="29"/>
  <c r="J45" i="29"/>
  <c r="R45" i="29"/>
  <c r="K45" i="29"/>
  <c r="S45" i="29"/>
  <c r="L45" i="29"/>
  <c r="T45" i="29"/>
  <c r="M45" i="29"/>
  <c r="U45" i="29"/>
  <c r="L41" i="29"/>
  <c r="T41" i="29"/>
  <c r="M41" i="29"/>
  <c r="U41" i="29"/>
  <c r="N41" i="29"/>
  <c r="V41" i="29"/>
  <c r="G41" i="29"/>
  <c r="O41" i="29"/>
  <c r="W41" i="29"/>
  <c r="H41" i="29"/>
  <c r="P41" i="29"/>
  <c r="I41" i="29"/>
  <c r="Q41" i="29"/>
  <c r="J41" i="29"/>
  <c r="R41" i="29"/>
  <c r="K41" i="29"/>
  <c r="S41" i="29"/>
  <c r="J43" i="29"/>
  <c r="R43" i="29"/>
  <c r="K43" i="29"/>
  <c r="S43" i="29"/>
  <c r="L43" i="29"/>
  <c r="T43" i="29"/>
  <c r="M43" i="29"/>
  <c r="U43" i="29"/>
  <c r="N43" i="29"/>
  <c r="V43" i="29"/>
  <c r="G43" i="29"/>
  <c r="O43" i="29"/>
  <c r="W43" i="29"/>
  <c r="H43" i="29"/>
  <c r="P43" i="29"/>
  <c r="I43" i="29"/>
  <c r="Q43" i="29"/>
  <c r="E35" i="29"/>
  <c r="I82" i="36"/>
  <c r="J82" i="36"/>
  <c r="K82" i="36"/>
  <c r="L82" i="36"/>
  <c r="M82" i="36"/>
  <c r="N82" i="36"/>
  <c r="O82" i="36"/>
  <c r="P82" i="36"/>
  <c r="Q82" i="36"/>
  <c r="R82" i="36"/>
  <c r="S82" i="36"/>
  <c r="T82" i="36"/>
  <c r="U82" i="36"/>
  <c r="T7" i="36"/>
  <c r="S45" i="36"/>
  <c r="S55" i="36" s="1"/>
  <c r="S17" i="36"/>
  <c r="S61" i="36"/>
  <c r="S74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R56" i="36"/>
  <c r="W70" i="36"/>
  <c r="W83" i="36"/>
  <c r="W40" i="36"/>
  <c r="W54" i="36"/>
  <c r="W62" i="36"/>
  <c r="W46" i="36"/>
  <c r="V63" i="36"/>
  <c r="V47" i="36"/>
  <c r="W9" i="36"/>
  <c r="V51" i="36"/>
  <c r="W13" i="36"/>
  <c r="W66" i="36"/>
  <c r="W50" i="36"/>
  <c r="V69" i="36"/>
  <c r="V82" i="36"/>
  <c r="W15" i="36"/>
  <c r="V53" i="36"/>
  <c r="V65" i="36"/>
  <c r="V49" i="36"/>
  <c r="W11" i="36"/>
  <c r="E82" i="36"/>
  <c r="D82" i="36"/>
  <c r="F82" i="36"/>
  <c r="G82" i="36"/>
  <c r="H82" i="36"/>
  <c r="D40" i="36"/>
  <c r="E40" i="36"/>
  <c r="F40" i="36"/>
  <c r="G40" i="36"/>
  <c r="H40" i="36"/>
  <c r="O44" i="37"/>
  <c r="U35" i="29"/>
  <c r="R35" i="29"/>
  <c r="O35" i="29"/>
  <c r="M35" i="29"/>
  <c r="F43" i="29"/>
  <c r="E43" i="29"/>
  <c r="D43" i="29"/>
  <c r="H27" i="20"/>
  <c r="H28" i="20" s="1"/>
  <c r="K35" i="29"/>
  <c r="D44" i="29"/>
  <c r="E44" i="29"/>
  <c r="F44" i="29"/>
  <c r="G35" i="29"/>
  <c r="F45" i="29"/>
  <c r="D45" i="29"/>
  <c r="E45" i="29"/>
  <c r="F41" i="29"/>
  <c r="D41" i="29"/>
  <c r="E41" i="29"/>
  <c r="H35" i="29"/>
  <c r="I34" i="34"/>
  <c r="C79" i="36"/>
  <c r="I35" i="29"/>
  <c r="D42" i="29"/>
  <c r="F42" i="29"/>
  <c r="E42" i="29"/>
  <c r="F27" i="20"/>
  <c r="F28" i="20" s="1"/>
  <c r="G27" i="20"/>
  <c r="G28" i="20" s="1"/>
  <c r="I14" i="34"/>
  <c r="C15" i="36"/>
  <c r="N22" i="19"/>
  <c r="L41" i="34"/>
  <c r="L42" i="34" s="1"/>
  <c r="K41" i="34"/>
  <c r="K42" i="34" s="1"/>
  <c r="M41" i="34"/>
  <c r="M42" i="34" s="1"/>
  <c r="D36" i="34"/>
  <c r="D37" i="34" s="1"/>
  <c r="D38" i="34" s="1"/>
  <c r="I35" i="34"/>
  <c r="I36" i="34" s="1"/>
  <c r="E26" i="40" l="1"/>
  <c r="F22" i="40" s="1"/>
  <c r="H52" i="29"/>
  <c r="P52" i="29"/>
  <c r="I52" i="29"/>
  <c r="Q52" i="29"/>
  <c r="J52" i="29"/>
  <c r="R52" i="29"/>
  <c r="K52" i="29"/>
  <c r="S52" i="29"/>
  <c r="L52" i="29"/>
  <c r="T52" i="29"/>
  <c r="M52" i="29"/>
  <c r="U52" i="29"/>
  <c r="F52" i="29"/>
  <c r="N52" i="29"/>
  <c r="V52" i="29"/>
  <c r="G52" i="29"/>
  <c r="O52" i="29"/>
  <c r="W52" i="29"/>
  <c r="L46" i="29"/>
  <c r="H46" i="29"/>
  <c r="H36" i="29"/>
  <c r="S46" i="29"/>
  <c r="W46" i="29"/>
  <c r="F46" i="29"/>
  <c r="K46" i="29"/>
  <c r="O46" i="29"/>
  <c r="I36" i="29"/>
  <c r="E46" i="29"/>
  <c r="R46" i="29"/>
  <c r="G46" i="29"/>
  <c r="J46" i="29"/>
  <c r="V46" i="29"/>
  <c r="L50" i="29"/>
  <c r="T50" i="29"/>
  <c r="M50" i="29"/>
  <c r="U50" i="29"/>
  <c r="F50" i="29"/>
  <c r="N50" i="29"/>
  <c r="V50" i="29"/>
  <c r="G50" i="29"/>
  <c r="O50" i="29"/>
  <c r="W50" i="29"/>
  <c r="H50" i="29"/>
  <c r="P50" i="29"/>
  <c r="I50" i="29"/>
  <c r="Q50" i="29"/>
  <c r="J50" i="29"/>
  <c r="R50" i="29"/>
  <c r="K50" i="29"/>
  <c r="S50" i="29"/>
  <c r="Q46" i="29"/>
  <c r="N46" i="29"/>
  <c r="F49" i="29"/>
  <c r="N49" i="29"/>
  <c r="V49" i="29"/>
  <c r="G49" i="29"/>
  <c r="O49" i="29"/>
  <c r="W49" i="29"/>
  <c r="H49" i="29"/>
  <c r="P49" i="29"/>
  <c r="I49" i="29"/>
  <c r="Q49" i="29"/>
  <c r="J49" i="29"/>
  <c r="R49" i="29"/>
  <c r="K49" i="29"/>
  <c r="S49" i="29"/>
  <c r="L49" i="29"/>
  <c r="T49" i="29"/>
  <c r="M49" i="29"/>
  <c r="U49" i="29"/>
  <c r="I46" i="29"/>
  <c r="U46" i="29"/>
  <c r="J53" i="29"/>
  <c r="R53" i="29"/>
  <c r="K53" i="29"/>
  <c r="S53" i="29"/>
  <c r="L53" i="29"/>
  <c r="T53" i="29"/>
  <c r="M53" i="29"/>
  <c r="U53" i="29"/>
  <c r="F53" i="29"/>
  <c r="N53" i="29"/>
  <c r="V53" i="29"/>
  <c r="G53" i="29"/>
  <c r="O53" i="29"/>
  <c r="W53" i="29"/>
  <c r="H53" i="29"/>
  <c r="P53" i="29"/>
  <c r="I53" i="29"/>
  <c r="Q53" i="29"/>
  <c r="J51" i="29"/>
  <c r="R51" i="29"/>
  <c r="K51" i="29"/>
  <c r="S51" i="29"/>
  <c r="L51" i="29"/>
  <c r="T51" i="29"/>
  <c r="M51" i="29"/>
  <c r="U51" i="29"/>
  <c r="F51" i="29"/>
  <c r="N51" i="29"/>
  <c r="V51" i="29"/>
  <c r="G51" i="29"/>
  <c r="O51" i="29"/>
  <c r="W51" i="29"/>
  <c r="H51" i="29"/>
  <c r="P51" i="29"/>
  <c r="I51" i="29"/>
  <c r="Q51" i="29"/>
  <c r="T46" i="29"/>
  <c r="P46" i="29"/>
  <c r="M46" i="29"/>
  <c r="F29" i="20"/>
  <c r="G29" i="20"/>
  <c r="G30" i="20" s="1"/>
  <c r="H29" i="20"/>
  <c r="I79" i="36"/>
  <c r="J79" i="36"/>
  <c r="K79" i="36"/>
  <c r="L79" i="36"/>
  <c r="M79" i="36"/>
  <c r="N79" i="36"/>
  <c r="O79" i="36"/>
  <c r="P79" i="36"/>
  <c r="Q79" i="36"/>
  <c r="R79" i="36"/>
  <c r="S79" i="36"/>
  <c r="T79" i="36"/>
  <c r="U79" i="36"/>
  <c r="V79" i="36"/>
  <c r="S56" i="36"/>
  <c r="U7" i="36"/>
  <c r="T45" i="36"/>
  <c r="T55" i="36" s="1"/>
  <c r="T17" i="36"/>
  <c r="T61" i="36"/>
  <c r="T74" i="36"/>
  <c r="W7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63" i="36"/>
  <c r="W47" i="36"/>
  <c r="W65" i="36"/>
  <c r="W49" i="36"/>
  <c r="W69" i="36"/>
  <c r="W53" i="36"/>
  <c r="W39" i="36"/>
  <c r="W82" i="36"/>
  <c r="W51" i="36"/>
  <c r="D39" i="36"/>
  <c r="E39" i="36"/>
  <c r="F39" i="36"/>
  <c r="G39" i="36"/>
  <c r="H39" i="36"/>
  <c r="D79" i="36"/>
  <c r="E79" i="36"/>
  <c r="F79" i="36"/>
  <c r="G79" i="36"/>
  <c r="H79" i="36"/>
  <c r="P44" i="37"/>
  <c r="D50" i="29"/>
  <c r="E50" i="29"/>
  <c r="D46" i="29"/>
  <c r="D52" i="29"/>
  <c r="E52" i="29"/>
  <c r="E51" i="29"/>
  <c r="D51" i="29"/>
  <c r="D53" i="29"/>
  <c r="E53" i="29"/>
  <c r="D49" i="29"/>
  <c r="E49" i="29"/>
  <c r="O22" i="19"/>
  <c r="M43" i="34"/>
  <c r="M44" i="34" s="1"/>
  <c r="K43" i="34"/>
  <c r="K44" i="34" s="1"/>
  <c r="L43" i="34"/>
  <c r="L44" i="34" s="1"/>
  <c r="I37" i="34"/>
  <c r="I38" i="34" s="1"/>
  <c r="H11" i="34" s="1"/>
  <c r="D39" i="34"/>
  <c r="D40" i="34" s="1"/>
  <c r="H6" i="34"/>
  <c r="C7" i="36" s="1"/>
  <c r="F23" i="40" l="1"/>
  <c r="F25" i="40" s="1"/>
  <c r="F24" i="40"/>
  <c r="U54" i="29"/>
  <c r="T21" i="19" s="1"/>
  <c r="Q54" i="29"/>
  <c r="M54" i="29"/>
  <c r="L21" i="19" s="1"/>
  <c r="I54" i="29"/>
  <c r="I63" i="29" s="1"/>
  <c r="W54" i="29"/>
  <c r="T54" i="29"/>
  <c r="P54" i="29"/>
  <c r="O54" i="29"/>
  <c r="O63" i="29" s="1"/>
  <c r="L54" i="29"/>
  <c r="H54" i="29"/>
  <c r="H63" i="29" s="1"/>
  <c r="G54" i="29"/>
  <c r="G63" i="29" s="1"/>
  <c r="S54" i="29"/>
  <c r="E54" i="29"/>
  <c r="V54" i="29"/>
  <c r="K54" i="29"/>
  <c r="N54" i="29"/>
  <c r="R54" i="29"/>
  <c r="Q21" i="19" s="1"/>
  <c r="F54" i="29"/>
  <c r="J54" i="29"/>
  <c r="H30" i="20"/>
  <c r="H31" i="20" s="1"/>
  <c r="H10" i="20" s="1"/>
  <c r="F30" i="20"/>
  <c r="F31" i="20" s="1"/>
  <c r="H8" i="20" s="1"/>
  <c r="G31" i="20"/>
  <c r="H9" i="20" s="1"/>
  <c r="H7" i="38" s="1"/>
  <c r="T56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U45" i="36"/>
  <c r="U55" i="36" s="1"/>
  <c r="V7" i="36"/>
  <c r="V31" i="36" s="1"/>
  <c r="U61" i="36"/>
  <c r="U17" i="36"/>
  <c r="U74" i="36"/>
  <c r="D31" i="36"/>
  <c r="E31" i="36"/>
  <c r="F31" i="36"/>
  <c r="G31" i="36"/>
  <c r="H31" i="36"/>
  <c r="Q44" i="37"/>
  <c r="D54" i="29"/>
  <c r="D63" i="29" s="1"/>
  <c r="I11" i="34"/>
  <c r="C12" i="36"/>
  <c r="P22" i="19"/>
  <c r="L45" i="34"/>
  <c r="L46" i="34" s="1"/>
  <c r="K45" i="34"/>
  <c r="K46" i="34" s="1"/>
  <c r="M45" i="34"/>
  <c r="M46" i="34" s="1"/>
  <c r="D41" i="34"/>
  <c r="D42" i="34" s="1"/>
  <c r="I39" i="34"/>
  <c r="I40" i="34" s="1"/>
  <c r="I6" i="34"/>
  <c r="C11" i="29" l="1"/>
  <c r="H9" i="38"/>
  <c r="F26" i="40"/>
  <c r="G22" i="40" s="1"/>
  <c r="C8" i="37"/>
  <c r="H15" i="38"/>
  <c r="I7" i="38"/>
  <c r="S55" i="29"/>
  <c r="N21" i="19"/>
  <c r="C21" i="19"/>
  <c r="H21" i="19"/>
  <c r="K63" i="29"/>
  <c r="J21" i="19"/>
  <c r="P55" i="29"/>
  <c r="U63" i="29"/>
  <c r="F21" i="19"/>
  <c r="G21" i="19"/>
  <c r="E63" i="29"/>
  <c r="D21" i="19"/>
  <c r="R63" i="29"/>
  <c r="G32" i="20"/>
  <c r="H32" i="20"/>
  <c r="F32" i="20"/>
  <c r="M55" i="29"/>
  <c r="M63" i="29"/>
  <c r="I55" i="29"/>
  <c r="G55" i="29"/>
  <c r="R55" i="29"/>
  <c r="W55" i="29"/>
  <c r="F55" i="29"/>
  <c r="Q55" i="29"/>
  <c r="L55" i="29"/>
  <c r="U55" i="29"/>
  <c r="H55" i="29"/>
  <c r="J55" i="29"/>
  <c r="N55" i="29"/>
  <c r="O55" i="29"/>
  <c r="K55" i="29"/>
  <c r="V55" i="29"/>
  <c r="T55" i="29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U56" i="36"/>
  <c r="V61" i="36"/>
  <c r="W7" i="36"/>
  <c r="V45" i="36"/>
  <c r="V55" i="36" s="1"/>
  <c r="V74" i="36"/>
  <c r="V17" i="36"/>
  <c r="D36" i="36"/>
  <c r="E36" i="36"/>
  <c r="F36" i="36"/>
  <c r="G36" i="36"/>
  <c r="H36" i="36"/>
  <c r="R44" i="37"/>
  <c r="Q22" i="19"/>
  <c r="I41" i="34"/>
  <c r="I42" i="34" s="1"/>
  <c r="D43" i="34"/>
  <c r="D44" i="34" s="1"/>
  <c r="C10" i="37" l="1"/>
  <c r="I9" i="38"/>
  <c r="I15" i="38" s="1"/>
  <c r="E18" i="38" s="1"/>
  <c r="G23" i="40"/>
  <c r="G25" i="40" s="1"/>
  <c r="G24" i="40"/>
  <c r="G26" i="40" s="1"/>
  <c r="H22" i="40" s="1"/>
  <c r="F20" i="37"/>
  <c r="K20" i="37"/>
  <c r="D20" i="37"/>
  <c r="I20" i="37"/>
  <c r="R20" i="37"/>
  <c r="L20" i="37"/>
  <c r="E20" i="37"/>
  <c r="G20" i="37"/>
  <c r="M20" i="37"/>
  <c r="O20" i="37"/>
  <c r="U20" i="37"/>
  <c r="W20" i="37"/>
  <c r="V20" i="37"/>
  <c r="P20" i="37"/>
  <c r="J20" i="37"/>
  <c r="H20" i="37"/>
  <c r="N20" i="37"/>
  <c r="S20" i="37"/>
  <c r="T20" i="37"/>
  <c r="Q20" i="37"/>
  <c r="C7" i="29"/>
  <c r="R21" i="29" s="1"/>
  <c r="C8" i="29"/>
  <c r="F22" i="29" s="1"/>
  <c r="H25" i="29"/>
  <c r="C10" i="29"/>
  <c r="E24" i="29" s="1"/>
  <c r="C9" i="29"/>
  <c r="D23" i="29" s="1"/>
  <c r="H11" i="20"/>
  <c r="V56" i="36"/>
  <c r="W45" i="36"/>
  <c r="W55" i="36" s="1"/>
  <c r="W74" i="36"/>
  <c r="W61" i="36"/>
  <c r="W17" i="36"/>
  <c r="W31" i="36"/>
  <c r="S44" i="37"/>
  <c r="R22" i="19"/>
  <c r="D45" i="34"/>
  <c r="D46" i="34" s="1"/>
  <c r="I43" i="34"/>
  <c r="I44" i="34" s="1"/>
  <c r="F18" i="38" l="1"/>
  <c r="H22" i="37"/>
  <c r="H28" i="37" s="1"/>
  <c r="V22" i="37"/>
  <c r="V28" i="37" s="1"/>
  <c r="N22" i="37"/>
  <c r="N28" i="37" s="1"/>
  <c r="P22" i="37"/>
  <c r="I22" i="37"/>
  <c r="I28" i="37" s="1"/>
  <c r="W22" i="37"/>
  <c r="W28" i="37" s="1"/>
  <c r="J22" i="37"/>
  <c r="J28" i="37" s="1"/>
  <c r="T22" i="37"/>
  <c r="T28" i="37" s="1"/>
  <c r="T45" i="37" s="1"/>
  <c r="K22" i="37"/>
  <c r="K28" i="37" s="1"/>
  <c r="L22" i="37"/>
  <c r="L28" i="37" s="1"/>
  <c r="E22" i="37"/>
  <c r="E28" i="37" s="1"/>
  <c r="E45" i="37" s="1"/>
  <c r="E46" i="37" s="1"/>
  <c r="F22" i="37"/>
  <c r="F28" i="37" s="1"/>
  <c r="G22" i="37"/>
  <c r="G28" i="37" s="1"/>
  <c r="D22" i="37"/>
  <c r="D28" i="37" s="1"/>
  <c r="S22" i="37"/>
  <c r="S28" i="37" s="1"/>
  <c r="S45" i="37" s="1"/>
  <c r="S46" i="37" s="1"/>
  <c r="Q22" i="37"/>
  <c r="Q28" i="37" s="1"/>
  <c r="U22" i="37"/>
  <c r="U28" i="37" s="1"/>
  <c r="M22" i="37"/>
  <c r="M28" i="37" s="1"/>
  <c r="M45" i="37" s="1"/>
  <c r="M46" i="37" s="1"/>
  <c r="R22" i="37"/>
  <c r="R28" i="37" s="1"/>
  <c r="O22" i="37"/>
  <c r="O28" i="37" s="1"/>
  <c r="P28" i="37"/>
  <c r="O10" i="19" s="1"/>
  <c r="H23" i="40"/>
  <c r="H25" i="40" s="1"/>
  <c r="H24" i="40"/>
  <c r="G18" i="38"/>
  <c r="U21" i="29"/>
  <c r="J21" i="29"/>
  <c r="I21" i="29"/>
  <c r="S21" i="29"/>
  <c r="L21" i="29"/>
  <c r="E21" i="29"/>
  <c r="H21" i="29"/>
  <c r="M21" i="29"/>
  <c r="D21" i="29"/>
  <c r="G21" i="29"/>
  <c r="R22" i="29"/>
  <c r="O21" i="29"/>
  <c r="T21" i="29"/>
  <c r="T22" i="29"/>
  <c r="W21" i="29"/>
  <c r="P21" i="29"/>
  <c r="Q21" i="29"/>
  <c r="W22" i="29"/>
  <c r="N21" i="29"/>
  <c r="V21" i="29"/>
  <c r="H22" i="29"/>
  <c r="V25" i="29"/>
  <c r="P25" i="29"/>
  <c r="N25" i="29"/>
  <c r="S25" i="29"/>
  <c r="Q25" i="29"/>
  <c r="J25" i="29"/>
  <c r="G25" i="29"/>
  <c r="L25" i="29"/>
  <c r="U25" i="29"/>
  <c r="F25" i="29"/>
  <c r="E25" i="29"/>
  <c r="T25" i="29"/>
  <c r="W25" i="29"/>
  <c r="K25" i="29"/>
  <c r="D25" i="29"/>
  <c r="R25" i="29"/>
  <c r="O25" i="29"/>
  <c r="I25" i="29"/>
  <c r="M25" i="29"/>
  <c r="I22" i="29"/>
  <c r="U22" i="29"/>
  <c r="O22" i="29"/>
  <c r="S22" i="29"/>
  <c r="H24" i="29"/>
  <c r="L23" i="29"/>
  <c r="P22" i="29"/>
  <c r="V22" i="29"/>
  <c r="S24" i="29"/>
  <c r="Q22" i="29"/>
  <c r="K23" i="29"/>
  <c r="L22" i="29"/>
  <c r="G22" i="29"/>
  <c r="E23" i="29"/>
  <c r="N23" i="29"/>
  <c r="K22" i="29"/>
  <c r="E22" i="29"/>
  <c r="J22" i="29"/>
  <c r="O23" i="29"/>
  <c r="T23" i="29"/>
  <c r="G23" i="29"/>
  <c r="U23" i="29"/>
  <c r="S23" i="29"/>
  <c r="V23" i="29"/>
  <c r="W23" i="29"/>
  <c r="Q23" i="29"/>
  <c r="M23" i="29"/>
  <c r="M22" i="29"/>
  <c r="D22" i="29"/>
  <c r="H23" i="29"/>
  <c r="F23" i="29"/>
  <c r="N22" i="29"/>
  <c r="K21" i="29"/>
  <c r="F21" i="29"/>
  <c r="O24" i="29"/>
  <c r="W24" i="29"/>
  <c r="L24" i="29"/>
  <c r="K24" i="29"/>
  <c r="T24" i="29"/>
  <c r="V24" i="29"/>
  <c r="I24" i="29"/>
  <c r="N24" i="29"/>
  <c r="M24" i="29"/>
  <c r="P24" i="29"/>
  <c r="D24" i="29"/>
  <c r="J24" i="29"/>
  <c r="U24" i="29"/>
  <c r="Q24" i="29"/>
  <c r="F24" i="29"/>
  <c r="R24" i="29"/>
  <c r="G24" i="29"/>
  <c r="J23" i="29"/>
  <c r="P23" i="29"/>
  <c r="R23" i="29"/>
  <c r="I23" i="29"/>
  <c r="W56" i="36"/>
  <c r="T44" i="37"/>
  <c r="S22" i="19"/>
  <c r="I45" i="34"/>
  <c r="I46" i="34" s="1"/>
  <c r="J10" i="19" l="1"/>
  <c r="K45" i="37"/>
  <c r="K46" i="37" s="1"/>
  <c r="G10" i="19"/>
  <c r="H45" i="37"/>
  <c r="H46" i="37" s="1"/>
  <c r="M10" i="19"/>
  <c r="N29" i="37"/>
  <c r="N45" i="37"/>
  <c r="N46" i="37" s="1"/>
  <c r="L29" i="37"/>
  <c r="L45" i="37"/>
  <c r="K10" i="19"/>
  <c r="R45" i="37"/>
  <c r="R46" i="37" s="1"/>
  <c r="Q10" i="19"/>
  <c r="L10" i="19"/>
  <c r="D10" i="19"/>
  <c r="M29" i="37"/>
  <c r="P45" i="37"/>
  <c r="P46" i="37" s="1"/>
  <c r="G45" i="37"/>
  <c r="G46" i="37" s="1"/>
  <c r="F10" i="19"/>
  <c r="O29" i="37"/>
  <c r="N10" i="19"/>
  <c r="O45" i="37"/>
  <c r="O46" i="37" s="1"/>
  <c r="D45" i="37"/>
  <c r="G48" i="37" s="1"/>
  <c r="C10" i="19"/>
  <c r="I45" i="37"/>
  <c r="I46" i="37" s="1"/>
  <c r="H10" i="19"/>
  <c r="I29" i="37"/>
  <c r="F45" i="37"/>
  <c r="F46" i="37" s="1"/>
  <c r="E10" i="19"/>
  <c r="J45" i="37"/>
  <c r="J46" i="37" s="1"/>
  <c r="K29" i="37"/>
  <c r="I10" i="19"/>
  <c r="J29" i="37"/>
  <c r="Q29" i="37"/>
  <c r="Q45" i="37"/>
  <c r="Q46" i="37" s="1"/>
  <c r="P10" i="19"/>
  <c r="R10" i="19"/>
  <c r="P29" i="37"/>
  <c r="R29" i="37"/>
  <c r="S29" i="37"/>
  <c r="H26" i="40"/>
  <c r="I22" i="40" s="1"/>
  <c r="I24" i="40" s="1"/>
  <c r="H18" i="38"/>
  <c r="L46" i="37"/>
  <c r="E26" i="29"/>
  <c r="E38" i="29" s="1"/>
  <c r="D26" i="29"/>
  <c r="D58" i="29" s="1"/>
  <c r="D59" i="29" s="1"/>
  <c r="F26" i="29"/>
  <c r="F58" i="29" s="1"/>
  <c r="F59" i="29" s="1"/>
  <c r="H26" i="29"/>
  <c r="H58" i="29" s="1"/>
  <c r="H59" i="29" s="1"/>
  <c r="I26" i="29"/>
  <c r="I38" i="29" s="1"/>
  <c r="G26" i="29"/>
  <c r="G38" i="29" s="1"/>
  <c r="U26" i="29"/>
  <c r="U58" i="29" s="1"/>
  <c r="U59" i="29" s="1"/>
  <c r="M26" i="29"/>
  <c r="M38" i="29" s="1"/>
  <c r="O26" i="29"/>
  <c r="O58" i="29" s="1"/>
  <c r="O59" i="29" s="1"/>
  <c r="K26" i="29"/>
  <c r="K58" i="29" s="1"/>
  <c r="K59" i="29" s="1"/>
  <c r="R26" i="29"/>
  <c r="R58" i="29" s="1"/>
  <c r="R59" i="29" s="1"/>
  <c r="T46" i="37"/>
  <c r="T29" i="37"/>
  <c r="S10" i="19"/>
  <c r="U45" i="37"/>
  <c r="U46" i="37" s="1"/>
  <c r="U44" i="37"/>
  <c r="T22" i="19"/>
  <c r="A1" i="27"/>
  <c r="F27" i="28"/>
  <c r="G27" i="28"/>
  <c r="E27" i="28"/>
  <c r="I23" i="40" l="1"/>
  <c r="I25" i="40" s="1"/>
  <c r="D46" i="37"/>
  <c r="S48" i="37"/>
  <c r="N17" i="19"/>
  <c r="J17" i="19"/>
  <c r="R17" i="19"/>
  <c r="K48" i="37"/>
  <c r="O48" i="37"/>
  <c r="I26" i="40"/>
  <c r="J22" i="40" s="1"/>
  <c r="I18" i="38"/>
  <c r="F27" i="29"/>
  <c r="C7" i="19"/>
  <c r="E58" i="29"/>
  <c r="E59" i="29" s="1"/>
  <c r="I58" i="29"/>
  <c r="I59" i="29" s="1"/>
  <c r="D7" i="19"/>
  <c r="D36" i="19" s="1"/>
  <c r="H38" i="29"/>
  <c r="G58" i="29"/>
  <c r="G59" i="29" s="1"/>
  <c r="O38" i="29"/>
  <c r="M58" i="29"/>
  <c r="M59" i="29" s="1"/>
  <c r="U38" i="29"/>
  <c r="R38" i="29"/>
  <c r="K38" i="29"/>
  <c r="U29" i="37"/>
  <c r="T10" i="19"/>
  <c r="V45" i="37"/>
  <c r="V46" i="37" s="1"/>
  <c r="V44" i="37"/>
  <c r="U22" i="19"/>
  <c r="G6" i="27"/>
  <c r="G41" i="24"/>
  <c r="F41" i="24"/>
  <c r="E41" i="24"/>
  <c r="D41" i="24"/>
  <c r="I23" i="24"/>
  <c r="G23" i="24"/>
  <c r="F23" i="24"/>
  <c r="E23" i="24"/>
  <c r="D23" i="24"/>
  <c r="I41" i="24"/>
  <c r="M17" i="19" l="1"/>
  <c r="J23" i="40"/>
  <c r="J25" i="40" s="1"/>
  <c r="J24" i="40"/>
  <c r="J26" i="40" s="1"/>
  <c r="K22" i="40" s="1"/>
  <c r="G62" i="29"/>
  <c r="X27" i="32"/>
  <c r="V29" i="37"/>
  <c r="U10" i="19"/>
  <c r="W44" i="37"/>
  <c r="W45" i="37"/>
  <c r="W46" i="37" s="1"/>
  <c r="V22" i="19"/>
  <c r="R26" i="32"/>
  <c r="S26" i="32"/>
  <c r="T26" i="32"/>
  <c r="U26" i="32"/>
  <c r="T27" i="32"/>
  <c r="U27" i="32"/>
  <c r="R27" i="32"/>
  <c r="S27" i="32"/>
  <c r="G10" i="27"/>
  <c r="F12" i="38" s="1"/>
  <c r="G7" i="27"/>
  <c r="G11" i="27"/>
  <c r="F13" i="38" s="1"/>
  <c r="G8" i="27"/>
  <c r="F10" i="38" s="1"/>
  <c r="G9" i="27"/>
  <c r="F11" i="38" s="1"/>
  <c r="G12" i="27"/>
  <c r="F14" i="38" s="1"/>
  <c r="K22" i="25"/>
  <c r="C73" i="2"/>
  <c r="K15" i="25" s="1"/>
  <c r="A1" i="28"/>
  <c r="A1" i="24"/>
  <c r="A1" i="22"/>
  <c r="A1" i="20"/>
  <c r="A1" i="31"/>
  <c r="A1" i="29"/>
  <c r="A1" i="19"/>
  <c r="A1" i="32"/>
  <c r="A1" i="18"/>
  <c r="A1" i="16"/>
  <c r="A1" i="14"/>
  <c r="A1" i="1"/>
  <c r="A1" i="2"/>
  <c r="A1" i="25"/>
  <c r="G11" i="38" l="1"/>
  <c r="C37" i="37"/>
  <c r="C38" i="37"/>
  <c r="G12" i="38"/>
  <c r="G10" i="38"/>
  <c r="C36" i="37"/>
  <c r="G14" i="38"/>
  <c r="C40" i="37"/>
  <c r="G13" i="38"/>
  <c r="C39" i="37"/>
  <c r="F15" i="38"/>
  <c r="K24" i="40"/>
  <c r="K23" i="40"/>
  <c r="K25" i="40" s="1"/>
  <c r="K26" i="40" s="1"/>
  <c r="L22" i="40" s="1"/>
  <c r="W48" i="37"/>
  <c r="X26" i="32"/>
  <c r="W29" i="37"/>
  <c r="V10" i="19"/>
  <c r="V17" i="19" s="1"/>
  <c r="E13" i="16"/>
  <c r="D13" i="16"/>
  <c r="I38" i="37" l="1"/>
  <c r="N38" i="37"/>
  <c r="P38" i="37"/>
  <c r="Q38" i="37"/>
  <c r="E38" i="37"/>
  <c r="T38" i="37"/>
  <c r="G38" i="37"/>
  <c r="H38" i="37"/>
  <c r="J38" i="37"/>
  <c r="F38" i="37"/>
  <c r="R38" i="37"/>
  <c r="M38" i="37"/>
  <c r="L38" i="37"/>
  <c r="O38" i="37"/>
  <c r="U38" i="37"/>
  <c r="V38" i="37"/>
  <c r="S38" i="37"/>
  <c r="W38" i="37"/>
  <c r="K38" i="37"/>
  <c r="H36" i="37"/>
  <c r="U36" i="37"/>
  <c r="I36" i="37"/>
  <c r="V36" i="37"/>
  <c r="J36" i="37"/>
  <c r="K36" i="37"/>
  <c r="L36" i="37"/>
  <c r="F36" i="37"/>
  <c r="P36" i="37"/>
  <c r="G36" i="37"/>
  <c r="E36" i="37"/>
  <c r="N36" i="37"/>
  <c r="T36" i="37"/>
  <c r="M36" i="37"/>
  <c r="Q36" i="37"/>
  <c r="R36" i="37"/>
  <c r="O36" i="37"/>
  <c r="W36" i="37"/>
  <c r="S36" i="37"/>
  <c r="R37" i="37"/>
  <c r="S37" i="37"/>
  <c r="N37" i="37"/>
  <c r="E37" i="37"/>
  <c r="T37" i="37"/>
  <c r="F37" i="37"/>
  <c r="V37" i="37"/>
  <c r="J37" i="37"/>
  <c r="G37" i="37"/>
  <c r="H37" i="37"/>
  <c r="I37" i="37"/>
  <c r="P37" i="37"/>
  <c r="L37" i="37"/>
  <c r="M37" i="37"/>
  <c r="O37" i="37"/>
  <c r="W37" i="37"/>
  <c r="U37" i="37"/>
  <c r="Q37" i="37"/>
  <c r="K37" i="37"/>
  <c r="G15" i="38"/>
  <c r="E19" i="38" s="1"/>
  <c r="I40" i="37"/>
  <c r="G40" i="37"/>
  <c r="E40" i="37"/>
  <c r="J40" i="37"/>
  <c r="F40" i="37"/>
  <c r="H40" i="37"/>
  <c r="T40" i="37"/>
  <c r="K40" i="37"/>
  <c r="L40" i="37"/>
  <c r="N40" i="37"/>
  <c r="V40" i="37"/>
  <c r="U40" i="37"/>
  <c r="M40" i="37"/>
  <c r="O40" i="37"/>
  <c r="R40" i="37"/>
  <c r="P40" i="37"/>
  <c r="Q40" i="37"/>
  <c r="S40" i="37"/>
  <c r="W40" i="37"/>
  <c r="H39" i="37"/>
  <c r="I39" i="37"/>
  <c r="F39" i="37"/>
  <c r="F41" i="37" s="1"/>
  <c r="G39" i="37"/>
  <c r="E39" i="37"/>
  <c r="T39" i="37"/>
  <c r="V39" i="37"/>
  <c r="R39" i="37"/>
  <c r="S39" i="37"/>
  <c r="M39" i="37"/>
  <c r="L39" i="37"/>
  <c r="L41" i="37" s="1"/>
  <c r="Q39" i="37"/>
  <c r="O39" i="37"/>
  <c r="W39" i="37"/>
  <c r="P39" i="37"/>
  <c r="J39" i="37"/>
  <c r="U39" i="37"/>
  <c r="U41" i="37" s="1"/>
  <c r="N39" i="37"/>
  <c r="N41" i="37" s="1"/>
  <c r="K39" i="37"/>
  <c r="K41" i="37" s="1"/>
  <c r="F19" i="38"/>
  <c r="E20" i="38"/>
  <c r="E21" i="38" s="1"/>
  <c r="L23" i="40"/>
  <c r="L25" i="40" s="1"/>
  <c r="L24" i="40"/>
  <c r="L26" i="40" s="1"/>
  <c r="M22" i="40" s="1"/>
  <c r="G40" i="1"/>
  <c r="F20" i="16"/>
  <c r="G34" i="2"/>
  <c r="I41" i="37" l="1"/>
  <c r="S41" i="37"/>
  <c r="J41" i="37"/>
  <c r="W41" i="37"/>
  <c r="W49" i="37" s="1"/>
  <c r="O41" i="37"/>
  <c r="O49" i="37" s="1"/>
  <c r="E41" i="37"/>
  <c r="E49" i="37" s="1"/>
  <c r="V41" i="37"/>
  <c r="V49" i="37" s="1"/>
  <c r="Q41" i="37"/>
  <c r="P24" i="19" s="1"/>
  <c r="P39" i="19" s="1"/>
  <c r="G41" i="37"/>
  <c r="M41" i="37"/>
  <c r="H41" i="37"/>
  <c r="R41" i="37"/>
  <c r="P41" i="37"/>
  <c r="O24" i="19" s="1"/>
  <c r="O39" i="19" s="1"/>
  <c r="T41" i="37"/>
  <c r="T42" i="37" s="1"/>
  <c r="D24" i="19"/>
  <c r="J49" i="37"/>
  <c r="I24" i="19"/>
  <c r="I39" i="19" s="1"/>
  <c r="J42" i="37"/>
  <c r="G49" i="37"/>
  <c r="F24" i="19"/>
  <c r="F39" i="19" s="1"/>
  <c r="R49" i="37"/>
  <c r="Q24" i="19"/>
  <c r="Q39" i="19" s="1"/>
  <c r="J24" i="19"/>
  <c r="J39" i="19" s="1"/>
  <c r="K42" i="37"/>
  <c r="K49" i="37"/>
  <c r="L49" i="37"/>
  <c r="L42" i="37"/>
  <c r="K24" i="19"/>
  <c r="F49" i="37"/>
  <c r="E24" i="19"/>
  <c r="E39" i="19" s="1"/>
  <c r="O42" i="37"/>
  <c r="N24" i="19"/>
  <c r="N39" i="19" s="1"/>
  <c r="N49" i="37"/>
  <c r="N42" i="37"/>
  <c r="M24" i="19"/>
  <c r="M39" i="19" s="1"/>
  <c r="I49" i="37"/>
  <c r="I42" i="37"/>
  <c r="H24" i="19"/>
  <c r="H39" i="19" s="1"/>
  <c r="G19" i="38"/>
  <c r="F20" i="38"/>
  <c r="F21" i="38" s="1"/>
  <c r="V24" i="19"/>
  <c r="V39" i="19" s="1"/>
  <c r="M49" i="37"/>
  <c r="L24" i="19"/>
  <c r="L39" i="19" s="1"/>
  <c r="M42" i="37"/>
  <c r="W42" i="37"/>
  <c r="U49" i="37"/>
  <c r="T24" i="19"/>
  <c r="T39" i="19" s="1"/>
  <c r="U42" i="37"/>
  <c r="S49" i="37"/>
  <c r="R24" i="19"/>
  <c r="S42" i="37"/>
  <c r="H49" i="37"/>
  <c r="G24" i="19"/>
  <c r="M23" i="40"/>
  <c r="M25" i="40" s="1"/>
  <c r="M24" i="40"/>
  <c r="M26" i="40" s="1"/>
  <c r="N22" i="40" s="1"/>
  <c r="G8" i="22"/>
  <c r="G9" i="22"/>
  <c r="G10" i="22"/>
  <c r="G11" i="22"/>
  <c r="G12" i="22"/>
  <c r="G13" i="22"/>
  <c r="G14" i="22"/>
  <c r="G15" i="22"/>
  <c r="G16" i="22"/>
  <c r="G7" i="22"/>
  <c r="P49" i="37" l="1"/>
  <c r="S50" i="37" s="1"/>
  <c r="S51" i="37" s="1"/>
  <c r="R42" i="37"/>
  <c r="P42" i="37"/>
  <c r="Q42" i="37"/>
  <c r="Q49" i="37"/>
  <c r="S24" i="19"/>
  <c r="S39" i="19" s="1"/>
  <c r="V42" i="37"/>
  <c r="G50" i="37"/>
  <c r="T49" i="37"/>
  <c r="W50" i="37" s="1"/>
  <c r="W51" i="37" s="1"/>
  <c r="U24" i="19"/>
  <c r="U39" i="19" s="1"/>
  <c r="O50" i="37"/>
  <c r="O51" i="37" s="1"/>
  <c r="J31" i="19"/>
  <c r="G39" i="19"/>
  <c r="K50" i="37"/>
  <c r="K51" i="37" s="1"/>
  <c r="R31" i="19"/>
  <c r="R39" i="19"/>
  <c r="F31" i="19"/>
  <c r="D39" i="19"/>
  <c r="N31" i="19"/>
  <c r="K39" i="19"/>
  <c r="H19" i="38"/>
  <c r="G20" i="38"/>
  <c r="G21" i="38" s="1"/>
  <c r="N23" i="40"/>
  <c r="N25" i="40" s="1"/>
  <c r="N24" i="40"/>
  <c r="Y33" i="32"/>
  <c r="Y8" i="32" s="1"/>
  <c r="AA8" i="32" l="1"/>
  <c r="AB8" i="32"/>
  <c r="AD8" i="32" s="1"/>
  <c r="N26" i="40"/>
  <c r="O22" i="40" s="1"/>
  <c r="V31" i="19"/>
  <c r="I19" i="38"/>
  <c r="I20" i="38" s="1"/>
  <c r="I21" i="38" s="1"/>
  <c r="H20" i="38"/>
  <c r="H21" i="38" s="1"/>
  <c r="O23" i="40"/>
  <c r="O25" i="40" s="1"/>
  <c r="O24" i="40"/>
  <c r="O26" i="40" s="1"/>
  <c r="P22" i="40" s="1"/>
  <c r="AB33" i="32"/>
  <c r="Y7" i="32"/>
  <c r="Y11" i="32"/>
  <c r="Y22" i="32"/>
  <c r="Y21" i="32"/>
  <c r="Y25" i="32"/>
  <c r="Y14" i="32"/>
  <c r="Y20" i="32"/>
  <c r="AB20" i="32" s="1"/>
  <c r="Y28" i="32"/>
  <c r="Y24" i="32"/>
  <c r="AB24" i="32" s="1"/>
  <c r="Y10" i="32"/>
  <c r="AB10" i="32" s="1"/>
  <c r="Y19" i="32"/>
  <c r="Y15" i="32"/>
  <c r="Y23" i="32"/>
  <c r="Y27" i="32"/>
  <c r="Y17" i="32"/>
  <c r="Y18" i="32"/>
  <c r="AB18" i="32" s="1"/>
  <c r="Y12" i="32"/>
  <c r="AB12" i="32" s="1"/>
  <c r="Y9" i="32"/>
  <c r="Y26" i="32"/>
  <c r="Y16" i="32"/>
  <c r="Y13" i="32"/>
  <c r="AB17" i="32" l="1"/>
  <c r="AB13" i="32"/>
  <c r="AB23" i="32"/>
  <c r="AB16" i="32"/>
  <c r="AB15" i="32"/>
  <c r="AB21" i="32"/>
  <c r="AB19" i="32"/>
  <c r="AB22" i="32"/>
  <c r="P23" i="40"/>
  <c r="P24" i="40"/>
  <c r="AB25" i="32"/>
  <c r="AB14" i="32"/>
  <c r="AD14" i="32" s="1"/>
  <c r="AA14" i="32"/>
  <c r="AB28" i="32"/>
  <c r="AD28" i="32" s="1"/>
  <c r="AA28" i="32"/>
  <c r="AB7" i="32"/>
  <c r="Y30" i="32"/>
  <c r="AB27" i="32"/>
  <c r="AD27" i="32" s="1"/>
  <c r="AA27" i="32"/>
  <c r="AB26" i="32"/>
  <c r="AD26" i="32" s="1"/>
  <c r="AA26" i="32"/>
  <c r="AB9" i="32"/>
  <c r="AD9" i="32" s="1"/>
  <c r="AA9" i="32"/>
  <c r="AA11" i="32"/>
  <c r="AB11" i="32"/>
  <c r="AD11" i="32" s="1"/>
  <c r="Q23" i="40" l="1"/>
  <c r="K69" i="2" s="1"/>
  <c r="P25" i="40"/>
  <c r="Q25" i="40" s="1"/>
  <c r="AB30" i="32"/>
  <c r="E8" i="16"/>
  <c r="E14" i="16" s="1"/>
  <c r="E21" i="16"/>
  <c r="E22" i="16"/>
  <c r="E19" i="16"/>
  <c r="E20" i="16"/>
  <c r="E18" i="16"/>
  <c r="H16" i="2" s="1"/>
  <c r="H18" i="2" s="1"/>
  <c r="E24" i="14" l="1"/>
  <c r="E25" i="14" s="1"/>
  <c r="K12" i="1"/>
  <c r="E12" i="41"/>
  <c r="E13" i="41" s="1"/>
  <c r="G13" i="41"/>
  <c r="P26" i="40"/>
  <c r="E30" i="40" s="1"/>
  <c r="H19" i="2"/>
  <c r="E6" i="2"/>
  <c r="F6" i="2"/>
  <c r="D9" i="2"/>
  <c r="E9" i="2"/>
  <c r="F9" i="2"/>
  <c r="E11" i="2"/>
  <c r="E16" i="2" s="1"/>
  <c r="F11" i="2"/>
  <c r="F16" i="2" s="1"/>
  <c r="D16" i="2"/>
  <c r="D36" i="2"/>
  <c r="E36" i="2"/>
  <c r="E38" i="2"/>
  <c r="I13" i="41" l="1"/>
  <c r="E31" i="40"/>
  <c r="E33" i="40" s="1"/>
  <c r="E32" i="40"/>
  <c r="E23" i="2"/>
  <c r="D23" i="2"/>
  <c r="D18" i="2"/>
  <c r="F18" i="2"/>
  <c r="F19" i="2" s="1"/>
  <c r="E18" i="2"/>
  <c r="F23" i="2"/>
  <c r="F60" i="2" s="1"/>
  <c r="F34" i="29"/>
  <c r="B17" i="19"/>
  <c r="B24" i="19" s="1"/>
  <c r="E5" i="25"/>
  <c r="F5" i="25"/>
  <c r="G5" i="25"/>
  <c r="H5" i="25"/>
  <c r="D5" i="25"/>
  <c r="E34" i="40" l="1"/>
  <c r="F30" i="40" s="1"/>
  <c r="F32" i="40" s="1"/>
  <c r="E60" i="2"/>
  <c r="E62" i="2" s="1"/>
  <c r="E66" i="2" s="1"/>
  <c r="E70" i="2" s="1"/>
  <c r="E74" i="2" s="1"/>
  <c r="B31" i="19"/>
  <c r="B39" i="19"/>
  <c r="F17" i="19"/>
  <c r="D60" i="2"/>
  <c r="D62" i="2" s="1"/>
  <c r="E19" i="2"/>
  <c r="F62" i="2"/>
  <c r="F66" i="2" s="1"/>
  <c r="F70" i="2" s="1"/>
  <c r="D19" i="2"/>
  <c r="BA7" i="18"/>
  <c r="F31" i="40" l="1"/>
  <c r="F33" i="40" s="1"/>
  <c r="F34" i="40"/>
  <c r="G30" i="40" s="1"/>
  <c r="E63" i="2"/>
  <c r="D63" i="2"/>
  <c r="D66" i="2"/>
  <c r="D70" i="2" s="1"/>
  <c r="D74" i="2" s="1"/>
  <c r="F63" i="2"/>
  <c r="F72" i="2"/>
  <c r="W5" i="32"/>
  <c r="Z5" i="32" s="1"/>
  <c r="AC5" i="32" s="1"/>
  <c r="AA5" i="32"/>
  <c r="M5" i="32"/>
  <c r="V5" i="32" s="1"/>
  <c r="Y5" i="32" s="1"/>
  <c r="AB5" i="32" s="1"/>
  <c r="M9" i="22"/>
  <c r="M11" i="22"/>
  <c r="P11" i="22" s="1"/>
  <c r="M12" i="22"/>
  <c r="P12" i="22" s="1"/>
  <c r="M16" i="22"/>
  <c r="M7" i="22"/>
  <c r="P7" i="22" s="1"/>
  <c r="R7" i="22" s="1"/>
  <c r="I10" i="22"/>
  <c r="I11" i="22"/>
  <c r="M13" i="22"/>
  <c r="I15" i="22"/>
  <c r="G34" i="22"/>
  <c r="H34" i="22"/>
  <c r="I32" i="22"/>
  <c r="L10" i="22"/>
  <c r="F11" i="22"/>
  <c r="F10" i="22"/>
  <c r="F15" i="22"/>
  <c r="B15" i="19"/>
  <c r="B22" i="19" s="1"/>
  <c r="B16" i="19"/>
  <c r="B23" i="19" s="1"/>
  <c r="B14" i="19"/>
  <c r="B21" i="19" s="1"/>
  <c r="C47" i="31"/>
  <c r="D47" i="31" s="1"/>
  <c r="C48" i="31"/>
  <c r="D48" i="31" s="1"/>
  <c r="C49" i="31"/>
  <c r="D49" i="31" s="1"/>
  <c r="C50" i="31"/>
  <c r="D50" i="31" s="1"/>
  <c r="C51" i="31"/>
  <c r="D51" i="31" s="1"/>
  <c r="C52" i="31"/>
  <c r="D52" i="31" s="1"/>
  <c r="C46" i="31"/>
  <c r="D46" i="31" s="1"/>
  <c r="B24" i="31"/>
  <c r="B25" i="31"/>
  <c r="B26" i="31"/>
  <c r="B27" i="31"/>
  <c r="B16" i="31" s="1"/>
  <c r="B38" i="31" s="1"/>
  <c r="B50" i="31" s="1"/>
  <c r="B28" i="31"/>
  <c r="B17" i="31" s="1"/>
  <c r="B39" i="31" s="1"/>
  <c r="B51" i="31" s="1"/>
  <c r="B29" i="31"/>
  <c r="B18" i="31" s="1"/>
  <c r="B40" i="31" s="1"/>
  <c r="B52" i="31" s="1"/>
  <c r="B23" i="31"/>
  <c r="P9" i="22" l="1"/>
  <c r="R9" i="22" s="1"/>
  <c r="P16" i="22"/>
  <c r="R16" i="22" s="1"/>
  <c r="P13" i="22"/>
  <c r="R13" i="22" s="1"/>
  <c r="D54" i="31"/>
  <c r="D65" i="31" s="1"/>
  <c r="G32" i="40"/>
  <c r="G31" i="40"/>
  <c r="G33" i="40" s="1"/>
  <c r="G34" i="40"/>
  <c r="H30" i="40" s="1"/>
  <c r="W30" i="32"/>
  <c r="K30" i="2" s="1"/>
  <c r="F73" i="2"/>
  <c r="F74" i="2" s="1"/>
  <c r="F8" i="1" s="1"/>
  <c r="B30" i="19"/>
  <c r="B38" i="19"/>
  <c r="B29" i="19"/>
  <c r="B37" i="19"/>
  <c r="B28" i="19"/>
  <c r="B36" i="19"/>
  <c r="AD22" i="32"/>
  <c r="U7" i="32"/>
  <c r="T7" i="32"/>
  <c r="S7" i="32"/>
  <c r="R7" i="32"/>
  <c r="R21" i="32"/>
  <c r="S21" i="32"/>
  <c r="T21" i="32"/>
  <c r="U21" i="32"/>
  <c r="T20" i="32"/>
  <c r="U20" i="32"/>
  <c r="R20" i="32"/>
  <c r="S20" i="32"/>
  <c r="AD13" i="32"/>
  <c r="U13" i="32"/>
  <c r="T13" i="32"/>
  <c r="R13" i="32"/>
  <c r="S13" i="32"/>
  <c r="T24" i="32"/>
  <c r="U24" i="32"/>
  <c r="R24" i="32"/>
  <c r="S24" i="32"/>
  <c r="R19" i="32"/>
  <c r="S19" i="32"/>
  <c r="T19" i="32"/>
  <c r="U19" i="32"/>
  <c r="AD12" i="32"/>
  <c r="R12" i="32"/>
  <c r="S12" i="32"/>
  <c r="T12" i="32"/>
  <c r="U12" i="32"/>
  <c r="AD25" i="32"/>
  <c r="R25" i="32"/>
  <c r="T25" i="32"/>
  <c r="S25" i="32"/>
  <c r="U25" i="32"/>
  <c r="U18" i="32"/>
  <c r="R18" i="32"/>
  <c r="S18" i="32"/>
  <c r="T18" i="32"/>
  <c r="AD10" i="32"/>
  <c r="T10" i="32"/>
  <c r="U10" i="32"/>
  <c r="R10" i="32"/>
  <c r="S10" i="32"/>
  <c r="T15" i="32"/>
  <c r="R15" i="32"/>
  <c r="S15" i="32"/>
  <c r="U15" i="32"/>
  <c r="R23" i="32"/>
  <c r="S23" i="32"/>
  <c r="T23" i="32"/>
  <c r="U23" i="32"/>
  <c r="R17" i="32"/>
  <c r="S17" i="32"/>
  <c r="T17" i="32"/>
  <c r="U17" i="32"/>
  <c r="R9" i="32"/>
  <c r="T9" i="32"/>
  <c r="S9" i="32"/>
  <c r="U9" i="32"/>
  <c r="AD16" i="32"/>
  <c r="U16" i="32"/>
  <c r="R16" i="32"/>
  <c r="S16" i="32"/>
  <c r="T16" i="32"/>
  <c r="AD7" i="32"/>
  <c r="X22" i="32"/>
  <c r="X21" i="32"/>
  <c r="AD19" i="32"/>
  <c r="AA22" i="32"/>
  <c r="M8" i="22"/>
  <c r="M14" i="22"/>
  <c r="R12" i="22"/>
  <c r="O12" i="22"/>
  <c r="R11" i="22"/>
  <c r="O11" i="22"/>
  <c r="M10" i="22"/>
  <c r="P10" i="22" s="1"/>
  <c r="L11" i="22"/>
  <c r="B55" i="31"/>
  <c r="B15" i="31"/>
  <c r="B37" i="31" s="1"/>
  <c r="B49" i="31" s="1"/>
  <c r="B14" i="31"/>
  <c r="B36" i="31" s="1"/>
  <c r="B48" i="31" s="1"/>
  <c r="B13" i="31"/>
  <c r="B35" i="31" s="1"/>
  <c r="B47" i="31" s="1"/>
  <c r="B12" i="31"/>
  <c r="B34" i="31" s="1"/>
  <c r="B46" i="31" s="1"/>
  <c r="B36" i="29"/>
  <c r="D57" i="31" l="1"/>
  <c r="P8" i="22"/>
  <c r="R8" i="22" s="1"/>
  <c r="P14" i="22"/>
  <c r="R14" i="22" s="1"/>
  <c r="H32" i="40"/>
  <c r="H31" i="40"/>
  <c r="U30" i="32"/>
  <c r="S30" i="32"/>
  <c r="R30" i="32"/>
  <c r="T30" i="32"/>
  <c r="AA13" i="32"/>
  <c r="AA25" i="32"/>
  <c r="X25" i="32"/>
  <c r="X13" i="32"/>
  <c r="X24" i="32"/>
  <c r="AD24" i="32"/>
  <c r="X19" i="32"/>
  <c r="X18" i="32"/>
  <c r="AA16" i="32"/>
  <c r="X16" i="32"/>
  <c r="X9" i="32"/>
  <c r="AA19" i="32"/>
  <c r="AD15" i="32"/>
  <c r="X23" i="32"/>
  <c r="X10" i="32"/>
  <c r="AA12" i="32"/>
  <c r="AA21" i="32"/>
  <c r="AA10" i="32"/>
  <c r="AD21" i="32"/>
  <c r="X12" i="32"/>
  <c r="AA17" i="32"/>
  <c r="X17" i="32"/>
  <c r="AD17" i="32"/>
  <c r="X15" i="32"/>
  <c r="X20" i="32"/>
  <c r="Z30" i="32"/>
  <c r="L30" i="2" s="1"/>
  <c r="AA24" i="32"/>
  <c r="AD23" i="32"/>
  <c r="AA23" i="32"/>
  <c r="X7" i="32"/>
  <c r="AA7" i="32"/>
  <c r="AD18" i="32"/>
  <c r="AA18" i="32"/>
  <c r="AA15" i="32"/>
  <c r="R10" i="22"/>
  <c r="O10" i="22"/>
  <c r="L15" i="22"/>
  <c r="M15" i="22"/>
  <c r="P15" i="22" s="1"/>
  <c r="H33" i="40" l="1"/>
  <c r="H34" i="40" s="1"/>
  <c r="I30" i="40" s="1"/>
  <c r="C23" i="19"/>
  <c r="C25" i="19" s="1"/>
  <c r="C9" i="19"/>
  <c r="X30" i="32"/>
  <c r="X32" i="32" s="1"/>
  <c r="U32" i="32"/>
  <c r="AD20" i="32"/>
  <c r="AA20" i="32"/>
  <c r="O15" i="22"/>
  <c r="I32" i="40" l="1"/>
  <c r="I31" i="40"/>
  <c r="K22" i="2"/>
  <c r="J22" i="2"/>
  <c r="U36" i="32"/>
  <c r="U35" i="32"/>
  <c r="X35" i="32"/>
  <c r="X36" i="32"/>
  <c r="AC30" i="32"/>
  <c r="M30" i="2" s="1"/>
  <c r="AA30" i="32"/>
  <c r="AD30" i="32"/>
  <c r="AD35" i="32" s="1"/>
  <c r="R15" i="22"/>
  <c r="R21" i="22" s="1"/>
  <c r="J35" i="29"/>
  <c r="J26" i="29"/>
  <c r="J58" i="29" s="1"/>
  <c r="J12" i="29"/>
  <c r="J57" i="29" s="1"/>
  <c r="I33" i="40" l="1"/>
  <c r="I34" i="40"/>
  <c r="J30" i="40" s="1"/>
  <c r="R34" i="22"/>
  <c r="BF5" i="18" s="1"/>
  <c r="BF7" i="18" s="1"/>
  <c r="H12" i="25" s="1"/>
  <c r="J63" i="29"/>
  <c r="K64" i="29" s="1"/>
  <c r="I21" i="19"/>
  <c r="U37" i="32"/>
  <c r="J59" i="29"/>
  <c r="K62" i="29"/>
  <c r="K66" i="29" s="1"/>
  <c r="J36" i="29"/>
  <c r="J38" i="29"/>
  <c r="K36" i="29"/>
  <c r="X37" i="32"/>
  <c r="AD32" i="32"/>
  <c r="AD36" i="32"/>
  <c r="AD37" i="32" s="1"/>
  <c r="AA32" i="32"/>
  <c r="AA36" i="32"/>
  <c r="AA35" i="32"/>
  <c r="J31" i="40" l="1"/>
  <c r="J33" i="40" s="1"/>
  <c r="J32" i="40"/>
  <c r="K65" i="29"/>
  <c r="AA37" i="32"/>
  <c r="L22" i="2"/>
  <c r="M22" i="2"/>
  <c r="L35" i="29"/>
  <c r="L26" i="29"/>
  <c r="L58" i="29" s="1"/>
  <c r="L12" i="29"/>
  <c r="L57" i="29" s="1"/>
  <c r="O12" i="29"/>
  <c r="O57" i="29" s="1"/>
  <c r="J34" i="40" l="1"/>
  <c r="K30" i="40" s="1"/>
  <c r="K32" i="40" s="1"/>
  <c r="K31" i="40"/>
  <c r="K33" i="40" s="1"/>
  <c r="L63" i="29"/>
  <c r="K21" i="19"/>
  <c r="L59" i="29"/>
  <c r="L38" i="29"/>
  <c r="L36" i="29"/>
  <c r="M36" i="29"/>
  <c r="K34" i="40" l="1"/>
  <c r="L30" i="40" s="1"/>
  <c r="L32" i="40" s="1"/>
  <c r="N26" i="29"/>
  <c r="N58" i="29" s="1"/>
  <c r="N35" i="29"/>
  <c r="N12" i="29"/>
  <c r="N57" i="29" s="1"/>
  <c r="R12" i="29"/>
  <c r="R57" i="29" s="1"/>
  <c r="L31" i="40" l="1"/>
  <c r="L33" i="40" s="1"/>
  <c r="L34" i="40" s="1"/>
  <c r="M30" i="40" s="1"/>
  <c r="N63" i="29"/>
  <c r="O64" i="29" s="1"/>
  <c r="M21" i="19"/>
  <c r="N59" i="29"/>
  <c r="O62" i="29"/>
  <c r="N38" i="29"/>
  <c r="N36" i="29"/>
  <c r="O36" i="29"/>
  <c r="M31" i="40" l="1"/>
  <c r="M33" i="40" s="1"/>
  <c r="M32" i="40"/>
  <c r="O65" i="29"/>
  <c r="P35" i="29"/>
  <c r="P26" i="29"/>
  <c r="P58" i="29" s="1"/>
  <c r="P12" i="29"/>
  <c r="P57" i="29" s="1"/>
  <c r="M34" i="40" l="1"/>
  <c r="N30" i="40" s="1"/>
  <c r="P63" i="29"/>
  <c r="O21" i="19"/>
  <c r="P59" i="29"/>
  <c r="P38" i="29"/>
  <c r="P36" i="29"/>
  <c r="U12" i="29"/>
  <c r="U57" i="29" s="1"/>
  <c r="Q26" i="29"/>
  <c r="Q58" i="29" s="1"/>
  <c r="Q59" i="29" s="1"/>
  <c r="Q35" i="29"/>
  <c r="Q12" i="29"/>
  <c r="Q57" i="29" s="1"/>
  <c r="N32" i="40" l="1"/>
  <c r="N31" i="40"/>
  <c r="N33" i="40" s="1"/>
  <c r="Q63" i="29"/>
  <c r="P21" i="19"/>
  <c r="Q38" i="29"/>
  <c r="Q36" i="29"/>
  <c r="R36" i="29"/>
  <c r="N34" i="40" l="1"/>
  <c r="O30" i="40" s="1"/>
  <c r="S35" i="29"/>
  <c r="S26" i="29"/>
  <c r="S58" i="29" s="1"/>
  <c r="S12" i="29"/>
  <c r="S57" i="29" s="1"/>
  <c r="O32" i="40" l="1"/>
  <c r="O31" i="40"/>
  <c r="O33" i="40" s="1"/>
  <c r="S63" i="29"/>
  <c r="S64" i="29" s="1"/>
  <c r="R21" i="19"/>
  <c r="S59" i="29"/>
  <c r="S62" i="29"/>
  <c r="S36" i="29"/>
  <c r="S38" i="29"/>
  <c r="T35" i="29"/>
  <c r="T26" i="29"/>
  <c r="T58" i="29" s="1"/>
  <c r="T12" i="29"/>
  <c r="T57" i="29" s="1"/>
  <c r="O34" i="40" l="1"/>
  <c r="P30" i="40" s="1"/>
  <c r="T63" i="29"/>
  <c r="S21" i="19"/>
  <c r="S65" i="29"/>
  <c r="T59" i="29"/>
  <c r="T38" i="29"/>
  <c r="T36" i="29"/>
  <c r="U36" i="29"/>
  <c r="P32" i="40" l="1"/>
  <c r="P31" i="40"/>
  <c r="V26" i="29"/>
  <c r="V58" i="29" s="1"/>
  <c r="V35" i="29"/>
  <c r="V12" i="29"/>
  <c r="V57" i="29" s="1"/>
  <c r="P33" i="40" l="1"/>
  <c r="Q33" i="40" s="1"/>
  <c r="Q31" i="40"/>
  <c r="L69" i="2" s="1"/>
  <c r="P34" i="40"/>
  <c r="E38" i="40" s="1"/>
  <c r="V63" i="29"/>
  <c r="U21" i="19"/>
  <c r="V59" i="29"/>
  <c r="V38" i="29"/>
  <c r="V36" i="29"/>
  <c r="W35" i="29"/>
  <c r="W26" i="29"/>
  <c r="W58" i="29" s="1"/>
  <c r="W59" i="29" s="1"/>
  <c r="W12" i="29"/>
  <c r="W57" i="29" s="1"/>
  <c r="F24" i="14" l="1"/>
  <c r="L12" i="1"/>
  <c r="E15" i="41"/>
  <c r="E16" i="41" s="1"/>
  <c r="G16" i="41"/>
  <c r="F25" i="14"/>
  <c r="E40" i="40"/>
  <c r="E39" i="40"/>
  <c r="W63" i="29"/>
  <c r="W64" i="29" s="1"/>
  <c r="V21" i="19"/>
  <c r="W62" i="29"/>
  <c r="W38" i="29"/>
  <c r="W36" i="29"/>
  <c r="I16" i="41" l="1"/>
  <c r="E41" i="40"/>
  <c r="E42" i="40" s="1"/>
  <c r="F38" i="40" s="1"/>
  <c r="W65" i="29"/>
  <c r="F40" i="40" l="1"/>
  <c r="F39" i="40"/>
  <c r="F30" i="29"/>
  <c r="F41" i="40" l="1"/>
  <c r="F42" i="40" s="1"/>
  <c r="G38" i="40" s="1"/>
  <c r="F32" i="29"/>
  <c r="F31" i="29"/>
  <c r="G39" i="40" l="1"/>
  <c r="G40" i="40"/>
  <c r="F35" i="29"/>
  <c r="G41" i="40" l="1"/>
  <c r="F63" i="29"/>
  <c r="G64" i="29" s="1"/>
  <c r="G65" i="29" s="1"/>
  <c r="E21" i="19"/>
  <c r="F38" i="29"/>
  <c r="G36" i="29"/>
  <c r="F36" i="29"/>
  <c r="N28" i="19"/>
  <c r="R28" i="19"/>
  <c r="H60" i="2"/>
  <c r="H62" i="2" s="1"/>
  <c r="H63" i="2" s="1"/>
  <c r="G42" i="40" l="1"/>
  <c r="H38" i="40" s="1"/>
  <c r="F28" i="19"/>
  <c r="V28" i="19"/>
  <c r="J28" i="19"/>
  <c r="M10" i="27"/>
  <c r="I10" i="27"/>
  <c r="M11" i="27"/>
  <c r="I11" i="27"/>
  <c r="M12" i="27"/>
  <c r="I12" i="27"/>
  <c r="M9" i="27"/>
  <c r="I8" i="27"/>
  <c r="M7" i="27"/>
  <c r="I7" i="27"/>
  <c r="M6" i="27"/>
  <c r="I9" i="27"/>
  <c r="M8" i="27"/>
  <c r="D7" i="27"/>
  <c r="I6" i="27"/>
  <c r="M14" i="27" l="1"/>
  <c r="I14" i="27"/>
  <c r="H40" i="40"/>
  <c r="H39" i="40"/>
  <c r="F18" i="27"/>
  <c r="D8" i="27"/>
  <c r="D9" i="27" s="1"/>
  <c r="H41" i="40" l="1"/>
  <c r="H42" i="40" s="1"/>
  <c r="I38" i="40" s="1"/>
  <c r="F19" i="27"/>
  <c r="G19" i="27" s="1"/>
  <c r="H19" i="27" s="1"/>
  <c r="I19" i="27" s="1"/>
  <c r="J19" i="27" s="1"/>
  <c r="D10" i="27"/>
  <c r="D11" i="27" s="1"/>
  <c r="D12" i="27" s="1"/>
  <c r="D13" i="27" s="1"/>
  <c r="G18" i="27"/>
  <c r="I40" i="40" l="1"/>
  <c r="I39" i="40"/>
  <c r="F20" i="27"/>
  <c r="F21" i="27" s="1"/>
  <c r="G20" i="27"/>
  <c r="G21" i="27" s="1"/>
  <c r="H18" i="27"/>
  <c r="I41" i="40" l="1"/>
  <c r="I42" i="40" s="1"/>
  <c r="J38" i="40" s="1"/>
  <c r="V29" i="19"/>
  <c r="S7" i="19"/>
  <c r="T7" i="19"/>
  <c r="U7" i="19"/>
  <c r="V7" i="19"/>
  <c r="N29" i="19"/>
  <c r="J29" i="19"/>
  <c r="R29" i="19"/>
  <c r="G7" i="19"/>
  <c r="E7" i="19"/>
  <c r="F7" i="19"/>
  <c r="H7" i="19"/>
  <c r="I7" i="19"/>
  <c r="J7" i="19"/>
  <c r="K7" i="19"/>
  <c r="L7" i="19"/>
  <c r="M7" i="19"/>
  <c r="N7" i="19"/>
  <c r="O7" i="19"/>
  <c r="P7" i="19"/>
  <c r="Q7" i="19"/>
  <c r="R7" i="19"/>
  <c r="H20" i="27"/>
  <c r="H21" i="27" s="1"/>
  <c r="I18" i="27"/>
  <c r="J39" i="40" l="1"/>
  <c r="J41" i="40" s="1"/>
  <c r="J40" i="40"/>
  <c r="I20" i="27"/>
  <c r="I21" i="27" s="1"/>
  <c r="J18" i="27"/>
  <c r="W27" i="29"/>
  <c r="V27" i="29"/>
  <c r="U27" i="29"/>
  <c r="T27" i="29"/>
  <c r="L27" i="29"/>
  <c r="S27" i="29"/>
  <c r="R36" i="19"/>
  <c r="J36" i="19"/>
  <c r="K27" i="29"/>
  <c r="T36" i="19"/>
  <c r="J27" i="29"/>
  <c r="I36" i="19"/>
  <c r="Q27" i="29"/>
  <c r="P36" i="19"/>
  <c r="H36" i="19"/>
  <c r="I27" i="29"/>
  <c r="L36" i="19"/>
  <c r="M27" i="29"/>
  <c r="P27" i="29"/>
  <c r="F36" i="19"/>
  <c r="G27" i="29"/>
  <c r="Q36" i="19"/>
  <c r="R27" i="29"/>
  <c r="O27" i="29"/>
  <c r="N36" i="19"/>
  <c r="N27" i="29"/>
  <c r="M36" i="19"/>
  <c r="H27" i="29"/>
  <c r="J42" i="40" l="1"/>
  <c r="K38" i="40" s="1"/>
  <c r="K40" i="40" s="1"/>
  <c r="J20" i="27"/>
  <c r="J21" i="27" s="1"/>
  <c r="U36" i="19"/>
  <c r="V36" i="19"/>
  <c r="O36" i="19"/>
  <c r="R14" i="19"/>
  <c r="L52" i="2" s="1"/>
  <c r="S36" i="19"/>
  <c r="V14" i="19"/>
  <c r="M52" i="2" s="1"/>
  <c r="G36" i="19"/>
  <c r="J14" i="19"/>
  <c r="J52" i="2" s="1"/>
  <c r="K36" i="19"/>
  <c r="N14" i="19"/>
  <c r="K52" i="2" s="1"/>
  <c r="F14" i="19"/>
  <c r="I52" i="2" s="1"/>
  <c r="E36" i="19"/>
  <c r="K39" i="40" l="1"/>
  <c r="K41" i="40" s="1"/>
  <c r="K42" i="40"/>
  <c r="L38" i="40" s="1"/>
  <c r="M14" i="19"/>
  <c r="L40" i="40" l="1"/>
  <c r="L39" i="40"/>
  <c r="L41" i="40" s="1"/>
  <c r="O7" i="22"/>
  <c r="O8" i="22"/>
  <c r="O9" i="22"/>
  <c r="O13" i="22"/>
  <c r="O14" i="22"/>
  <c r="O16" i="22"/>
  <c r="L7" i="22"/>
  <c r="L8" i="22"/>
  <c r="L9" i="22"/>
  <c r="L12" i="22"/>
  <c r="L13" i="22"/>
  <c r="L14" i="22"/>
  <c r="L16" i="22"/>
  <c r="I7" i="22"/>
  <c r="I8" i="22"/>
  <c r="I9" i="22"/>
  <c r="I12" i="22"/>
  <c r="I13" i="22"/>
  <c r="I14" i="22"/>
  <c r="I16" i="22"/>
  <c r="F8" i="22"/>
  <c r="F9" i="22"/>
  <c r="F12" i="22"/>
  <c r="F13" i="22"/>
  <c r="F14" i="22"/>
  <c r="F16" i="22"/>
  <c r="O21" i="22" l="1"/>
  <c r="I21" i="22"/>
  <c r="L42" i="40"/>
  <c r="M38" i="40" s="1"/>
  <c r="L21" i="22"/>
  <c r="L34" i="22" s="1"/>
  <c r="AT5" i="18" s="1"/>
  <c r="F21" i="22"/>
  <c r="O34" i="22"/>
  <c r="AZ5" i="18" s="1"/>
  <c r="M39" i="40" l="1"/>
  <c r="M41" i="40" s="1"/>
  <c r="M40" i="40"/>
  <c r="AZ7" i="18"/>
  <c r="G12" i="25" s="1"/>
  <c r="G17" i="14"/>
  <c r="G18" i="14" s="1"/>
  <c r="I34" i="22"/>
  <c r="AN5" i="18" s="1"/>
  <c r="M42" i="40" l="1"/>
  <c r="N38" i="40" s="1"/>
  <c r="N39" i="40" s="1"/>
  <c r="N41" i="40" s="1"/>
  <c r="N40" i="40" l="1"/>
  <c r="N42" i="40"/>
  <c r="O38" i="40" s="1"/>
  <c r="O39" i="40" s="1"/>
  <c r="O41" i="40" s="1"/>
  <c r="O40" i="40"/>
  <c r="F51" i="1"/>
  <c r="E51" i="1"/>
  <c r="O42" i="40" l="1"/>
  <c r="P38" i="40" s="1"/>
  <c r="P40" i="40" s="1"/>
  <c r="K30" i="25"/>
  <c r="K7" i="25" s="1"/>
  <c r="K40" i="25"/>
  <c r="M39" i="25"/>
  <c r="M38" i="25"/>
  <c r="M37" i="25"/>
  <c r="M36" i="25"/>
  <c r="M35" i="25"/>
  <c r="M34" i="25"/>
  <c r="M33" i="25"/>
  <c r="L23" i="25"/>
  <c r="L24" i="25" s="1"/>
  <c r="K8" i="25" s="1"/>
  <c r="K9" i="25" s="1"/>
  <c r="P39" i="40" l="1"/>
  <c r="P41" i="40" s="1"/>
  <c r="Q39" i="40"/>
  <c r="M40" i="25"/>
  <c r="K12" i="25" s="1"/>
  <c r="K16" i="25" s="1"/>
  <c r="M69" i="2" l="1"/>
  <c r="E18" i="41"/>
  <c r="E19" i="41" s="1"/>
  <c r="Q41" i="40"/>
  <c r="M12" i="1" s="1"/>
  <c r="P42" i="40"/>
  <c r="E46" i="40" s="1"/>
  <c r="E48" i="40" s="1"/>
  <c r="H44" i="16"/>
  <c r="I44" i="16" s="1"/>
  <c r="J44" i="16" s="1"/>
  <c r="K44" i="16" s="1"/>
  <c r="E47" i="40" l="1"/>
  <c r="G19" i="41"/>
  <c r="I19" i="41" s="1"/>
  <c r="G24" i="14"/>
  <c r="G25" i="14" s="1"/>
  <c r="E49" i="40"/>
  <c r="E50" i="40" s="1"/>
  <c r="F46" i="40" s="1"/>
  <c r="F32" i="22"/>
  <c r="F34" i="22" s="1"/>
  <c r="AH5" i="18" s="1"/>
  <c r="E11" i="20"/>
  <c r="G11" i="20" s="1"/>
  <c r="F47" i="40" l="1"/>
  <c r="F48" i="40"/>
  <c r="E16" i="20"/>
  <c r="I11" i="20"/>
  <c r="E15" i="20" s="1"/>
  <c r="F49" i="40" l="1"/>
  <c r="F16" i="20"/>
  <c r="E17" i="20"/>
  <c r="E18" i="20" s="1"/>
  <c r="F15" i="20"/>
  <c r="F50" i="40" l="1"/>
  <c r="G46" i="40" s="1"/>
  <c r="G16" i="20"/>
  <c r="F17" i="20"/>
  <c r="F18" i="20" s="1"/>
  <c r="G15" i="20"/>
  <c r="G47" i="40" l="1"/>
  <c r="G48" i="40"/>
  <c r="H16" i="20"/>
  <c r="I16" i="20" s="1"/>
  <c r="H15" i="20"/>
  <c r="I15" i="20" s="1"/>
  <c r="G17" i="20"/>
  <c r="G18" i="20" s="1"/>
  <c r="G49" i="40" l="1"/>
  <c r="I17" i="20"/>
  <c r="I18" i="20" s="1"/>
  <c r="H17" i="20"/>
  <c r="H18" i="20" s="1"/>
  <c r="G50" i="40" l="1"/>
  <c r="H46" i="40" s="1"/>
  <c r="AU7" i="18"/>
  <c r="AT7" i="18"/>
  <c r="F12" i="25" s="1"/>
  <c r="AO7" i="18"/>
  <c r="AN7" i="18"/>
  <c r="E12" i="25" s="1"/>
  <c r="D8" i="39" s="1"/>
  <c r="AI7" i="18"/>
  <c r="AH7" i="18"/>
  <c r="D12" i="25" s="1"/>
  <c r="C8" i="39" s="1"/>
  <c r="B8" i="39" s="1"/>
  <c r="AC7" i="18"/>
  <c r="AB7" i="18"/>
  <c r="W7" i="18"/>
  <c r="U7" i="18"/>
  <c r="Q7" i="18"/>
  <c r="P7" i="18"/>
  <c r="O7" i="18"/>
  <c r="M7" i="18"/>
  <c r="K7" i="18"/>
  <c r="J7" i="18"/>
  <c r="G7" i="18"/>
  <c r="E7" i="18"/>
  <c r="D7" i="18"/>
  <c r="C7" i="18"/>
  <c r="Y6" i="18"/>
  <c r="S6" i="18"/>
  <c r="R6" i="18"/>
  <c r="F6" i="18"/>
  <c r="H6" i="18" s="1"/>
  <c r="I6" i="18" s="1"/>
  <c r="L6" i="18" s="1"/>
  <c r="N6" i="18" s="1"/>
  <c r="X5" i="18"/>
  <c r="S5" i="18"/>
  <c r="R5" i="18"/>
  <c r="F5" i="18"/>
  <c r="H5" i="18" s="1"/>
  <c r="H48" i="40" l="1"/>
  <c r="H47" i="40"/>
  <c r="E8" i="39"/>
  <c r="D17" i="14"/>
  <c r="E17" i="14"/>
  <c r="C17" i="14"/>
  <c r="F17" i="14"/>
  <c r="Y7" i="18"/>
  <c r="T5" i="18"/>
  <c r="S7" i="18"/>
  <c r="T6" i="18"/>
  <c r="H7" i="18"/>
  <c r="I5" i="18"/>
  <c r="Z5" i="18"/>
  <c r="G36" i="1" s="1"/>
  <c r="X6" i="18"/>
  <c r="Z6" i="18" s="1"/>
  <c r="F7" i="18"/>
  <c r="R7" i="18"/>
  <c r="V7" i="18"/>
  <c r="H49" i="40" l="1"/>
  <c r="H50" i="40" s="1"/>
  <c r="I46" i="40" s="1"/>
  <c r="AA6" i="18"/>
  <c r="AE6" i="18" s="1"/>
  <c r="G37" i="1"/>
  <c r="G64" i="2"/>
  <c r="T7" i="18"/>
  <c r="X7" i="18"/>
  <c r="AA5" i="18"/>
  <c r="Z7" i="18"/>
  <c r="I7" i="18"/>
  <c r="L5" i="18"/>
  <c r="I47" i="40" l="1"/>
  <c r="I48" i="40"/>
  <c r="AD6" i="18"/>
  <c r="AF6" i="18" s="1"/>
  <c r="L7" i="18"/>
  <c r="N5" i="18"/>
  <c r="N7" i="18" s="1"/>
  <c r="AA7" i="18"/>
  <c r="AE7" i="18"/>
  <c r="H64" i="2" s="1"/>
  <c r="AD5" i="18"/>
  <c r="I49" i="40" l="1"/>
  <c r="I50" i="40" s="1"/>
  <c r="J46" i="40" s="1"/>
  <c r="AG6" i="18"/>
  <c r="H37" i="1"/>
  <c r="AD7" i="18"/>
  <c r="H66" i="2" s="1"/>
  <c r="H70" i="2" s="1"/>
  <c r="H74" i="2" s="1"/>
  <c r="H76" i="2" s="1"/>
  <c r="AF5" i="18"/>
  <c r="AK6" i="18"/>
  <c r="AJ6" i="18"/>
  <c r="H36" i="1" l="1"/>
  <c r="J47" i="40"/>
  <c r="J49" i="40" s="1"/>
  <c r="J48" i="40"/>
  <c r="AG5" i="18"/>
  <c r="AK5" i="18" s="1"/>
  <c r="AF7" i="18"/>
  <c r="AL6" i="18"/>
  <c r="J50" i="40" l="1"/>
  <c r="K46" i="40" s="1"/>
  <c r="K47" i="40" s="1"/>
  <c r="K49" i="40" s="1"/>
  <c r="K48" i="40"/>
  <c r="AM6" i="18"/>
  <c r="I37" i="1"/>
  <c r="AG7" i="18"/>
  <c r="AK7" i="18"/>
  <c r="AJ5" i="18"/>
  <c r="AQ6" i="18"/>
  <c r="AP6" i="18"/>
  <c r="I64" i="2" l="1"/>
  <c r="K50" i="40"/>
  <c r="L46" i="40" s="1"/>
  <c r="L47" i="40" s="1"/>
  <c r="L49" i="40" s="1"/>
  <c r="D11" i="25"/>
  <c r="AR6" i="18"/>
  <c r="AJ7" i="18"/>
  <c r="AL5" i="18"/>
  <c r="I36" i="1" s="1"/>
  <c r="L48" i="40" l="1"/>
  <c r="L50" i="40"/>
  <c r="M46" i="40" s="1"/>
  <c r="M47" i="40" s="1"/>
  <c r="M49" i="40" s="1"/>
  <c r="AS6" i="18"/>
  <c r="AW6" i="18" s="1"/>
  <c r="J37" i="1"/>
  <c r="AV6" i="18"/>
  <c r="AX6" i="18" s="1"/>
  <c r="AM5" i="18"/>
  <c r="AQ5" i="18" s="1"/>
  <c r="AL7" i="18"/>
  <c r="M48" i="40" l="1"/>
  <c r="M50" i="40"/>
  <c r="N46" i="40" s="1"/>
  <c r="N48" i="40" s="1"/>
  <c r="AY6" i="18"/>
  <c r="K37" i="1"/>
  <c r="BB6" i="18"/>
  <c r="BC6" i="18"/>
  <c r="BD6" i="18" s="1"/>
  <c r="AM7" i="18"/>
  <c r="AQ7" i="18"/>
  <c r="AP5" i="18"/>
  <c r="N47" i="40" l="1"/>
  <c r="N49" i="40" s="1"/>
  <c r="N50" i="40" s="1"/>
  <c r="O46" i="40" s="1"/>
  <c r="J64" i="2"/>
  <c r="BE6" i="18"/>
  <c r="L37" i="1"/>
  <c r="BH6" i="18"/>
  <c r="BI6" i="18"/>
  <c r="AP7" i="18"/>
  <c r="AR5" i="18"/>
  <c r="J36" i="1" s="1"/>
  <c r="E11" i="25" l="1"/>
  <c r="O47" i="40"/>
  <c r="O49" i="40" s="1"/>
  <c r="O48" i="40"/>
  <c r="BJ6" i="18"/>
  <c r="M37" i="1" s="1"/>
  <c r="AS5" i="18"/>
  <c r="AR7" i="18"/>
  <c r="O50" i="40" l="1"/>
  <c r="P46" i="40" s="1"/>
  <c r="P48" i="40" s="1"/>
  <c r="AS7" i="18"/>
  <c r="AW5" i="18"/>
  <c r="AW7" i="18" s="1"/>
  <c r="AV5" i="18"/>
  <c r="K64" i="2" l="1"/>
  <c r="P47" i="40"/>
  <c r="P49" i="40" s="1"/>
  <c r="Q47" i="40"/>
  <c r="AV7" i="18"/>
  <c r="AX5" i="18"/>
  <c r="K36" i="1" s="1"/>
  <c r="Q49" i="40" l="1"/>
  <c r="P50" i="40"/>
  <c r="E54" i="40" s="1"/>
  <c r="E56" i="40" s="1"/>
  <c r="F11" i="25"/>
  <c r="E55" i="40"/>
  <c r="AY5" i="18"/>
  <c r="AX7" i="18"/>
  <c r="M25" i="2"/>
  <c r="M24" i="2" s="1"/>
  <c r="E57" i="40" l="1"/>
  <c r="E58" i="40" s="1"/>
  <c r="F54" i="40" s="1"/>
  <c r="BC5" i="18"/>
  <c r="BC7" i="18" s="1"/>
  <c r="AY7" i="18"/>
  <c r="BB5" i="18"/>
  <c r="L64" i="2" l="1"/>
  <c r="F56" i="40"/>
  <c r="F55" i="40"/>
  <c r="BD5" i="18"/>
  <c r="BE5" i="18" s="1"/>
  <c r="BB7" i="18"/>
  <c r="D9" i="16"/>
  <c r="D35" i="16" s="1"/>
  <c r="G11" i="25" l="1"/>
  <c r="F57" i="40"/>
  <c r="F58" i="40"/>
  <c r="G54" i="40" s="1"/>
  <c r="BH5" i="18"/>
  <c r="BE7" i="18"/>
  <c r="BI5" i="18"/>
  <c r="BI7" i="18" s="1"/>
  <c r="BD7" i="18"/>
  <c r="L36" i="1"/>
  <c r="G4" i="1"/>
  <c r="C4" i="14"/>
  <c r="E4" i="1"/>
  <c r="F4" i="1"/>
  <c r="D4" i="1"/>
  <c r="M64" i="2" l="1"/>
  <c r="G55" i="40"/>
  <c r="G56" i="40"/>
  <c r="H11" i="25"/>
  <c r="BH7" i="18"/>
  <c r="BJ5" i="18"/>
  <c r="G57" i="40" l="1"/>
  <c r="BJ7" i="18"/>
  <c r="M36" i="1"/>
  <c r="D4" i="14"/>
  <c r="G4" i="16" s="1"/>
  <c r="K4" i="2"/>
  <c r="K4" i="1" s="1"/>
  <c r="G58" i="40" l="1"/>
  <c r="H54" i="40" s="1"/>
  <c r="E4" i="14"/>
  <c r="H4" i="16" s="1"/>
  <c r="L4" i="2"/>
  <c r="M4" i="2" l="1"/>
  <c r="M4" i="1" s="1"/>
  <c r="L4" i="1"/>
  <c r="H56" i="40"/>
  <c r="H55" i="40"/>
  <c r="G4" i="14"/>
  <c r="F4" i="14"/>
  <c r="I4" i="16" s="1"/>
  <c r="H57" i="40" l="1"/>
  <c r="H58" i="40"/>
  <c r="I54" i="40" s="1"/>
  <c r="J4" i="16"/>
  <c r="I56" i="40" l="1"/>
  <c r="I55" i="40"/>
  <c r="D27" i="16"/>
  <c r="I57" i="40" l="1"/>
  <c r="I58" i="40" s="1"/>
  <c r="J54" i="40" s="1"/>
  <c r="G11" i="2"/>
  <c r="J56" i="40" l="1"/>
  <c r="J55" i="40"/>
  <c r="J57" i="40" s="1"/>
  <c r="B9" i="16"/>
  <c r="B35" i="16" s="1"/>
  <c r="B8" i="16"/>
  <c r="B34" i="16" s="1"/>
  <c r="J58" i="40" l="1"/>
  <c r="K54" i="40" s="1"/>
  <c r="D19" i="16"/>
  <c r="D40" i="16" s="1"/>
  <c r="D20" i="16"/>
  <c r="G20" i="16" s="1"/>
  <c r="H20" i="16" s="1"/>
  <c r="I20" i="16" s="1"/>
  <c r="J20" i="16" s="1"/>
  <c r="D21" i="16"/>
  <c r="D41" i="16" s="1"/>
  <c r="D22" i="16"/>
  <c r="D42" i="16" s="1"/>
  <c r="E42" i="16" s="1"/>
  <c r="F42" i="16" s="1"/>
  <c r="G42" i="16" s="1"/>
  <c r="H42" i="16" s="1"/>
  <c r="B19" i="16"/>
  <c r="B40" i="16" s="1"/>
  <c r="B20" i="16"/>
  <c r="B21" i="16"/>
  <c r="B41" i="16" s="1"/>
  <c r="B22" i="16"/>
  <c r="B42" i="16" s="1"/>
  <c r="K56" i="40" l="1"/>
  <c r="K55" i="40"/>
  <c r="K57" i="40" s="1"/>
  <c r="K20" i="16"/>
  <c r="B18" i="16"/>
  <c r="D18" i="16"/>
  <c r="K58" i="40" l="1"/>
  <c r="L54" i="40" s="1"/>
  <c r="D24" i="16"/>
  <c r="D39" i="16"/>
  <c r="G19" i="1"/>
  <c r="G21" i="1"/>
  <c r="H21" i="1" s="1"/>
  <c r="H32" i="1" s="1"/>
  <c r="I21" i="1" l="1"/>
  <c r="J21" i="1" s="1"/>
  <c r="K21" i="1" s="1"/>
  <c r="L21" i="1" s="1"/>
  <c r="M21" i="1" s="1"/>
  <c r="L56" i="40"/>
  <c r="L55" i="40"/>
  <c r="L57" i="40" s="1"/>
  <c r="G51" i="1"/>
  <c r="H51" i="1"/>
  <c r="E47" i="1"/>
  <c r="F47" i="1"/>
  <c r="D47" i="1"/>
  <c r="L58" i="40" l="1"/>
  <c r="M54" i="40" s="1"/>
  <c r="C26" i="25"/>
  <c r="I42" i="16"/>
  <c r="J42" i="16" s="1"/>
  <c r="K42" i="16" s="1"/>
  <c r="I40" i="16"/>
  <c r="J40" i="16" s="1"/>
  <c r="K40" i="16" s="1"/>
  <c r="M56" i="40" l="1"/>
  <c r="M55" i="40"/>
  <c r="M57" i="40" s="1"/>
  <c r="C27" i="2"/>
  <c r="C37" i="2"/>
  <c r="C59" i="2"/>
  <c r="C35" i="2"/>
  <c r="C39" i="2"/>
  <c r="C33" i="2"/>
  <c r="M58" i="40" l="1"/>
  <c r="N54" i="40" s="1"/>
  <c r="D32" i="1"/>
  <c r="N56" i="40" l="1"/>
  <c r="N55" i="40"/>
  <c r="N57" i="40" s="1"/>
  <c r="N58" i="40" l="1"/>
  <c r="O54" i="40" s="1"/>
  <c r="E52" i="1"/>
  <c r="E32" i="1"/>
  <c r="E53" i="1"/>
  <c r="E55" i="1" s="1"/>
  <c r="D48" i="1"/>
  <c r="O55" i="40" l="1"/>
  <c r="O57" i="40" s="1"/>
  <c r="O56" i="40"/>
  <c r="F52" i="1"/>
  <c r="F53" i="1" s="1"/>
  <c r="F55" i="1" s="1"/>
  <c r="F32" i="1"/>
  <c r="E56" i="1"/>
  <c r="E48" i="1"/>
  <c r="D8" i="16"/>
  <c r="D34" i="16" s="1"/>
  <c r="O58" i="40" l="1"/>
  <c r="P54" i="40" s="1"/>
  <c r="P56" i="40" s="1"/>
  <c r="D14" i="16"/>
  <c r="D26" i="16" s="1"/>
  <c r="F56" i="1"/>
  <c r="F48" i="1"/>
  <c r="P55" i="40" l="1"/>
  <c r="P57" i="40"/>
  <c r="Q57" i="40" s="1"/>
  <c r="Q55" i="40"/>
  <c r="P58" i="40"/>
  <c r="E62" i="40" s="1"/>
  <c r="H34" i="16"/>
  <c r="E64" i="40" l="1"/>
  <c r="E63" i="40"/>
  <c r="I34" i="16"/>
  <c r="E65" i="40" l="1"/>
  <c r="J34" i="16"/>
  <c r="C18" i="14"/>
  <c r="E66" i="40" l="1"/>
  <c r="F62" i="40" s="1"/>
  <c r="K34" i="16"/>
  <c r="D18" i="14"/>
  <c r="F64" i="40" l="1"/>
  <c r="F63" i="40"/>
  <c r="E18" i="14"/>
  <c r="F65" i="40" l="1"/>
  <c r="F66" i="40"/>
  <c r="G62" i="40" s="1"/>
  <c r="F18" i="14"/>
  <c r="G64" i="40" l="1"/>
  <c r="G63" i="40"/>
  <c r="G9" i="2"/>
  <c r="G65" i="40" l="1"/>
  <c r="G66" i="40"/>
  <c r="H62" i="40" s="1"/>
  <c r="H64" i="40" l="1"/>
  <c r="H63" i="40"/>
  <c r="H65" i="40" s="1"/>
  <c r="H66" i="40" l="1"/>
  <c r="I62" i="40" s="1"/>
  <c r="I63" i="40"/>
  <c r="I65" i="40" s="1"/>
  <c r="I64" i="40"/>
  <c r="I66" i="40" s="1"/>
  <c r="J62" i="40" s="1"/>
  <c r="E28" i="16"/>
  <c r="E24" i="16"/>
  <c r="J63" i="40" l="1"/>
  <c r="J65" i="40" s="1"/>
  <c r="J64" i="40"/>
  <c r="J66" i="40" s="1"/>
  <c r="K62" i="40" s="1"/>
  <c r="E25" i="16"/>
  <c r="G16" i="2"/>
  <c r="K63" i="40" l="1"/>
  <c r="K65" i="40" s="1"/>
  <c r="K64" i="40"/>
  <c r="G60" i="2"/>
  <c r="G18" i="2"/>
  <c r="G19" i="2" s="1"/>
  <c r="K66" i="40" l="1"/>
  <c r="L62" i="40" s="1"/>
  <c r="L63" i="40"/>
  <c r="L65" i="40" s="1"/>
  <c r="L64" i="40"/>
  <c r="G62" i="2"/>
  <c r="G63" i="2" s="1"/>
  <c r="E29" i="16"/>
  <c r="L66" i="40" l="1"/>
  <c r="M62" i="40" s="1"/>
  <c r="M64" i="40" s="1"/>
  <c r="G66" i="2"/>
  <c r="G70" i="2" s="1"/>
  <c r="E15" i="16"/>
  <c r="E27" i="16" s="1"/>
  <c r="E26" i="16"/>
  <c r="M63" i="40" l="1"/>
  <c r="M65" i="40" s="1"/>
  <c r="M66" i="40"/>
  <c r="N62" i="40" s="1"/>
  <c r="N64" i="40"/>
  <c r="N63" i="40"/>
  <c r="N65" i="40" s="1"/>
  <c r="G74" i="2"/>
  <c r="G72" i="2"/>
  <c r="H72" i="2" s="1"/>
  <c r="N66" i="40" l="1"/>
  <c r="O62" i="40" s="1"/>
  <c r="O64" i="40"/>
  <c r="O63" i="40"/>
  <c r="O65" i="40" s="1"/>
  <c r="G52" i="1"/>
  <c r="G53" i="1" s="1"/>
  <c r="G55" i="1" s="1"/>
  <c r="G32" i="1"/>
  <c r="O66" i="40" l="1"/>
  <c r="P62" i="40" s="1"/>
  <c r="P64" i="40" s="1"/>
  <c r="P63" i="40"/>
  <c r="G56" i="1"/>
  <c r="G47" i="1"/>
  <c r="E30" i="16"/>
  <c r="Q63" i="40" l="1"/>
  <c r="P65" i="40"/>
  <c r="Q65" i="40" s="1"/>
  <c r="P66" i="40"/>
  <c r="G48" i="1"/>
  <c r="G32" i="34" l="1"/>
  <c r="E32" i="34"/>
  <c r="F32" i="34"/>
  <c r="F33" i="34" s="1"/>
  <c r="C76" i="36" s="1"/>
  <c r="H32" i="34"/>
  <c r="H33" i="34" s="1"/>
  <c r="C78" i="36" s="1"/>
  <c r="I78" i="36" l="1"/>
  <c r="J78" i="36"/>
  <c r="K78" i="36"/>
  <c r="L78" i="36"/>
  <c r="M78" i="36"/>
  <c r="N78" i="36"/>
  <c r="O78" i="36"/>
  <c r="P78" i="36"/>
  <c r="Q78" i="36"/>
  <c r="R78" i="36"/>
  <c r="S78" i="36"/>
  <c r="T78" i="36"/>
  <c r="U78" i="36"/>
  <c r="V78" i="36"/>
  <c r="W78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D78" i="36"/>
  <c r="E78" i="36"/>
  <c r="F78" i="36"/>
  <c r="G78" i="36"/>
  <c r="H78" i="36"/>
  <c r="D76" i="36"/>
  <c r="E76" i="36"/>
  <c r="F76" i="36"/>
  <c r="G76" i="36"/>
  <c r="H76" i="36"/>
  <c r="F34" i="34"/>
  <c r="H34" i="34"/>
  <c r="E33" i="34"/>
  <c r="G33" i="34"/>
  <c r="E34" i="34" l="1"/>
  <c r="C75" i="36"/>
  <c r="G34" i="34"/>
  <c r="C77" i="36"/>
  <c r="G35" i="34"/>
  <c r="G36" i="34" s="1"/>
  <c r="E35" i="34"/>
  <c r="E36" i="34" s="1"/>
  <c r="H35" i="34"/>
  <c r="H36" i="34" s="1"/>
  <c r="F35" i="34"/>
  <c r="F36" i="34" s="1"/>
  <c r="I75" i="36" l="1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I77" i="36"/>
  <c r="K77" i="36"/>
  <c r="J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D77" i="36"/>
  <c r="E77" i="36"/>
  <c r="F77" i="36"/>
  <c r="G77" i="36"/>
  <c r="H77" i="36"/>
  <c r="D75" i="36"/>
  <c r="E75" i="36"/>
  <c r="F75" i="36"/>
  <c r="G75" i="36"/>
  <c r="H75" i="36"/>
  <c r="F37" i="34"/>
  <c r="F38" i="34" s="1"/>
  <c r="H37" i="34"/>
  <c r="H38" i="34" s="1"/>
  <c r="H10" i="34" s="1"/>
  <c r="G37" i="34"/>
  <c r="G38" i="34" s="1"/>
  <c r="E37" i="34"/>
  <c r="E38" i="34" s="1"/>
  <c r="I10" i="34" l="1"/>
  <c r="C11" i="36"/>
  <c r="E39" i="34"/>
  <c r="E40" i="34" s="1"/>
  <c r="H7" i="34"/>
  <c r="C8" i="36" s="1"/>
  <c r="H9" i="34"/>
  <c r="G39" i="34"/>
  <c r="G40" i="34" s="1"/>
  <c r="H8" i="34"/>
  <c r="F39" i="34"/>
  <c r="F40" i="34" s="1"/>
  <c r="H39" i="34"/>
  <c r="H40" i="34" s="1"/>
  <c r="I35" i="36" l="1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D35" i="36"/>
  <c r="E35" i="36"/>
  <c r="F35" i="36"/>
  <c r="G35" i="36"/>
  <c r="H35" i="36"/>
  <c r="D32" i="36"/>
  <c r="E32" i="36"/>
  <c r="F32" i="36"/>
  <c r="G32" i="36"/>
  <c r="H32" i="36"/>
  <c r="I8" i="34"/>
  <c r="C9" i="36"/>
  <c r="I9" i="34"/>
  <c r="C10" i="36"/>
  <c r="I7" i="34"/>
  <c r="J31" i="34"/>
  <c r="G41" i="34"/>
  <c r="G42" i="34" s="1"/>
  <c r="H41" i="34"/>
  <c r="H42" i="34" s="1"/>
  <c r="F41" i="34"/>
  <c r="F42" i="34" s="1"/>
  <c r="E41" i="34"/>
  <c r="E42" i="34" s="1"/>
  <c r="I34" i="36" l="1"/>
  <c r="K34" i="36"/>
  <c r="J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D34" i="36"/>
  <c r="E34" i="36"/>
  <c r="F34" i="36"/>
  <c r="G34" i="36"/>
  <c r="H34" i="36"/>
  <c r="D33" i="36"/>
  <c r="E33" i="36"/>
  <c r="F33" i="36"/>
  <c r="G33" i="36"/>
  <c r="H33" i="36"/>
  <c r="J32" i="34"/>
  <c r="J33" i="34" s="1"/>
  <c r="C67" i="36"/>
  <c r="F43" i="34"/>
  <c r="F44" i="34" s="1"/>
  <c r="H43" i="34"/>
  <c r="H44" i="34" s="1"/>
  <c r="G43" i="34"/>
  <c r="G44" i="34" s="1"/>
  <c r="E43" i="34"/>
  <c r="E44" i="34" s="1"/>
  <c r="I67" i="36" l="1"/>
  <c r="I71" i="36" s="1"/>
  <c r="J67" i="36"/>
  <c r="J71" i="36" s="1"/>
  <c r="K67" i="36"/>
  <c r="K71" i="36" s="1"/>
  <c r="L67" i="36"/>
  <c r="L71" i="36" s="1"/>
  <c r="M67" i="36"/>
  <c r="M71" i="36" s="1"/>
  <c r="N67" i="36"/>
  <c r="N71" i="36" s="1"/>
  <c r="O67" i="36"/>
  <c r="O71" i="36" s="1"/>
  <c r="P67" i="36"/>
  <c r="P71" i="36" s="1"/>
  <c r="Q67" i="36"/>
  <c r="Q71" i="36" s="1"/>
  <c r="R67" i="36"/>
  <c r="R71" i="36" s="1"/>
  <c r="S67" i="36"/>
  <c r="S71" i="36" s="1"/>
  <c r="T67" i="36"/>
  <c r="T71" i="36" s="1"/>
  <c r="U67" i="36"/>
  <c r="U71" i="36" s="1"/>
  <c r="V67" i="36"/>
  <c r="V71" i="36" s="1"/>
  <c r="W67" i="36"/>
  <c r="W71" i="36" s="1"/>
  <c r="D67" i="36"/>
  <c r="D71" i="36" s="1"/>
  <c r="E67" i="36"/>
  <c r="E71" i="36" s="1"/>
  <c r="F67" i="36"/>
  <c r="F71" i="36" s="1"/>
  <c r="G67" i="36"/>
  <c r="G71" i="36" s="1"/>
  <c r="H67" i="36"/>
  <c r="H71" i="36" s="1"/>
  <c r="J34" i="34"/>
  <c r="J35" i="34" s="1"/>
  <c r="J36" i="34" s="1"/>
  <c r="J37" i="34" s="1"/>
  <c r="J38" i="34" s="1"/>
  <c r="C80" i="36"/>
  <c r="E45" i="34"/>
  <c r="E46" i="34" s="1"/>
  <c r="H45" i="34"/>
  <c r="H46" i="34" s="1"/>
  <c r="G45" i="34"/>
  <c r="G46" i="34" s="1"/>
  <c r="F45" i="34"/>
  <c r="F46" i="34" s="1"/>
  <c r="I80" i="36" l="1"/>
  <c r="I84" i="36" s="1"/>
  <c r="J80" i="36"/>
  <c r="J84" i="36" s="1"/>
  <c r="K80" i="36"/>
  <c r="K84" i="36" s="1"/>
  <c r="L80" i="36"/>
  <c r="L84" i="36" s="1"/>
  <c r="M80" i="36"/>
  <c r="M84" i="36" s="1"/>
  <c r="N80" i="36"/>
  <c r="N84" i="36" s="1"/>
  <c r="O80" i="36"/>
  <c r="O84" i="36" s="1"/>
  <c r="P80" i="36"/>
  <c r="P84" i="36" s="1"/>
  <c r="Q80" i="36"/>
  <c r="Q84" i="36" s="1"/>
  <c r="R80" i="36"/>
  <c r="R84" i="36" s="1"/>
  <c r="S80" i="36"/>
  <c r="S84" i="36" s="1"/>
  <c r="T80" i="36"/>
  <c r="T84" i="36" s="1"/>
  <c r="U80" i="36"/>
  <c r="U84" i="36" s="1"/>
  <c r="V80" i="36"/>
  <c r="V84" i="36" s="1"/>
  <c r="W80" i="36"/>
  <c r="W84" i="36" s="1"/>
  <c r="D80" i="36"/>
  <c r="D84" i="36" s="1"/>
  <c r="E80" i="36"/>
  <c r="E84" i="36" s="1"/>
  <c r="F80" i="36"/>
  <c r="F84" i="36" s="1"/>
  <c r="G80" i="36"/>
  <c r="G84" i="36" s="1"/>
  <c r="H80" i="36"/>
  <c r="H84" i="36" s="1"/>
  <c r="H12" i="34"/>
  <c r="J39" i="34"/>
  <c r="J40" i="34" s="1"/>
  <c r="J41" i="34" s="1"/>
  <c r="J42" i="34" s="1"/>
  <c r="J43" i="34" s="1"/>
  <c r="J44" i="34" s="1"/>
  <c r="J45" i="34" s="1"/>
  <c r="J46" i="34" s="1"/>
  <c r="C13" i="36" l="1"/>
  <c r="I12" i="34"/>
  <c r="I16" i="34" s="1"/>
  <c r="J16" i="34" s="1"/>
  <c r="H20" i="34" s="1"/>
  <c r="H16" i="34"/>
  <c r="I37" i="36" l="1"/>
  <c r="I41" i="36" s="1"/>
  <c r="L8" i="19" s="1"/>
  <c r="J37" i="36"/>
  <c r="J41" i="36" s="1"/>
  <c r="M8" i="19" s="1"/>
  <c r="K37" i="36"/>
  <c r="K41" i="36" s="1"/>
  <c r="N8" i="19" s="1"/>
  <c r="L37" i="36"/>
  <c r="L41" i="36" s="1"/>
  <c r="O8" i="19" s="1"/>
  <c r="M37" i="36"/>
  <c r="M41" i="36" s="1"/>
  <c r="P8" i="19" s="1"/>
  <c r="N37" i="36"/>
  <c r="N41" i="36" s="1"/>
  <c r="Q8" i="19" s="1"/>
  <c r="O37" i="36"/>
  <c r="O41" i="36" s="1"/>
  <c r="R8" i="19" s="1"/>
  <c r="P37" i="36"/>
  <c r="P41" i="36" s="1"/>
  <c r="S8" i="19" s="1"/>
  <c r="Q37" i="36"/>
  <c r="Q41" i="36" s="1"/>
  <c r="T8" i="19" s="1"/>
  <c r="R37" i="36"/>
  <c r="R41" i="36" s="1"/>
  <c r="U8" i="19" s="1"/>
  <c r="S37" i="36"/>
  <c r="S41" i="36" s="1"/>
  <c r="V8" i="19" s="1"/>
  <c r="T37" i="36"/>
  <c r="T41" i="36" s="1"/>
  <c r="U37" i="36"/>
  <c r="U41" i="36" s="1"/>
  <c r="V37" i="36"/>
  <c r="V41" i="36" s="1"/>
  <c r="W37" i="36"/>
  <c r="W41" i="36" s="1"/>
  <c r="D37" i="36"/>
  <c r="D41" i="36" s="1"/>
  <c r="E37" i="36"/>
  <c r="E41" i="36" s="1"/>
  <c r="H8" i="19" s="1"/>
  <c r="F37" i="36"/>
  <c r="F41" i="36" s="1"/>
  <c r="I8" i="19" s="1"/>
  <c r="G37" i="36"/>
  <c r="G41" i="36" s="1"/>
  <c r="J8" i="19" s="1"/>
  <c r="H37" i="36"/>
  <c r="H41" i="36" s="1"/>
  <c r="K8" i="19" s="1"/>
  <c r="H22" i="34"/>
  <c r="H23" i="34" s="1"/>
  <c r="I20" i="34"/>
  <c r="D58" i="36" l="1"/>
  <c r="G8" i="19"/>
  <c r="S42" i="36"/>
  <c r="S58" i="36"/>
  <c r="K42" i="36"/>
  <c r="K58" i="36"/>
  <c r="N42" i="36"/>
  <c r="N58" i="36"/>
  <c r="T42" i="36"/>
  <c r="T58" i="36"/>
  <c r="P42" i="36"/>
  <c r="P58" i="36"/>
  <c r="L42" i="36"/>
  <c r="L58" i="36"/>
  <c r="W42" i="36"/>
  <c r="W58" i="36"/>
  <c r="O42" i="36"/>
  <c r="O58" i="36"/>
  <c r="V42" i="36"/>
  <c r="V58" i="36"/>
  <c r="R42" i="36"/>
  <c r="R58" i="36"/>
  <c r="J42" i="36"/>
  <c r="J58" i="36"/>
  <c r="U42" i="36"/>
  <c r="U58" i="36"/>
  <c r="Q42" i="36"/>
  <c r="Q58" i="36"/>
  <c r="M42" i="36"/>
  <c r="M58" i="36"/>
  <c r="I42" i="36"/>
  <c r="I58" i="36"/>
  <c r="E42" i="36"/>
  <c r="E58" i="36"/>
  <c r="G42" i="36"/>
  <c r="G58" i="36"/>
  <c r="C11" i="19"/>
  <c r="F42" i="36"/>
  <c r="F58" i="36"/>
  <c r="H42" i="36"/>
  <c r="H58" i="36"/>
  <c r="J20" i="34"/>
  <c r="I22" i="34"/>
  <c r="I23" i="34" s="1"/>
  <c r="N15" i="19"/>
  <c r="V15" i="19" l="1"/>
  <c r="R15" i="19"/>
  <c r="J22" i="34"/>
  <c r="J23" i="34" s="1"/>
  <c r="K20" i="34"/>
  <c r="F15" i="19"/>
  <c r="J15" i="19"/>
  <c r="K22" i="34" l="1"/>
  <c r="K23" i="34" s="1"/>
  <c r="L20" i="34"/>
  <c r="L22" i="34" s="1"/>
  <c r="L23" i="34" s="1"/>
  <c r="I41" i="16"/>
  <c r="J41" i="16" s="1"/>
  <c r="K41" i="16" s="1"/>
  <c r="F28" i="16" l="1"/>
  <c r="F24" i="16"/>
  <c r="F25" i="16" s="1"/>
  <c r="F14" i="16" l="1"/>
  <c r="F29" i="16"/>
  <c r="F30" i="16" s="1"/>
  <c r="F15" i="16" l="1"/>
  <c r="F27" i="16" s="1"/>
  <c r="F26" i="16"/>
  <c r="H52" i="1" l="1"/>
  <c r="H47" i="1"/>
  <c r="P55" i="25" l="1"/>
  <c r="O55" i="25"/>
  <c r="H48" i="1"/>
  <c r="H53" i="1"/>
  <c r="H55" i="1" s="1"/>
  <c r="H56" i="1" l="1"/>
  <c r="I51" i="1" l="1"/>
  <c r="J51" i="1" l="1"/>
  <c r="K51" i="1" l="1"/>
  <c r="L51" i="1" l="1"/>
  <c r="M51" i="1" l="1"/>
  <c r="E7" i="31" l="1"/>
  <c r="E14" i="31" l="1"/>
  <c r="E36" i="31" s="1"/>
  <c r="E19" i="31"/>
  <c r="E12" i="31"/>
  <c r="E18" i="31"/>
  <c r="E40" i="31" s="1"/>
  <c r="E59" i="31"/>
  <c r="E15" i="31"/>
  <c r="E17" i="31"/>
  <c r="E16" i="31"/>
  <c r="E13" i="31"/>
  <c r="E8" i="31"/>
  <c r="E10" i="31" s="1"/>
  <c r="E48" i="31" l="1"/>
  <c r="E53" i="31"/>
  <c r="E41" i="31"/>
  <c r="E20" i="31"/>
  <c r="E34" i="31"/>
  <c r="E46" i="31"/>
  <c r="E52" i="31"/>
  <c r="E38" i="31"/>
  <c r="E50" i="31"/>
  <c r="E51" i="31"/>
  <c r="E39" i="31"/>
  <c r="E37" i="31"/>
  <c r="E49" i="31"/>
  <c r="E35" i="31"/>
  <c r="E47" i="31"/>
  <c r="E42" i="31" l="1"/>
  <c r="E54" i="31"/>
  <c r="D23" i="19" s="1"/>
  <c r="E65" i="31" l="1"/>
  <c r="E60" i="31"/>
  <c r="D9" i="19"/>
  <c r="D38" i="19" s="1"/>
  <c r="D40" i="19" s="1"/>
  <c r="D25" i="19"/>
  <c r="E57" i="31"/>
  <c r="E61" i="31" l="1"/>
  <c r="D11" i="19"/>
  <c r="F7" i="31" l="1"/>
  <c r="F19" i="31" s="1"/>
  <c r="F53" i="31" l="1"/>
  <c r="F41" i="31"/>
  <c r="F16" i="31"/>
  <c r="F17" i="31"/>
  <c r="F15" i="31"/>
  <c r="F14" i="31"/>
  <c r="F18" i="31"/>
  <c r="F59" i="31"/>
  <c r="F13" i="31"/>
  <c r="F8" i="31"/>
  <c r="F10" i="31" s="1"/>
  <c r="F12" i="31"/>
  <c r="G7" i="31"/>
  <c r="G19" i="31" s="1"/>
  <c r="F20" i="31" l="1"/>
  <c r="G53" i="31"/>
  <c r="G41" i="31"/>
  <c r="F48" i="31"/>
  <c r="F36" i="31"/>
  <c r="G59" i="31"/>
  <c r="G8" i="31"/>
  <c r="G10" i="31" s="1"/>
  <c r="G15" i="31"/>
  <c r="G16" i="31"/>
  <c r="G17" i="31"/>
  <c r="G14" i="31"/>
  <c r="G13" i="31"/>
  <c r="G18" i="31"/>
  <c r="G12" i="31"/>
  <c r="I46" i="2" s="1"/>
  <c r="F39" i="31"/>
  <c r="F51" i="31"/>
  <c r="F35" i="31"/>
  <c r="F47" i="31"/>
  <c r="F52" i="31"/>
  <c r="F40" i="31"/>
  <c r="F37" i="31"/>
  <c r="F49" i="31"/>
  <c r="I6" i="31"/>
  <c r="H7" i="31"/>
  <c r="H19" i="31" s="1"/>
  <c r="F46" i="31"/>
  <c r="F34" i="31"/>
  <c r="F50" i="31"/>
  <c r="F38" i="31"/>
  <c r="F54" i="31" l="1"/>
  <c r="G20" i="31"/>
  <c r="H53" i="31"/>
  <c r="H41" i="31"/>
  <c r="F42" i="31"/>
  <c r="F60" i="31" s="1"/>
  <c r="G36" i="31"/>
  <c r="G48" i="31"/>
  <c r="I7" i="31"/>
  <c r="I19" i="31" s="1"/>
  <c r="J6" i="31"/>
  <c r="G51" i="31"/>
  <c r="G39" i="31"/>
  <c r="H13" i="31"/>
  <c r="H59" i="31"/>
  <c r="H8" i="31"/>
  <c r="H10" i="31" s="1"/>
  <c r="H17" i="31"/>
  <c r="H18" i="31"/>
  <c r="H15" i="31"/>
  <c r="H16" i="31"/>
  <c r="H14" i="31"/>
  <c r="H12" i="31"/>
  <c r="G49" i="31"/>
  <c r="G37" i="31"/>
  <c r="G46" i="31"/>
  <c r="G54" i="31" s="1"/>
  <c r="G34" i="31"/>
  <c r="G40" i="31"/>
  <c r="G52" i="31"/>
  <c r="G38" i="31"/>
  <c r="G50" i="31"/>
  <c r="G47" i="31"/>
  <c r="G35" i="31"/>
  <c r="H20" i="31" l="1"/>
  <c r="F43" i="31"/>
  <c r="G42" i="31"/>
  <c r="I53" i="31"/>
  <c r="I41" i="31"/>
  <c r="E9" i="19"/>
  <c r="E11" i="19" s="1"/>
  <c r="H48" i="31"/>
  <c r="H36" i="31"/>
  <c r="H37" i="31"/>
  <c r="H49" i="31"/>
  <c r="J7" i="31"/>
  <c r="J19" i="31" s="1"/>
  <c r="K6" i="31"/>
  <c r="H47" i="31"/>
  <c r="H35" i="31"/>
  <c r="H40" i="31"/>
  <c r="H52" i="31"/>
  <c r="I17" i="31"/>
  <c r="I18" i="31"/>
  <c r="I14" i="31"/>
  <c r="I13" i="31"/>
  <c r="I16" i="31"/>
  <c r="I15" i="31"/>
  <c r="I59" i="31"/>
  <c r="I8" i="31"/>
  <c r="I10" i="31" s="1"/>
  <c r="I12" i="31"/>
  <c r="H34" i="31"/>
  <c r="H46" i="31"/>
  <c r="F65" i="31"/>
  <c r="F55" i="31"/>
  <c r="F57" i="31"/>
  <c r="E23" i="19"/>
  <c r="H39" i="31"/>
  <c r="H51" i="31"/>
  <c r="H50" i="31"/>
  <c r="H38" i="31"/>
  <c r="F61" i="31"/>
  <c r="I20" i="31" l="1"/>
  <c r="H54" i="31"/>
  <c r="J53" i="31"/>
  <c r="J41" i="31"/>
  <c r="H42" i="31"/>
  <c r="J16" i="31"/>
  <c r="J14" i="31"/>
  <c r="J17" i="31"/>
  <c r="J15" i="31"/>
  <c r="J12" i="31"/>
  <c r="J13" i="31"/>
  <c r="J18" i="31"/>
  <c r="J59" i="31"/>
  <c r="J8" i="31"/>
  <c r="J10" i="31" s="1"/>
  <c r="I40" i="31"/>
  <c r="I52" i="31"/>
  <c r="I34" i="31"/>
  <c r="I46" i="31"/>
  <c r="I51" i="31"/>
  <c r="I39" i="31"/>
  <c r="F23" i="19"/>
  <c r="F30" i="19" s="1"/>
  <c r="F32" i="19" s="1"/>
  <c r="G57" i="31"/>
  <c r="G65" i="31"/>
  <c r="G66" i="31" s="1"/>
  <c r="G55" i="31"/>
  <c r="I35" i="31"/>
  <c r="I47" i="31"/>
  <c r="I38" i="31"/>
  <c r="I50" i="31"/>
  <c r="K7" i="31"/>
  <c r="K19" i="31" s="1"/>
  <c r="L6" i="31"/>
  <c r="I36" i="31"/>
  <c r="I48" i="31"/>
  <c r="E38" i="19"/>
  <c r="E40" i="19" s="1"/>
  <c r="E25" i="19"/>
  <c r="I37" i="31"/>
  <c r="I49" i="31"/>
  <c r="F9" i="19"/>
  <c r="G43" i="31"/>
  <c r="G60" i="31"/>
  <c r="K53" i="31" l="1"/>
  <c r="K41" i="31"/>
  <c r="I54" i="31"/>
  <c r="J20" i="31"/>
  <c r="I42" i="31"/>
  <c r="J35" i="31"/>
  <c r="J47" i="31"/>
  <c r="J52" i="31"/>
  <c r="J40" i="31"/>
  <c r="M6" i="31"/>
  <c r="L7" i="31"/>
  <c r="L19" i="31" s="1"/>
  <c r="H43" i="31"/>
  <c r="H60" i="31"/>
  <c r="G9" i="19"/>
  <c r="J34" i="31"/>
  <c r="J46" i="31"/>
  <c r="K17" i="31"/>
  <c r="K8" i="31"/>
  <c r="K10" i="31" s="1"/>
  <c r="K14" i="31"/>
  <c r="K16" i="31"/>
  <c r="K15" i="31"/>
  <c r="K13" i="31"/>
  <c r="K12" i="31"/>
  <c r="K18" i="31"/>
  <c r="K59" i="31"/>
  <c r="J51" i="31"/>
  <c r="J39" i="31"/>
  <c r="F11" i="19"/>
  <c r="F16" i="19"/>
  <c r="J37" i="31"/>
  <c r="J49" i="31"/>
  <c r="F38" i="19"/>
  <c r="F40" i="19" s="1"/>
  <c r="F25" i="19"/>
  <c r="H55" i="31"/>
  <c r="H65" i="31"/>
  <c r="H57" i="31"/>
  <c r="G23" i="19"/>
  <c r="J36" i="31"/>
  <c r="J48" i="31"/>
  <c r="G61" i="31"/>
  <c r="G64" i="31"/>
  <c r="G67" i="31" s="1"/>
  <c r="F33" i="19"/>
  <c r="F34" i="19" s="1"/>
  <c r="I12" i="2" s="1"/>
  <c r="J38" i="31"/>
  <c r="J50" i="31"/>
  <c r="J46" i="2" l="1"/>
  <c r="K20" i="31"/>
  <c r="J54" i="31"/>
  <c r="L53" i="31"/>
  <c r="L41" i="31"/>
  <c r="J42" i="31"/>
  <c r="L16" i="31"/>
  <c r="L17" i="31"/>
  <c r="L59" i="31"/>
  <c r="L18" i="31"/>
  <c r="L14" i="31"/>
  <c r="L15" i="31"/>
  <c r="L13" i="31"/>
  <c r="L8" i="31"/>
  <c r="L10" i="31" s="1"/>
  <c r="L12" i="31"/>
  <c r="K40" i="31"/>
  <c r="K52" i="31"/>
  <c r="N6" i="31"/>
  <c r="M7" i="31"/>
  <c r="M19" i="31" s="1"/>
  <c r="F41" i="16"/>
  <c r="F18" i="19"/>
  <c r="K49" i="31"/>
  <c r="K37" i="31"/>
  <c r="G11" i="19"/>
  <c r="K39" i="31"/>
  <c r="K51" i="31"/>
  <c r="K46" i="31"/>
  <c r="K34" i="31"/>
  <c r="G25" i="19"/>
  <c r="G38" i="19"/>
  <c r="G40" i="19" s="1"/>
  <c r="K35" i="31"/>
  <c r="K47" i="31"/>
  <c r="K38" i="31"/>
  <c r="K50" i="31"/>
  <c r="H61" i="31"/>
  <c r="I60" i="31"/>
  <c r="I61" i="31" s="1"/>
  <c r="I43" i="31"/>
  <c r="H9" i="19"/>
  <c r="H11" i="19" s="1"/>
  <c r="I26" i="2"/>
  <c r="C14" i="39"/>
  <c r="I65" i="31"/>
  <c r="I55" i="31"/>
  <c r="I57" i="31"/>
  <c r="H23" i="19"/>
  <c r="K48" i="31"/>
  <c r="K36" i="31"/>
  <c r="K42" i="31" l="1"/>
  <c r="K54" i="31"/>
  <c r="M53" i="31"/>
  <c r="M41" i="31"/>
  <c r="L20" i="31"/>
  <c r="O6" i="31"/>
  <c r="N7" i="31"/>
  <c r="N19" i="31" s="1"/>
  <c r="L48" i="31"/>
  <c r="L36" i="31"/>
  <c r="H38" i="19"/>
  <c r="H40" i="19" s="1"/>
  <c r="H25" i="19"/>
  <c r="L47" i="31"/>
  <c r="L35" i="31"/>
  <c r="M14" i="31"/>
  <c r="M13" i="31"/>
  <c r="M17" i="31"/>
  <c r="M59" i="31"/>
  <c r="M18" i="31"/>
  <c r="M8" i="31"/>
  <c r="M10" i="31" s="1"/>
  <c r="M15" i="31"/>
  <c r="M16" i="31"/>
  <c r="M12" i="31"/>
  <c r="L37" i="31"/>
  <c r="L49" i="31"/>
  <c r="J65" i="31"/>
  <c r="I23" i="19"/>
  <c r="J55" i="31"/>
  <c r="J57" i="31"/>
  <c r="L40" i="31"/>
  <c r="L52" i="31"/>
  <c r="L51" i="31"/>
  <c r="L39" i="31"/>
  <c r="J43" i="31"/>
  <c r="J60" i="31"/>
  <c r="J61" i="31" s="1"/>
  <c r="I9" i="19"/>
  <c r="I11" i="19" s="1"/>
  <c r="B14" i="39"/>
  <c r="L40" i="32"/>
  <c r="L39" i="32"/>
  <c r="I7" i="2"/>
  <c r="L46" i="31"/>
  <c r="L34" i="31"/>
  <c r="L50" i="31"/>
  <c r="L38" i="31"/>
  <c r="M20" i="31" l="1"/>
  <c r="N53" i="31"/>
  <c r="N41" i="31"/>
  <c r="L54" i="31"/>
  <c r="L42" i="31"/>
  <c r="M51" i="31"/>
  <c r="M39" i="31"/>
  <c r="M35" i="31"/>
  <c r="M47" i="31"/>
  <c r="N59" i="31"/>
  <c r="N13" i="31"/>
  <c r="N16" i="31"/>
  <c r="N14" i="31"/>
  <c r="N8" i="31"/>
  <c r="N10" i="31" s="1"/>
  <c r="N17" i="31"/>
  <c r="N18" i="31"/>
  <c r="N15" i="31"/>
  <c r="N12" i="31"/>
  <c r="J9" i="19"/>
  <c r="J11" i="19" s="1"/>
  <c r="K43" i="31"/>
  <c r="K60" i="31"/>
  <c r="M34" i="31"/>
  <c r="M46" i="31"/>
  <c r="M36" i="31"/>
  <c r="M48" i="31"/>
  <c r="P6" i="31"/>
  <c r="O7" i="31"/>
  <c r="O19" i="31" s="1"/>
  <c r="I25" i="19"/>
  <c r="I38" i="19"/>
  <c r="I40" i="19" s="1"/>
  <c r="K55" i="31"/>
  <c r="K65" i="31"/>
  <c r="K66" i="31" s="1"/>
  <c r="J23" i="19"/>
  <c r="K57" i="31"/>
  <c r="M50" i="31"/>
  <c r="M38" i="31"/>
  <c r="M40" i="31"/>
  <c r="M52" i="31"/>
  <c r="I6" i="2"/>
  <c r="I28" i="2"/>
  <c r="I9" i="2"/>
  <c r="G18" i="16"/>
  <c r="L41" i="32"/>
  <c r="M49" i="31"/>
  <c r="M37" i="31"/>
  <c r="M54" i="31" l="1"/>
  <c r="N20" i="31"/>
  <c r="O41" i="31"/>
  <c r="O53" i="31"/>
  <c r="M42" i="31"/>
  <c r="C11" i="14"/>
  <c r="C9" i="14"/>
  <c r="K61" i="31"/>
  <c r="K64" i="31"/>
  <c r="K67" i="31" s="1"/>
  <c r="J38" i="19"/>
  <c r="J40" i="19" s="1"/>
  <c r="J25" i="19"/>
  <c r="N34" i="31"/>
  <c r="N46" i="31"/>
  <c r="N36" i="31"/>
  <c r="N48" i="31"/>
  <c r="N49" i="31"/>
  <c r="N37" i="31"/>
  <c r="P7" i="31"/>
  <c r="P19" i="31" s="1"/>
  <c r="Q6" i="31"/>
  <c r="N38" i="31"/>
  <c r="N50" i="31"/>
  <c r="J30" i="19"/>
  <c r="J32" i="19" s="1"/>
  <c r="N40" i="31"/>
  <c r="N52" i="31"/>
  <c r="L60" i="31"/>
  <c r="L43" i="31"/>
  <c r="K9" i="19"/>
  <c r="J16" i="19"/>
  <c r="J18" i="19" s="1"/>
  <c r="L65" i="31"/>
  <c r="L57" i="31"/>
  <c r="K23" i="19"/>
  <c r="L55" i="31"/>
  <c r="N51" i="31"/>
  <c r="N39" i="31"/>
  <c r="I42" i="2"/>
  <c r="I40" i="2"/>
  <c r="I48" i="2"/>
  <c r="G19" i="16"/>
  <c r="I41" i="1" s="1"/>
  <c r="I58" i="2"/>
  <c r="I38" i="2"/>
  <c r="G22" i="16"/>
  <c r="I44" i="1" s="1"/>
  <c r="I34" i="2"/>
  <c r="G21" i="16"/>
  <c r="I43" i="1" s="1"/>
  <c r="N47" i="31"/>
  <c r="N35" i="31"/>
  <c r="I40" i="1"/>
  <c r="I13" i="2"/>
  <c r="O14" i="31"/>
  <c r="O13" i="31"/>
  <c r="O17" i="31"/>
  <c r="O59" i="31"/>
  <c r="O8" i="31"/>
  <c r="O10" i="31" s="1"/>
  <c r="O18" i="31"/>
  <c r="O15" i="31"/>
  <c r="O16" i="31"/>
  <c r="O12" i="31"/>
  <c r="K46" i="2" s="1"/>
  <c r="N42" i="31" l="1"/>
  <c r="N54" i="31"/>
  <c r="P53" i="31"/>
  <c r="P41" i="31"/>
  <c r="O20" i="31"/>
  <c r="C5" i="39"/>
  <c r="E5" i="39" s="1"/>
  <c r="C11" i="39"/>
  <c r="B11" i="39" s="1"/>
  <c r="G24" i="16"/>
  <c r="G25" i="16" s="1"/>
  <c r="I60" i="2"/>
  <c r="K25" i="19"/>
  <c r="K38" i="19"/>
  <c r="K40" i="19" s="1"/>
  <c r="L61" i="31"/>
  <c r="L9" i="19"/>
  <c r="L11" i="19" s="1"/>
  <c r="M43" i="31"/>
  <c r="M60" i="31"/>
  <c r="M61" i="31" s="1"/>
  <c r="P18" i="31"/>
  <c r="P8" i="31"/>
  <c r="P10" i="31" s="1"/>
  <c r="P17" i="31"/>
  <c r="P14" i="31"/>
  <c r="P16" i="31"/>
  <c r="P13" i="31"/>
  <c r="P15" i="31"/>
  <c r="P59" i="31"/>
  <c r="P12" i="31"/>
  <c r="J33" i="19"/>
  <c r="J34" i="19" s="1"/>
  <c r="J12" i="2" s="1"/>
  <c r="O40" i="31"/>
  <c r="O52" i="31"/>
  <c r="M57" i="31"/>
  <c r="M55" i="31"/>
  <c r="M65" i="31"/>
  <c r="L23" i="19"/>
  <c r="O39" i="31"/>
  <c r="O51" i="31"/>
  <c r="O35" i="31"/>
  <c r="O47" i="31"/>
  <c r="O36" i="31"/>
  <c r="O48" i="31"/>
  <c r="U40" i="32"/>
  <c r="U39" i="32"/>
  <c r="J7" i="2"/>
  <c r="Q7" i="31"/>
  <c r="Q19" i="31" s="1"/>
  <c r="R6" i="31"/>
  <c r="O46" i="31"/>
  <c r="O34" i="31"/>
  <c r="O38" i="31"/>
  <c r="O50" i="31"/>
  <c r="J11" i="2"/>
  <c r="I16" i="2"/>
  <c r="O37" i="31"/>
  <c r="O49" i="31"/>
  <c r="G28" i="16"/>
  <c r="K11" i="19"/>
  <c r="P20" i="31" l="1"/>
  <c r="O42" i="31"/>
  <c r="O54" i="31"/>
  <c r="Q53" i="31"/>
  <c r="Q41" i="31"/>
  <c r="G5" i="39"/>
  <c r="G6" i="39" s="1"/>
  <c r="F6" i="39" s="1"/>
  <c r="C6" i="39"/>
  <c r="C16" i="39" s="1"/>
  <c r="E11" i="39"/>
  <c r="E12" i="39" s="1"/>
  <c r="G11" i="39"/>
  <c r="G12" i="39" s="1"/>
  <c r="G13" i="39" s="1"/>
  <c r="H18" i="16"/>
  <c r="J26" i="2"/>
  <c r="P35" i="31"/>
  <c r="P47" i="31"/>
  <c r="G8" i="16"/>
  <c r="G9" i="16"/>
  <c r="I25" i="1" s="1"/>
  <c r="I81" i="2"/>
  <c r="I18" i="2"/>
  <c r="R7" i="31"/>
  <c r="R19" i="31" s="1"/>
  <c r="S6" i="31"/>
  <c r="P36" i="31"/>
  <c r="P48" i="31"/>
  <c r="P37" i="31"/>
  <c r="P49" i="31"/>
  <c r="N55" i="31"/>
  <c r="N57" i="31"/>
  <c r="M23" i="19"/>
  <c r="N65" i="31"/>
  <c r="Q8" i="31"/>
  <c r="Q10" i="31" s="1"/>
  <c r="Q18" i="31"/>
  <c r="Q59" i="31"/>
  <c r="Q16" i="31"/>
  <c r="Q15" i="31"/>
  <c r="Q12" i="31"/>
  <c r="Q17" i="31"/>
  <c r="Q14" i="31"/>
  <c r="Q13" i="31"/>
  <c r="P39" i="31"/>
  <c r="P51" i="31"/>
  <c r="N60" i="31"/>
  <c r="N61" i="31" s="1"/>
  <c r="M9" i="19"/>
  <c r="N43" i="31"/>
  <c r="P38" i="31"/>
  <c r="P50" i="31"/>
  <c r="J6" i="2"/>
  <c r="J28" i="2"/>
  <c r="J9" i="2"/>
  <c r="U41" i="32"/>
  <c r="L25" i="19"/>
  <c r="L38" i="19"/>
  <c r="L40" i="19" s="1"/>
  <c r="P46" i="31"/>
  <c r="P34" i="31"/>
  <c r="P52" i="31"/>
  <c r="P40" i="31"/>
  <c r="Q20" i="31" l="1"/>
  <c r="B6" i="39"/>
  <c r="B16" i="39" s="1"/>
  <c r="E6" i="39"/>
  <c r="P54" i="31"/>
  <c r="R53" i="31"/>
  <c r="R41" i="31"/>
  <c r="P42" i="31"/>
  <c r="D11" i="14"/>
  <c r="D9" i="14"/>
  <c r="Q48" i="31"/>
  <c r="Q36" i="31"/>
  <c r="M38" i="19"/>
  <c r="M40" i="19" s="1"/>
  <c r="M25" i="19"/>
  <c r="O55" i="31"/>
  <c r="N23" i="19"/>
  <c r="O57" i="31"/>
  <c r="O65" i="31"/>
  <c r="O66" i="31" s="1"/>
  <c r="Q34" i="31"/>
  <c r="Q46" i="31"/>
  <c r="J34" i="2"/>
  <c r="J42" i="2"/>
  <c r="H21" i="16"/>
  <c r="J43" i="1" s="1"/>
  <c r="J40" i="2"/>
  <c r="J48" i="2"/>
  <c r="H22" i="16"/>
  <c r="J44" i="1" s="1"/>
  <c r="J38" i="2"/>
  <c r="J58" i="2"/>
  <c r="H19" i="16"/>
  <c r="J41" i="1" s="1"/>
  <c r="M11" i="19"/>
  <c r="Q37" i="31"/>
  <c r="Q49" i="31"/>
  <c r="S7" i="31"/>
  <c r="S19" i="31" s="1"/>
  <c r="T6" i="31"/>
  <c r="Q38" i="31"/>
  <c r="Q50" i="31"/>
  <c r="I19" i="2"/>
  <c r="I62" i="2"/>
  <c r="R59" i="31"/>
  <c r="R16" i="31"/>
  <c r="R18" i="31"/>
  <c r="R17" i="31"/>
  <c r="R13" i="31"/>
  <c r="R15" i="31"/>
  <c r="R14" i="31"/>
  <c r="R12" i="31"/>
  <c r="R8" i="31"/>
  <c r="R10" i="31" s="1"/>
  <c r="O43" i="31"/>
  <c r="N9" i="19"/>
  <c r="N11" i="19" s="1"/>
  <c r="O60" i="31"/>
  <c r="Q40" i="31"/>
  <c r="Q52" i="31"/>
  <c r="I24" i="1"/>
  <c r="G14" i="16"/>
  <c r="Q39" i="31"/>
  <c r="Q51" i="31"/>
  <c r="Q35" i="31"/>
  <c r="Q47" i="31"/>
  <c r="J13" i="2"/>
  <c r="J40" i="1"/>
  <c r="Q54" i="31" l="1"/>
  <c r="S53" i="31"/>
  <c r="S41" i="31"/>
  <c r="R20" i="31"/>
  <c r="Q42" i="31"/>
  <c r="G29" i="16"/>
  <c r="G30" i="16" s="1"/>
  <c r="J60" i="2"/>
  <c r="P65" i="31"/>
  <c r="P57" i="31"/>
  <c r="P55" i="31"/>
  <c r="O23" i="19"/>
  <c r="N16" i="19"/>
  <c r="O61" i="31"/>
  <c r="O64" i="31"/>
  <c r="O67" i="31" s="1"/>
  <c r="R39" i="31"/>
  <c r="R51" i="31"/>
  <c r="H28" i="16"/>
  <c r="G15" i="16"/>
  <c r="G27" i="16" s="1"/>
  <c r="G26" i="16"/>
  <c r="U6" i="31"/>
  <c r="T7" i="31"/>
  <c r="T19" i="31" s="1"/>
  <c r="R47" i="31"/>
  <c r="R35" i="31"/>
  <c r="N25" i="19"/>
  <c r="N38" i="19"/>
  <c r="N40" i="19" s="1"/>
  <c r="R50" i="31"/>
  <c r="R38" i="31"/>
  <c r="K11" i="2"/>
  <c r="J16" i="2"/>
  <c r="R46" i="31"/>
  <c r="R34" i="31"/>
  <c r="S13" i="31"/>
  <c r="S59" i="31"/>
  <c r="S17" i="31"/>
  <c r="S15" i="31"/>
  <c r="S16" i="31"/>
  <c r="S8" i="31"/>
  <c r="S10" i="31" s="1"/>
  <c r="S18" i="31"/>
  <c r="S12" i="31"/>
  <c r="S14" i="31"/>
  <c r="H24" i="16"/>
  <c r="I63" i="2"/>
  <c r="I66" i="2"/>
  <c r="R40" i="31"/>
  <c r="R52" i="31"/>
  <c r="P60" i="31"/>
  <c r="P43" i="31"/>
  <c r="O9" i="19"/>
  <c r="N30" i="19"/>
  <c r="N32" i="19" s="1"/>
  <c r="R48" i="31"/>
  <c r="R36" i="31"/>
  <c r="R49" i="31"/>
  <c r="R37" i="31"/>
  <c r="S20" i="31" l="1"/>
  <c r="R54" i="31"/>
  <c r="L46" i="2"/>
  <c r="T53" i="31"/>
  <c r="T41" i="31"/>
  <c r="R42" i="31"/>
  <c r="N33" i="19"/>
  <c r="N34" i="19" s="1"/>
  <c r="K12" i="2" s="1"/>
  <c r="S51" i="31"/>
  <c r="S39" i="31"/>
  <c r="U7" i="31"/>
  <c r="U19" i="31" s="1"/>
  <c r="V6" i="31"/>
  <c r="H25" i="16"/>
  <c r="Q65" i="31"/>
  <c r="Q55" i="31"/>
  <c r="P23" i="19"/>
  <c r="Q57" i="31"/>
  <c r="C12" i="14"/>
  <c r="D13" i="25"/>
  <c r="O25" i="19"/>
  <c r="O38" i="19"/>
  <c r="O40" i="19" s="1"/>
  <c r="J81" i="2"/>
  <c r="H9" i="16"/>
  <c r="J25" i="1" s="1"/>
  <c r="H8" i="16"/>
  <c r="J18" i="2"/>
  <c r="O11" i="19"/>
  <c r="M16" i="19"/>
  <c r="N18" i="19"/>
  <c r="S48" i="31"/>
  <c r="S36" i="31"/>
  <c r="S47" i="31"/>
  <c r="S35" i="31"/>
  <c r="P61" i="31"/>
  <c r="S46" i="31"/>
  <c r="S34" i="31"/>
  <c r="S52" i="31"/>
  <c r="S40" i="31"/>
  <c r="Q60" i="31"/>
  <c r="Q61" i="31" s="1"/>
  <c r="Q43" i="31"/>
  <c r="P9" i="19"/>
  <c r="P11" i="19" s="1"/>
  <c r="S38" i="31"/>
  <c r="S50" i="31"/>
  <c r="I70" i="2"/>
  <c r="D9" i="25"/>
  <c r="S37" i="31"/>
  <c r="S49" i="31"/>
  <c r="T8" i="31"/>
  <c r="T10" i="31" s="1"/>
  <c r="T16" i="31"/>
  <c r="T14" i="31"/>
  <c r="T18" i="31"/>
  <c r="T17" i="31"/>
  <c r="T13" i="31"/>
  <c r="T12" i="31"/>
  <c r="T15" i="31"/>
  <c r="T59" i="31"/>
  <c r="S54" i="31" l="1"/>
  <c r="U53" i="31"/>
  <c r="U41" i="31"/>
  <c r="T20" i="31"/>
  <c r="S42" i="31"/>
  <c r="T51" i="31"/>
  <c r="T39" i="31"/>
  <c r="R55" i="31"/>
  <c r="R57" i="31"/>
  <c r="R65" i="31"/>
  <c r="Q23" i="19"/>
  <c r="J62" i="2"/>
  <c r="J19" i="2"/>
  <c r="T36" i="31"/>
  <c r="T48" i="31"/>
  <c r="U18" i="31"/>
  <c r="U59" i="31"/>
  <c r="U8" i="31"/>
  <c r="U10" i="31" s="1"/>
  <c r="U17" i="31"/>
  <c r="U13" i="31"/>
  <c r="U15" i="31"/>
  <c r="U14" i="31"/>
  <c r="U12" i="31"/>
  <c r="U16" i="31"/>
  <c r="T40" i="31"/>
  <c r="T52" i="31"/>
  <c r="X39" i="32"/>
  <c r="X40" i="32"/>
  <c r="K7" i="2"/>
  <c r="R43" i="31"/>
  <c r="Q9" i="19"/>
  <c r="Q11" i="19" s="1"/>
  <c r="R60" i="31"/>
  <c r="R61" i="31" s="1"/>
  <c r="P25" i="19"/>
  <c r="P38" i="19"/>
  <c r="P40" i="19" s="1"/>
  <c r="T37" i="31"/>
  <c r="T49" i="31"/>
  <c r="J24" i="1"/>
  <c r="H14" i="16"/>
  <c r="V7" i="31"/>
  <c r="V19" i="31" s="1"/>
  <c r="W6" i="31"/>
  <c r="W7" i="31" s="1"/>
  <c r="W19" i="31" s="1"/>
  <c r="K26" i="2"/>
  <c r="I72" i="2"/>
  <c r="T38" i="31"/>
  <c r="T50" i="31"/>
  <c r="T46" i="31"/>
  <c r="T34" i="31"/>
  <c r="T47" i="31"/>
  <c r="T35" i="31"/>
  <c r="U20" i="31" l="1"/>
  <c r="V53" i="31"/>
  <c r="V41" i="31"/>
  <c r="T54" i="31"/>
  <c r="W53" i="31"/>
  <c r="W41" i="31"/>
  <c r="T42" i="31"/>
  <c r="T43" i="31" s="1"/>
  <c r="H29" i="16"/>
  <c r="H30" i="16" s="1"/>
  <c r="I18" i="16"/>
  <c r="K40" i="1" s="1"/>
  <c r="X41" i="32"/>
  <c r="U39" i="31"/>
  <c r="U51" i="31"/>
  <c r="J63" i="2"/>
  <c r="J66" i="2"/>
  <c r="Q25" i="19"/>
  <c r="Q38" i="19"/>
  <c r="Q40" i="19" s="1"/>
  <c r="S57" i="31"/>
  <c r="R23" i="19"/>
  <c r="S55" i="31"/>
  <c r="S65" i="31"/>
  <c r="S66" i="31" s="1"/>
  <c r="U38" i="31"/>
  <c r="U50" i="31"/>
  <c r="U40" i="31"/>
  <c r="U52" i="31"/>
  <c r="U46" i="31"/>
  <c r="U34" i="31"/>
  <c r="S43" i="31"/>
  <c r="S60" i="31"/>
  <c r="S61" i="31" s="1"/>
  <c r="R9" i="19"/>
  <c r="W59" i="31"/>
  <c r="W12" i="31"/>
  <c r="W16" i="31"/>
  <c r="W15" i="31"/>
  <c r="W14" i="31"/>
  <c r="W8" i="31"/>
  <c r="W13" i="31"/>
  <c r="W18" i="31"/>
  <c r="W17" i="31"/>
  <c r="U36" i="31"/>
  <c r="U48" i="31"/>
  <c r="V15" i="31"/>
  <c r="V59" i="31"/>
  <c r="V8" i="31"/>
  <c r="V10" i="31" s="1"/>
  <c r="V18" i="31"/>
  <c r="V14" i="31"/>
  <c r="V17" i="31"/>
  <c r="V12" i="31"/>
  <c r="M46" i="2" s="1"/>
  <c r="V16" i="31"/>
  <c r="V13" i="31"/>
  <c r="K6" i="2"/>
  <c r="K28" i="2"/>
  <c r="K9" i="2"/>
  <c r="U37" i="31"/>
  <c r="U49" i="31"/>
  <c r="H15" i="16"/>
  <c r="H27" i="16" s="1"/>
  <c r="H26" i="16"/>
  <c r="I73" i="2"/>
  <c r="U35" i="31"/>
  <c r="U47" i="31"/>
  <c r="W20" i="31" l="1"/>
  <c r="V20" i="31"/>
  <c r="U54" i="31"/>
  <c r="U65" i="31" s="1"/>
  <c r="U42" i="31"/>
  <c r="K13" i="2"/>
  <c r="L11" i="2" s="1"/>
  <c r="E11" i="14"/>
  <c r="E9" i="14"/>
  <c r="T60" i="31"/>
  <c r="T61" i="31" s="1"/>
  <c r="S9" i="19"/>
  <c r="S11" i="19" s="1"/>
  <c r="S64" i="31"/>
  <c r="S67" i="31" s="1"/>
  <c r="V38" i="31"/>
  <c r="V50" i="31"/>
  <c r="W38" i="31"/>
  <c r="W50" i="31"/>
  <c r="E9" i="25"/>
  <c r="J70" i="2"/>
  <c r="V40" i="31"/>
  <c r="V52" i="31"/>
  <c r="E13" i="25"/>
  <c r="D14" i="39"/>
  <c r="E14" i="39" s="1"/>
  <c r="D12" i="14"/>
  <c r="W49" i="31"/>
  <c r="W37" i="31"/>
  <c r="T57" i="31"/>
  <c r="T55" i="31"/>
  <c r="S23" i="19"/>
  <c r="T65" i="31"/>
  <c r="V36" i="31"/>
  <c r="V48" i="31"/>
  <c r="V46" i="31"/>
  <c r="V34" i="31"/>
  <c r="V39" i="31"/>
  <c r="V51" i="31"/>
  <c r="W34" i="31"/>
  <c r="W46" i="31"/>
  <c r="R25" i="19"/>
  <c r="R38" i="19"/>
  <c r="R40" i="19" s="1"/>
  <c r="W39" i="31"/>
  <c r="W51" i="31"/>
  <c r="R11" i="19"/>
  <c r="R16" i="19"/>
  <c r="R18" i="19" s="1"/>
  <c r="K58" i="2"/>
  <c r="I22" i="16"/>
  <c r="K44" i="1" s="1"/>
  <c r="K34" i="2"/>
  <c r="K42" i="2"/>
  <c r="I21" i="16"/>
  <c r="K43" i="1" s="1"/>
  <c r="K48" i="2"/>
  <c r="K38" i="2"/>
  <c r="K40" i="2"/>
  <c r="I19" i="16"/>
  <c r="W52" i="31"/>
  <c r="W40" i="31"/>
  <c r="D10" i="25"/>
  <c r="D14" i="25" s="1"/>
  <c r="I80" i="2"/>
  <c r="I82" i="2" s="1"/>
  <c r="I74" i="2"/>
  <c r="W35" i="31"/>
  <c r="W47" i="31"/>
  <c r="R30" i="19"/>
  <c r="R32" i="19" s="1"/>
  <c r="W10" i="31"/>
  <c r="V35" i="31"/>
  <c r="V47" i="31"/>
  <c r="V49" i="31"/>
  <c r="V37" i="31"/>
  <c r="W48" i="31"/>
  <c r="W36" i="31"/>
  <c r="V54" i="31" l="1"/>
  <c r="W54" i="31"/>
  <c r="W42" i="31"/>
  <c r="V42" i="31"/>
  <c r="K16" i="2"/>
  <c r="K18" i="2" s="1"/>
  <c r="K19" i="2" s="1"/>
  <c r="I8" i="1"/>
  <c r="T23" i="19"/>
  <c r="T25" i="19" s="1"/>
  <c r="U55" i="31"/>
  <c r="U60" i="31"/>
  <c r="U43" i="31"/>
  <c r="T9" i="19"/>
  <c r="U57" i="31"/>
  <c r="S25" i="19"/>
  <c r="S38" i="19"/>
  <c r="S40" i="19" s="1"/>
  <c r="R33" i="19"/>
  <c r="R34" i="19" s="1"/>
  <c r="L12" i="2" s="1"/>
  <c r="K60" i="2"/>
  <c r="J72" i="2"/>
  <c r="I76" i="2"/>
  <c r="C8" i="14"/>
  <c r="L7" i="2"/>
  <c r="AA39" i="32"/>
  <c r="AA40" i="32"/>
  <c r="K41" i="1"/>
  <c r="I24" i="16"/>
  <c r="I9" i="16" l="1"/>
  <c r="K25" i="1" s="1"/>
  <c r="K81" i="2"/>
  <c r="I8" i="16"/>
  <c r="K24" i="1" s="1"/>
  <c r="T38" i="19"/>
  <c r="T40" i="19" s="1"/>
  <c r="C10" i="14"/>
  <c r="V55" i="31"/>
  <c r="V65" i="31"/>
  <c r="V57" i="31"/>
  <c r="U23" i="19"/>
  <c r="U61" i="31"/>
  <c r="I32" i="1"/>
  <c r="I52" i="1"/>
  <c r="J73" i="2"/>
  <c r="V60" i="31"/>
  <c r="V61" i="31" s="1"/>
  <c r="U9" i="19"/>
  <c r="U11" i="19" s="1"/>
  <c r="V43" i="31"/>
  <c r="W43" i="31"/>
  <c r="V9" i="19"/>
  <c r="V11" i="19" s="1"/>
  <c r="W60" i="31"/>
  <c r="W61" i="31" s="1"/>
  <c r="L26" i="2"/>
  <c r="J18" i="16"/>
  <c r="T11" i="19"/>
  <c r="V23" i="19"/>
  <c r="W65" i="31"/>
  <c r="W55" i="31"/>
  <c r="W57" i="31"/>
  <c r="I25" i="16"/>
  <c r="AA41" i="32"/>
  <c r="L28" i="2"/>
  <c r="L6" i="2"/>
  <c r="L9" i="2"/>
  <c r="I28" i="16"/>
  <c r="K62" i="2"/>
  <c r="I14" i="16" l="1"/>
  <c r="I15" i="16" s="1"/>
  <c r="I27" i="16" s="1"/>
  <c r="F11" i="14"/>
  <c r="F9" i="14"/>
  <c r="I29" i="16"/>
  <c r="I30" i="16" s="1"/>
  <c r="G6" i="41"/>
  <c r="I6" i="41" s="1"/>
  <c r="L7" i="41" s="1"/>
  <c r="C14" i="14"/>
  <c r="V16" i="19"/>
  <c r="V18" i="19" s="1"/>
  <c r="AD39" i="32" s="1"/>
  <c r="W64" i="31"/>
  <c r="L40" i="1"/>
  <c r="L13" i="2"/>
  <c r="U38" i="19"/>
  <c r="U40" i="19" s="1"/>
  <c r="U25" i="19"/>
  <c r="V30" i="19"/>
  <c r="V32" i="19" s="1"/>
  <c r="L48" i="2"/>
  <c r="L34" i="2"/>
  <c r="L58" i="2"/>
  <c r="L38" i="2"/>
  <c r="J21" i="16"/>
  <c r="L43" i="1" s="1"/>
  <c r="L40" i="2"/>
  <c r="L42" i="2"/>
  <c r="J22" i="16"/>
  <c r="L44" i="1" s="1"/>
  <c r="J19" i="16"/>
  <c r="L41" i="1" s="1"/>
  <c r="E10" i="25"/>
  <c r="E14" i="25" s="1"/>
  <c r="J80" i="2"/>
  <c r="J82" i="2" s="1"/>
  <c r="J74" i="2"/>
  <c r="J8" i="1" s="1"/>
  <c r="W66" i="31"/>
  <c r="I53" i="1"/>
  <c r="I55" i="1" s="1"/>
  <c r="K66" i="2"/>
  <c r="K63" i="2"/>
  <c r="V25" i="19"/>
  <c r="V38" i="19"/>
  <c r="V40" i="19" s="1"/>
  <c r="I26" i="16" l="1"/>
  <c r="M7" i="2"/>
  <c r="M28" i="2" s="1"/>
  <c r="AD40" i="32"/>
  <c r="AD41" i="32" s="1"/>
  <c r="C27" i="14"/>
  <c r="C30" i="14" s="1"/>
  <c r="C31" i="14" s="1"/>
  <c r="W67" i="31"/>
  <c r="I56" i="1"/>
  <c r="L60" i="2"/>
  <c r="J24" i="16"/>
  <c r="J28" i="16"/>
  <c r="M11" i="2"/>
  <c r="L16" i="2"/>
  <c r="D8" i="14"/>
  <c r="J76" i="2"/>
  <c r="V33" i="19"/>
  <c r="V34" i="19" s="1"/>
  <c r="M12" i="2" s="1"/>
  <c r="F9" i="25"/>
  <c r="K70" i="2"/>
  <c r="F13" i="25"/>
  <c r="E12" i="14"/>
  <c r="M6" i="2" l="1"/>
  <c r="K55" i="25" s="1"/>
  <c r="M9" i="2"/>
  <c r="K22" i="16" s="1"/>
  <c r="M44" i="1" s="1"/>
  <c r="I46" i="1"/>
  <c r="C25" i="25" s="1"/>
  <c r="D29" i="14"/>
  <c r="G11" i="14"/>
  <c r="G9" i="14"/>
  <c r="D10" i="14"/>
  <c r="K18" i="16"/>
  <c r="M26" i="2"/>
  <c r="M48" i="2"/>
  <c r="M58" i="2"/>
  <c r="M40" i="2"/>
  <c r="M42" i="2"/>
  <c r="M34" i="2"/>
  <c r="K21" i="16"/>
  <c r="M43" i="1" s="1"/>
  <c r="K19" i="16"/>
  <c r="M41" i="1" s="1"/>
  <c r="J32" i="1"/>
  <c r="J52" i="1"/>
  <c r="K72" i="2"/>
  <c r="L81" i="2"/>
  <c r="J9" i="16"/>
  <c r="L25" i="1" s="1"/>
  <c r="J8" i="16"/>
  <c r="L18" i="2"/>
  <c r="J25" i="16"/>
  <c r="M38" i="2" l="1"/>
  <c r="I47" i="1"/>
  <c r="I48" i="1" s="1"/>
  <c r="G9" i="41"/>
  <c r="I9" i="41" s="1"/>
  <c r="L10" i="41" s="1"/>
  <c r="D14" i="14"/>
  <c r="D27" i="14" s="1"/>
  <c r="D30" i="14" s="1"/>
  <c r="D31" i="14" s="1"/>
  <c r="M60" i="2"/>
  <c r="K73" i="2"/>
  <c r="L19" i="2"/>
  <c r="L62" i="2"/>
  <c r="L24" i="1"/>
  <c r="J14" i="16"/>
  <c r="J53" i="1"/>
  <c r="J55" i="1" s="1"/>
  <c r="M13" i="2"/>
  <c r="M40" i="1"/>
  <c r="K24" i="16"/>
  <c r="M16" i="2" l="1"/>
  <c r="M18" i="2" s="1"/>
  <c r="J29" i="16"/>
  <c r="J30" i="16" s="1"/>
  <c r="E29" i="14"/>
  <c r="J46" i="1"/>
  <c r="J56" i="1"/>
  <c r="J15" i="16"/>
  <c r="J27" i="16" s="1"/>
  <c r="J26" i="16"/>
  <c r="K25" i="16"/>
  <c r="L63" i="2"/>
  <c r="L66" i="2"/>
  <c r="K28" i="16"/>
  <c r="F10" i="25"/>
  <c r="F14" i="25" s="1"/>
  <c r="K80" i="2"/>
  <c r="K82" i="2" s="1"/>
  <c r="K74" i="2"/>
  <c r="K9" i="16"/>
  <c r="M25" i="1" s="1"/>
  <c r="M81" i="2" l="1"/>
  <c r="K8" i="16"/>
  <c r="K14" i="16" s="1"/>
  <c r="J47" i="1"/>
  <c r="J48" i="1" s="1"/>
  <c r="K8" i="1"/>
  <c r="L70" i="2"/>
  <c r="G9" i="25"/>
  <c r="M62" i="2"/>
  <c r="M19" i="2"/>
  <c r="K76" i="2"/>
  <c r="E8" i="14"/>
  <c r="G13" i="25"/>
  <c r="F12" i="14"/>
  <c r="M24" i="1" l="1"/>
  <c r="K29" i="16"/>
  <c r="K30" i="16" s="1"/>
  <c r="E10" i="14"/>
  <c r="L72" i="2"/>
  <c r="M63" i="2"/>
  <c r="M66" i="2"/>
  <c r="K52" i="1"/>
  <c r="K32" i="1"/>
  <c r="K15" i="16"/>
  <c r="K27" i="16" s="1"/>
  <c r="K26" i="16"/>
  <c r="G12" i="41" l="1"/>
  <c r="I12" i="41" s="1"/>
  <c r="L13" i="41" s="1"/>
  <c r="E14" i="14"/>
  <c r="E27" i="14" s="1"/>
  <c r="E30" i="14" s="1"/>
  <c r="E31" i="14" s="1"/>
  <c r="M70" i="2"/>
  <c r="M72" i="2" s="1"/>
  <c r="M73" i="2" s="1"/>
  <c r="H9" i="25"/>
  <c r="K53" i="1"/>
  <c r="K55" i="1" s="1"/>
  <c r="D55" i="1" s="1"/>
  <c r="L73" i="2"/>
  <c r="G12" i="14"/>
  <c r="H13" i="25"/>
  <c r="F29" i="14" l="1"/>
  <c r="K46" i="1"/>
  <c r="G10" i="25"/>
  <c r="G14" i="25" s="1"/>
  <c r="L80" i="2"/>
  <c r="L82" i="2" s="1"/>
  <c r="L74" i="2"/>
  <c r="H10" i="25"/>
  <c r="H14" i="25" s="1"/>
  <c r="M80" i="2"/>
  <c r="M82" i="2" s="1"/>
  <c r="K56" i="1"/>
  <c r="D56" i="1" s="1"/>
  <c r="M74" i="2"/>
  <c r="K47" i="1" l="1"/>
  <c r="K48" i="1" s="1"/>
  <c r="L8" i="1"/>
  <c r="M76" i="2"/>
  <c r="G8" i="14"/>
  <c r="L76" i="2"/>
  <c r="F8" i="14"/>
  <c r="F10" i="14" l="1"/>
  <c r="G10" i="14"/>
  <c r="M8" i="1"/>
  <c r="K13" i="25" s="1"/>
  <c r="L52" i="1"/>
  <c r="L32" i="1"/>
  <c r="N55" i="25"/>
  <c r="G18" i="41" l="1"/>
  <c r="I18" i="41" s="1"/>
  <c r="L19" i="41" s="1"/>
  <c r="G14" i="14"/>
  <c r="G27" i="14" s="1"/>
  <c r="G30" i="14" s="1"/>
  <c r="G15" i="41"/>
  <c r="I15" i="41" s="1"/>
  <c r="L16" i="41" s="1"/>
  <c r="F14" i="14"/>
  <c r="F27" i="14" s="1"/>
  <c r="F30" i="14" s="1"/>
  <c r="F31" i="14" s="1"/>
  <c r="K14" i="25"/>
  <c r="L55" i="25" s="1"/>
  <c r="M52" i="1"/>
  <c r="M32" i="1"/>
  <c r="L53" i="1"/>
  <c r="L55" i="1" s="1"/>
  <c r="L46" i="1" l="1"/>
  <c r="G29" i="14"/>
  <c r="G31" i="14" s="1"/>
  <c r="M46" i="1" s="1"/>
  <c r="L22" i="41"/>
  <c r="J23" i="41" s="1"/>
  <c r="K18" i="25"/>
  <c r="C8" i="25" s="1"/>
  <c r="G15" i="25" s="1"/>
  <c r="G16" i="25" s="1"/>
  <c r="L56" i="1"/>
  <c r="M53" i="1"/>
  <c r="M55" i="1" s="1"/>
  <c r="M47" i="1" l="1"/>
  <c r="M48" i="1" s="1"/>
  <c r="L47" i="1"/>
  <c r="L48" i="1" s="1"/>
  <c r="C18" i="25"/>
  <c r="D15" i="25"/>
  <c r="D16" i="25" s="1"/>
  <c r="F15" i="25"/>
  <c r="F16" i="25" s="1"/>
  <c r="E15" i="25"/>
  <c r="E16" i="25" s="1"/>
  <c r="H15" i="25"/>
  <c r="H16" i="25" s="1"/>
  <c r="M56" i="1"/>
  <c r="C17" i="25" l="1"/>
  <c r="C19" i="25"/>
  <c r="C20" i="25" l="1"/>
  <c r="C21" i="25" s="1"/>
  <c r="C24" i="25" s="1"/>
  <c r="C27" i="25" s="1"/>
  <c r="C28" i="25" s="1"/>
  <c r="C29" i="25" s="1"/>
  <c r="C30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KURELE</author>
  </authors>
  <commentList>
    <comment ref="K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PARAS KURELE:</t>
        </r>
        <r>
          <rPr>
            <sz val="9"/>
            <color indexed="81"/>
            <rFont val="Tahoma"/>
            <family val="2"/>
          </rPr>
          <t xml:space="preserve">
Avg. of Equity/ (Avg. of Equity + Avg. of Debt)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KURELE</author>
  </authors>
  <commentList>
    <comment ref="I4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PARAS KURELE:</t>
        </r>
        <r>
          <rPr>
            <sz val="9"/>
            <color indexed="81"/>
            <rFont val="Tahoma"/>
            <charset val="1"/>
          </rPr>
          <t xml:space="preserve">
Freight cost has been calculated based sales units.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KURELE</author>
  </authors>
  <commentList>
    <comment ref="F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PARAS KURELE:</t>
        </r>
        <r>
          <rPr>
            <sz val="9"/>
            <color indexed="81"/>
            <rFont val="Tahoma"/>
            <family val="2"/>
          </rPr>
          <t xml:space="preserve">
R.M. of 100 gms (packet size) has been calculated for 1000 gm. Cost of 15 is for packaging.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KURELE</author>
  </authors>
  <commentList>
    <comment ref="F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PARAS KURELE:</t>
        </r>
        <r>
          <rPr>
            <sz val="9"/>
            <color indexed="81"/>
            <rFont val="Tahoma"/>
            <family val="2"/>
          </rPr>
          <t xml:space="preserve">
R.M. of 100 gms (packet size) has been calculated for 1000 gm. Cost of 1.5 is for packaging.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KURELE</author>
  </authors>
  <commentList>
    <comment ref="H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PARAS KURELE:</t>
        </r>
        <r>
          <rPr>
            <sz val="9"/>
            <color indexed="81"/>
            <rFont val="Tahoma"/>
            <family val="2"/>
          </rPr>
          <t xml:space="preserve">
Rs. 2 is for Packaging</t>
        </r>
      </text>
    </comment>
    <comment ref="L6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PARAS KURELE:</t>
        </r>
        <r>
          <rPr>
            <sz val="9"/>
            <color indexed="81"/>
            <rFont val="Tahoma"/>
            <family val="2"/>
          </rPr>
          <t xml:space="preserve">
5% is the Tax
</t>
        </r>
      </text>
    </comment>
  </commentList>
</comments>
</file>

<file path=xl/sharedStrings.xml><?xml version="1.0" encoding="utf-8"?>
<sst xmlns="http://schemas.openxmlformats.org/spreadsheetml/2006/main" count="1184" uniqueCount="703">
  <si>
    <t>TOTAL</t>
  </si>
  <si>
    <t>Depreciation</t>
  </si>
  <si>
    <t>Particulars</t>
  </si>
  <si>
    <t>As at 31st March 2020</t>
  </si>
  <si>
    <t>Current Liabilities</t>
  </si>
  <si>
    <t>Current Assets</t>
  </si>
  <si>
    <t>As at 31st March 2021</t>
  </si>
  <si>
    <t>As at 31st March 2022</t>
  </si>
  <si>
    <t>As at 31st March 2023</t>
  </si>
  <si>
    <t>As at 31st March 2024</t>
  </si>
  <si>
    <t>As at 31st March 2025</t>
  </si>
  <si>
    <t>Profit before tax (EBT)</t>
  </si>
  <si>
    <t>Total Net Revenue</t>
  </si>
  <si>
    <t>EBIT</t>
  </si>
  <si>
    <t>Tax Rate</t>
  </si>
  <si>
    <t>Equity Value</t>
  </si>
  <si>
    <t>Terminal Value</t>
  </si>
  <si>
    <t>Date</t>
  </si>
  <si>
    <t>Enterprise Value</t>
  </si>
  <si>
    <t>Less: Debt</t>
  </si>
  <si>
    <t>Cash from Operations:</t>
  </si>
  <si>
    <t>Changes in working capital accounts:</t>
  </si>
  <si>
    <t>Cash from Investing:</t>
  </si>
  <si>
    <t>Cash from Financing:</t>
  </si>
  <si>
    <t>Total Cash Flow:</t>
  </si>
  <si>
    <t>Investment in PP&amp;E</t>
  </si>
  <si>
    <t>Total Current Assets</t>
  </si>
  <si>
    <t>Total Current Liabilities</t>
  </si>
  <si>
    <t>Current Assets Days</t>
  </si>
  <si>
    <t>Changes in W.C</t>
  </si>
  <si>
    <t>COGS</t>
  </si>
  <si>
    <t>Gross Profit</t>
  </si>
  <si>
    <t>Rent - Office &amp; Factory</t>
  </si>
  <si>
    <t>Interest on Bank O/D</t>
  </si>
  <si>
    <t>Insurance Premium</t>
  </si>
  <si>
    <t>Office Expenses</t>
  </si>
  <si>
    <t xml:space="preserve">Professional Fee </t>
  </si>
  <si>
    <t>Purchases</t>
  </si>
  <si>
    <t>EBITDA (Operating Profit)</t>
  </si>
  <si>
    <t>Salary &amp; Wages</t>
  </si>
  <si>
    <t>Direct Expenses</t>
  </si>
  <si>
    <t>Duties &amp; Taxes</t>
  </si>
  <si>
    <t>Sundry Creditors</t>
  </si>
  <si>
    <t>Advance Form Customers</t>
  </si>
  <si>
    <t>Bank OD A/c</t>
  </si>
  <si>
    <t>Fixed Assets</t>
  </si>
  <si>
    <t>Loans and Advances (Assets)</t>
  </si>
  <si>
    <t>Cash in Hand</t>
  </si>
  <si>
    <t>Unsecured Loans-Partners</t>
  </si>
  <si>
    <t>Rajeev Sahni</t>
  </si>
  <si>
    <t>S.K Sahni Loan (Lt.Gen)</t>
  </si>
  <si>
    <t>Rajeev Prannath</t>
  </si>
  <si>
    <t>Opening Stock</t>
  </si>
  <si>
    <t>Gross Margin %</t>
  </si>
  <si>
    <t>As % of Net Revenue</t>
  </si>
  <si>
    <t>Self Assessment Tax (Fy 17-18)</t>
  </si>
  <si>
    <t>Self Assessment Tax (Fy 18-19)</t>
  </si>
  <si>
    <t>Cumulative (Loss or Gain) before Tax</t>
  </si>
  <si>
    <t>NET WORKING CAPITAL</t>
  </si>
  <si>
    <t>Other Income (Indirect)</t>
  </si>
  <si>
    <t>Current Liabilities Days</t>
  </si>
  <si>
    <t>TDS Receivable</t>
  </si>
  <si>
    <t>Actual</t>
  </si>
  <si>
    <t>Projected</t>
  </si>
  <si>
    <t>Changes in Cash</t>
  </si>
  <si>
    <t>Sundry Debtors</t>
  </si>
  <si>
    <t xml:space="preserve">Working Capital / Work In Progress </t>
  </si>
  <si>
    <t>Rent Payable</t>
  </si>
  <si>
    <t>Salary Payable Account</t>
  </si>
  <si>
    <t>Partners Salary Payable</t>
  </si>
  <si>
    <t>Revenue from Operations</t>
  </si>
  <si>
    <t>Closing Stock</t>
  </si>
  <si>
    <t>Expenditures:</t>
  </si>
  <si>
    <t xml:space="preserve">Partner's Salary </t>
  </si>
  <si>
    <r>
      <rPr>
        <sz val="9"/>
        <rFont val="Calibri"/>
        <family val="2"/>
        <scheme val="minor"/>
      </rPr>
      <t>Reserves &amp; Surplus</t>
    </r>
  </si>
  <si>
    <t>EBITDA %</t>
  </si>
  <si>
    <t>Electricity &amp; Generator Expenses</t>
  </si>
  <si>
    <t>Rate of Dep</t>
  </si>
  <si>
    <t xml:space="preserve"> WDV as on 01.04.2017</t>
  </si>
  <si>
    <t>Addition During the year</t>
  </si>
  <si>
    <t>SALE</t>
  </si>
  <si>
    <t xml:space="preserve">Total </t>
  </si>
  <si>
    <t>Depreciation for the year</t>
  </si>
  <si>
    <t>WDV as on 31.3.2018</t>
  </si>
  <si>
    <t xml:space="preserve"> WDV as on 01.04.2018</t>
  </si>
  <si>
    <t>WDV as on 31.3.2019</t>
  </si>
  <si>
    <t xml:space="preserve"> WDV as on 01.04.2019</t>
  </si>
  <si>
    <t>WDV as on 31.3.2020</t>
  </si>
  <si>
    <t xml:space="preserve"> WDV as on 01.04.2020</t>
  </si>
  <si>
    <t>WDV as on 31.3.2021</t>
  </si>
  <si>
    <t xml:space="preserve"> WDV as on 01.04.2021</t>
  </si>
  <si>
    <t>WDV as on 31.3.2022</t>
  </si>
  <si>
    <t xml:space="preserve"> WDV as on 01.04.2022</t>
  </si>
  <si>
    <t>WDV as on 31.3.2023</t>
  </si>
  <si>
    <t xml:space="preserve"> WDV as on 01.04.2023</t>
  </si>
  <si>
    <t>WDV as on 31.3.2024</t>
  </si>
  <si>
    <t xml:space="preserve"> WDV as on 01.04.2024</t>
  </si>
  <si>
    <t>WDV as on 31.3.2025</t>
  </si>
  <si>
    <t>Plant &amp;  Machinery</t>
  </si>
  <si>
    <t>.</t>
  </si>
  <si>
    <t>Product Development Cost R &amp; D</t>
  </si>
  <si>
    <t>Product Development Costs R&amp;D</t>
  </si>
  <si>
    <t>MAP Thermofoaming</t>
  </si>
  <si>
    <t>Conveyance &amp; Travelling Expenses</t>
  </si>
  <si>
    <t>YEAR 1</t>
  </si>
  <si>
    <t>YEAR 2</t>
  </si>
  <si>
    <t>QTR 1</t>
  </si>
  <si>
    <t>QTR 2</t>
  </si>
  <si>
    <t>QTR 3</t>
  </si>
  <si>
    <t>QTR 4</t>
  </si>
  <si>
    <t>QTR 5</t>
  </si>
  <si>
    <t>QTR 6</t>
  </si>
  <si>
    <t>QTR 7</t>
  </si>
  <si>
    <t>QTR 8</t>
  </si>
  <si>
    <t>Projected Quaterly Sales in INR</t>
  </si>
  <si>
    <t>Projected Monthly Sales in INR</t>
  </si>
  <si>
    <t>Projected Capital Required</t>
  </si>
  <si>
    <t>Plant &amp; Machinery Will Be Staged As Per Progress</t>
  </si>
  <si>
    <t xml:space="preserve">ITEM </t>
  </si>
  <si>
    <t>PACK SIZE</t>
  </si>
  <si>
    <t>NO OF SKU</t>
  </si>
  <si>
    <t>RM Cost per SKU in Rs.</t>
  </si>
  <si>
    <t>Utility</t>
  </si>
  <si>
    <t>Total</t>
  </si>
  <si>
    <t>No. of Months</t>
  </si>
  <si>
    <t>S.NO</t>
  </si>
  <si>
    <t>NAME OF ASSETS</t>
  </si>
  <si>
    <t>Estimated Cost (INR)</t>
  </si>
  <si>
    <t>SET UP COST</t>
  </si>
  <si>
    <t>Advance Rental</t>
  </si>
  <si>
    <t>Technology</t>
  </si>
  <si>
    <t>TOTAL SET UP &amp; INSTALLATION COST</t>
  </si>
  <si>
    <t>Sr. No.</t>
  </si>
  <si>
    <t>LIST OF PRODUCT SKUs</t>
  </si>
  <si>
    <t>Other Current Assets</t>
  </si>
  <si>
    <t>Growth %</t>
  </si>
  <si>
    <t>REVENUE</t>
  </si>
  <si>
    <t>22-23</t>
  </si>
  <si>
    <t>TOTAL SALES</t>
  </si>
  <si>
    <t>YEAR 3</t>
  </si>
  <si>
    <t>YEAR 4</t>
  </si>
  <si>
    <t>QTR 9</t>
  </si>
  <si>
    <t>QTR 10</t>
  </si>
  <si>
    <t>QTR 11</t>
  </si>
  <si>
    <t>QTR 12</t>
  </si>
  <si>
    <t>Sales to existing distributors per quarter (units)</t>
  </si>
  <si>
    <t>Avg. Cost of Production</t>
  </si>
  <si>
    <t>Avg. Per Unit R.M. Cost</t>
  </si>
  <si>
    <t>Avg. Per Unit Sales Price</t>
  </si>
  <si>
    <t>Avg. Per Unit Gross Margin of Pushtikar</t>
  </si>
  <si>
    <t>Total Raw Material Costs</t>
  </si>
  <si>
    <t>Growth Rate - S.P.</t>
  </si>
  <si>
    <t>Growth Rate - R.M. Cost</t>
  </si>
  <si>
    <t>23-24</t>
  </si>
  <si>
    <t>24-25</t>
  </si>
  <si>
    <t>Closing stock (Raw Materials)</t>
  </si>
  <si>
    <t>Closing stock (Finished Goods)</t>
  </si>
  <si>
    <t>Number of days in a year</t>
  </si>
  <si>
    <t>Repairs &amp; Maintenance Expenses</t>
  </si>
  <si>
    <t>Laboratory Testing Expenses</t>
  </si>
  <si>
    <t>LIST OF MARKETS</t>
  </si>
  <si>
    <t>STATE</t>
  </si>
  <si>
    <t>AREA</t>
  </si>
  <si>
    <t>RETAIL DISTRIBUTOR</t>
  </si>
  <si>
    <t>INSTITUTION DISTRIBUTOR</t>
  </si>
  <si>
    <t xml:space="preserve">GURGAON </t>
  </si>
  <si>
    <t>PUNJAB</t>
  </si>
  <si>
    <t xml:space="preserve">CHANDIGARH </t>
  </si>
  <si>
    <t>AMRITSAR</t>
  </si>
  <si>
    <t xml:space="preserve">RAJASTHAN </t>
  </si>
  <si>
    <t>JAIPUR</t>
  </si>
  <si>
    <t xml:space="preserve">SOUTH </t>
  </si>
  <si>
    <t xml:space="preserve">HYDERABAD </t>
  </si>
  <si>
    <t>BANGALORE</t>
  </si>
  <si>
    <t>UAE</t>
  </si>
  <si>
    <t>WEST</t>
  </si>
  <si>
    <t>MUMBAI</t>
  </si>
  <si>
    <t>PUNE</t>
  </si>
  <si>
    <t>GOA</t>
  </si>
  <si>
    <t>ASM</t>
  </si>
  <si>
    <t>SO FOR RETAIL</t>
  </si>
  <si>
    <t>DELHI / NCR</t>
  </si>
  <si>
    <t>SOUTH</t>
  </si>
  <si>
    <t>QTR 13</t>
  </si>
  <si>
    <t>QTR 14</t>
  </si>
  <si>
    <t>QTR 15</t>
  </si>
  <si>
    <t>QTR 16</t>
  </si>
  <si>
    <t>Details</t>
  </si>
  <si>
    <t>Time Period (Year)</t>
  </si>
  <si>
    <t>Risk Free Rate (Rf)</t>
  </si>
  <si>
    <t>Treasury Rate</t>
  </si>
  <si>
    <t>Industry Beta (B)</t>
  </si>
  <si>
    <t>Discounting Rate</t>
  </si>
  <si>
    <t>Average Market Return (Rm)</t>
  </si>
  <si>
    <t>Market Risk Premium (Rm - Rf)</t>
  </si>
  <si>
    <t>Less: Tax</t>
  </si>
  <si>
    <t>Size Risk Premium (Rs)</t>
  </si>
  <si>
    <t>http://psc.ky.gov/pscecf/2012-00221/rateintervention@ag.ky.gov/10252012d/Ibbotsoin_2011_Risk_Premia_Over_Time_Report_(20110207135556).pdf</t>
  </si>
  <si>
    <t>Country Risk Premium (CRP)</t>
  </si>
  <si>
    <t>(Only for overseas Investors)</t>
  </si>
  <si>
    <t>Less: Change in Capex</t>
  </si>
  <si>
    <t>Company Specific Risk Premium (Rz)</t>
  </si>
  <si>
    <t>Change in Working Capital</t>
  </si>
  <si>
    <t>% Equity</t>
  </si>
  <si>
    <t>Free Cashflow (A)</t>
  </si>
  <si>
    <t>% Debt</t>
  </si>
  <si>
    <t>Discounting Factor (B)</t>
  </si>
  <si>
    <t>PV of Cashflows (A*B)</t>
  </si>
  <si>
    <t>Cost of Equity (Ke)</t>
  </si>
  <si>
    <t xml:space="preserve"> Ke = Rf + Beta * (Rm - Rf) + Rs + CRP + Rz</t>
  </si>
  <si>
    <t>Total PV of Cashflows for 5 Years</t>
  </si>
  <si>
    <t>Cost of Debt (Kd)</t>
  </si>
  <si>
    <t>WACC</t>
  </si>
  <si>
    <t>WACC = % Equity  X Ke + %Debt X Kd X (1 - Tax Rate)</t>
  </si>
  <si>
    <t>PV of Terminal Value</t>
  </si>
  <si>
    <t>Value</t>
  </si>
  <si>
    <t xml:space="preserve">Base value of the Sensex </t>
  </si>
  <si>
    <t>Current value of Sensex</t>
  </si>
  <si>
    <t>Number of years</t>
  </si>
  <si>
    <t>CAGR of Sensex</t>
  </si>
  <si>
    <t>Reference Companies</t>
  </si>
  <si>
    <t xml:space="preserve"> Beta</t>
  </si>
  <si>
    <t>Factor</t>
  </si>
  <si>
    <t>Weight</t>
  </si>
  <si>
    <t>Rating (1-10)</t>
  </si>
  <si>
    <t>Weighted Rating</t>
  </si>
  <si>
    <t>Revenue Growth</t>
  </si>
  <si>
    <t>Financial Risk</t>
  </si>
  <si>
    <t>Operational Risk</t>
  </si>
  <si>
    <t>Profitability</t>
  </si>
  <si>
    <t>Industry Risk</t>
  </si>
  <si>
    <t>Economic Risk</t>
  </si>
  <si>
    <t>Customer Concentration</t>
  </si>
  <si>
    <t>Total Debt</t>
  </si>
  <si>
    <t>Total Equity</t>
  </si>
  <si>
    <t>Total Debt + Equity</t>
  </si>
  <si>
    <t>Total Debt %</t>
  </si>
  <si>
    <t>Total Equity %</t>
  </si>
  <si>
    <t>Nestle</t>
  </si>
  <si>
    <t>Net Current Assets</t>
  </si>
  <si>
    <t>Rating</t>
  </si>
  <si>
    <t>Financial Risk 
(Debt Ratio)</t>
  </si>
  <si>
    <t>Operational Risk 
(Fixed Cost / Sales)</t>
  </si>
  <si>
    <t>Profitability
(Net Profit Margin)</t>
  </si>
  <si>
    <t>Industry Risk
(Firm ROA / Industry ROA)</t>
  </si>
  <si>
    <t>Economic Risk
(Firm ROA /GDP Growth Rate)</t>
  </si>
  <si>
    <t>8% +</t>
  </si>
  <si>
    <t>No Debt</t>
  </si>
  <si>
    <t xml:space="preserve"> 17% +</t>
  </si>
  <si>
    <t>1.80 +</t>
  </si>
  <si>
    <t>4.5 +</t>
  </si>
  <si>
    <t>7 &lt; x &lt; 8%</t>
  </si>
  <si>
    <t>0 &lt; x &lt; 10%</t>
  </si>
  <si>
    <t>15 &lt; x &lt; 17%</t>
  </si>
  <si>
    <t>1.6 - 1.8</t>
  </si>
  <si>
    <t>4.0 - 4.5</t>
  </si>
  <si>
    <t>6 &lt; x &lt; 7%</t>
  </si>
  <si>
    <t>10 &lt; x &lt; 20%</t>
  </si>
  <si>
    <t>13 &lt; x &lt; 15%</t>
  </si>
  <si>
    <t>1.4 - 1.6</t>
  </si>
  <si>
    <t>3.5 - 4.0</t>
  </si>
  <si>
    <t>6 &lt; x &lt; 6%</t>
  </si>
  <si>
    <t>20 &lt; x &lt; 30%</t>
  </si>
  <si>
    <t>11 &lt; x &lt; 13%</t>
  </si>
  <si>
    <t>1.2 - 1.4</t>
  </si>
  <si>
    <t>3.0 - 3.5</t>
  </si>
  <si>
    <t>4 &lt; x &lt; 5%</t>
  </si>
  <si>
    <t>30 &lt; x &lt; 40%</t>
  </si>
  <si>
    <t>9 &lt; x &lt; 11%</t>
  </si>
  <si>
    <t>1.0 - 1.2</t>
  </si>
  <si>
    <t>2.5 - 3.0</t>
  </si>
  <si>
    <t>3 &lt; x &lt; 4%</t>
  </si>
  <si>
    <t>40 &lt; x &lt; 50%</t>
  </si>
  <si>
    <t>7 &lt; x &lt; 9%</t>
  </si>
  <si>
    <t>0.8 - 1.0</t>
  </si>
  <si>
    <t>2.0 - 2.5</t>
  </si>
  <si>
    <t>2 &lt; x &lt; 3%</t>
  </si>
  <si>
    <t>50 &lt; x &lt; 60%</t>
  </si>
  <si>
    <t>5 &lt; x &lt; 7%</t>
  </si>
  <si>
    <t>0.6 - 0.8</t>
  </si>
  <si>
    <t>1.5 - 2.0</t>
  </si>
  <si>
    <t>1 &lt; x &lt; 2%</t>
  </si>
  <si>
    <t>60 &lt; x &lt; 70%</t>
  </si>
  <si>
    <t>3 &lt; x &lt; 5%</t>
  </si>
  <si>
    <t>0.4 - 0.6</t>
  </si>
  <si>
    <t>1.0 - 1.5</t>
  </si>
  <si>
    <t>0 &lt; x &lt; 1%</t>
  </si>
  <si>
    <t>70 &lt; x &lt; 80%</t>
  </si>
  <si>
    <t>1 &lt; x &lt; 3%</t>
  </si>
  <si>
    <t>0.2 - 0.4</t>
  </si>
  <si>
    <t>0.5 - 1.0</t>
  </si>
  <si>
    <t>Flat Growth</t>
  </si>
  <si>
    <t>80 &lt; x &lt; 90%</t>
  </si>
  <si>
    <t>0.0 - 0.2</t>
  </si>
  <si>
    <t>0.0 - 0.5</t>
  </si>
  <si>
    <t>Declining  Trend</t>
  </si>
  <si>
    <t>&gt; 90%</t>
  </si>
  <si>
    <t>Net Losses</t>
  </si>
  <si>
    <t>Negative Firm ROA</t>
  </si>
  <si>
    <t>Negative</t>
  </si>
  <si>
    <t>Tools &amp; Tackles</t>
  </si>
  <si>
    <t>Cold Room</t>
  </si>
  <si>
    <t>Per Unit Cost</t>
  </si>
  <si>
    <t>No. of Units</t>
  </si>
  <si>
    <t>Misc.</t>
  </si>
  <si>
    <t>License Cost</t>
  </si>
  <si>
    <t>Civil Works</t>
  </si>
  <si>
    <t>Exhausts</t>
  </si>
  <si>
    <t>MRP per SKU in Rs.</t>
  </si>
  <si>
    <t>F.Y. 2022-23</t>
  </si>
  <si>
    <t>F.Y. 2023-24</t>
  </si>
  <si>
    <t>F.Y. 2024-25</t>
  </si>
  <si>
    <t>EQUIPMENT COSTS</t>
  </si>
  <si>
    <t>Profit &amp; Loss A/c</t>
  </si>
  <si>
    <t>Workinig Capital Days:</t>
  </si>
  <si>
    <t>Cash from borrowing</t>
  </si>
  <si>
    <t>Total Cashflow from Investing</t>
  </si>
  <si>
    <t>Net Income</t>
  </si>
  <si>
    <t>Assumed that Packaging cost has been included in the above-mentioned R.M. cost</t>
  </si>
  <si>
    <t>Notes:</t>
  </si>
  <si>
    <t>The Commodity Products of Maida, Whole wheat and Multi-Grain have not been included (which are also in the list of selling items)</t>
  </si>
  <si>
    <t>Projected Sales in units per quarter</t>
  </si>
  <si>
    <t>Total Cashflow from Operations:</t>
  </si>
  <si>
    <t>Total Cashflow from Financing</t>
  </si>
  <si>
    <t xml:space="preserve">Closing Cash Balance </t>
  </si>
  <si>
    <t>Opening Cash Balance</t>
  </si>
  <si>
    <t>Changes in Current Liabilities</t>
  </si>
  <si>
    <t>Closing Stock / Inventory</t>
  </si>
  <si>
    <t>II. ASSETS</t>
  </si>
  <si>
    <t>Average</t>
  </si>
  <si>
    <t>Check</t>
  </si>
  <si>
    <t>Average Debt Equity Ratio:</t>
  </si>
  <si>
    <t>Add: Cash</t>
  </si>
  <si>
    <t>INR Crores</t>
  </si>
  <si>
    <t>DCF Value of the Firm (INR Crores)</t>
  </si>
  <si>
    <t>Net Profit Margin (%)</t>
  </si>
  <si>
    <t xml:space="preserve">  </t>
  </si>
  <si>
    <t>DCF Valuation
(All figures in INR Crores Except Ratios)</t>
  </si>
  <si>
    <t>Total Operating Expenses</t>
  </si>
  <si>
    <t>Cake Premix - W 100</t>
  </si>
  <si>
    <t>Cake Premix - GF</t>
  </si>
  <si>
    <t>Cake Premix - NAS</t>
  </si>
  <si>
    <t>Bread - GF</t>
  </si>
  <si>
    <t>Bread Premix - 6 G</t>
  </si>
  <si>
    <t>Bread Premix- W 100</t>
  </si>
  <si>
    <t>CHENNAI</t>
  </si>
  <si>
    <t>DELHI NCR</t>
  </si>
  <si>
    <t>MIDDLE EAST</t>
  </si>
  <si>
    <t>Billing Price to Distributors (Sales Price for Pushtikar Foods)</t>
  </si>
  <si>
    <t>Total Billing Price to Distributors</t>
  </si>
  <si>
    <t>Avg. Billing Price</t>
  </si>
  <si>
    <t>Distributor</t>
  </si>
  <si>
    <t>MRP</t>
  </si>
  <si>
    <t>Frieght</t>
  </si>
  <si>
    <t>Packaging</t>
  </si>
  <si>
    <t>Margin</t>
  </si>
  <si>
    <t>Distributor Margin</t>
  </si>
  <si>
    <t>Raw Material</t>
  </si>
  <si>
    <t>R.M. + Packaging</t>
  </si>
  <si>
    <t>Costs + Margin</t>
  </si>
  <si>
    <t>GST</t>
  </si>
  <si>
    <t>Dealer Landed Cost</t>
  </si>
  <si>
    <t>Dealer Margin</t>
  </si>
  <si>
    <t>Kayaar Nutri Foods</t>
  </si>
  <si>
    <t>Dealer</t>
  </si>
  <si>
    <t xml:space="preserve">GF CAKE  (VANILLA / CHOCOLATE) </t>
  </si>
  <si>
    <t>GF CAKE (VANILLA / CHOCOLATE) NAS</t>
  </si>
  <si>
    <t>GF COOKIE  (VANILLA / CHOCOLATE) NAS</t>
  </si>
  <si>
    <t>GF BREAD  (BROWN / WHITE)</t>
  </si>
  <si>
    <t>SALES (Units)</t>
  </si>
  <si>
    <t>SALES (Amount)</t>
  </si>
  <si>
    <t>Costs of Purchase of R.M. (Amount)</t>
  </si>
  <si>
    <t>TOTAL COST OF PURCHASE OF R.M.</t>
  </si>
  <si>
    <t>Costs of Packaging (Amount)</t>
  </si>
  <si>
    <t>Price</t>
  </si>
  <si>
    <t>TOTAL COST OF PACKGING</t>
  </si>
  <si>
    <t>Costs of Freight</t>
  </si>
  <si>
    <t>Total Sales</t>
  </si>
  <si>
    <t>TOTAL COST OF FREIGHT</t>
  </si>
  <si>
    <t>Growth Rate</t>
  </si>
  <si>
    <t>RM %</t>
  </si>
  <si>
    <t>Growth</t>
  </si>
  <si>
    <t>RM TO SALES %</t>
  </si>
  <si>
    <t>Yearly Sales</t>
  </si>
  <si>
    <t>Total R.M.</t>
  </si>
  <si>
    <t>Yearly R.M.</t>
  </si>
  <si>
    <t>Seiver</t>
  </si>
  <si>
    <t>Argur</t>
  </si>
  <si>
    <t>Packing Machine</t>
  </si>
  <si>
    <t>Grinder</t>
  </si>
  <si>
    <t>F.Y. 2025-26</t>
  </si>
  <si>
    <t>Blenders -Single Shaft</t>
  </si>
  <si>
    <t>Blenders -Double Shaft</t>
  </si>
  <si>
    <t>Screw Feeder</t>
  </si>
  <si>
    <t>Total Yearly Salary</t>
  </si>
  <si>
    <t>Per Month Salary</t>
  </si>
  <si>
    <t>No. of Employees</t>
  </si>
  <si>
    <t>Account Assistant</t>
  </si>
  <si>
    <t>Worker</t>
  </si>
  <si>
    <t>Guard</t>
  </si>
  <si>
    <t>Regional Manager</t>
  </si>
  <si>
    <t>Assistant Sales Manager</t>
  </si>
  <si>
    <t>Estimated Salary (INR)</t>
  </si>
  <si>
    <t>Marketing Manager</t>
  </si>
  <si>
    <t>As at 31st March 2026</t>
  </si>
  <si>
    <t xml:space="preserve"> WDV as on 01.04.2025</t>
  </si>
  <si>
    <t>WDV as on 31.3.2026</t>
  </si>
  <si>
    <t>YEAR 5</t>
  </si>
  <si>
    <t>QTR 17</t>
  </si>
  <si>
    <t>QTR 18</t>
  </si>
  <si>
    <t>QTR 19</t>
  </si>
  <si>
    <t>QTR 20</t>
  </si>
  <si>
    <t>25-26</t>
  </si>
  <si>
    <t xml:space="preserve"> GF CAKE  (VANILLA / CHOCOLATE)  </t>
  </si>
  <si>
    <t xml:space="preserve"> GF CAKE (VANILLA / CHOCOLATE) NAS </t>
  </si>
  <si>
    <t xml:space="preserve"> GF COOKIE (VANILLA / CHOCOLATE) </t>
  </si>
  <si>
    <t xml:space="preserve"> GF COOKIE  (VANILLA / CHOCOLATE) NAS </t>
  </si>
  <si>
    <t xml:space="preserve"> GF BREAD  (BROWN / WHITE) </t>
  </si>
  <si>
    <t xml:space="preserve"> GF TORTILLOS   </t>
  </si>
  <si>
    <t>PARTICULARS</t>
  </si>
  <si>
    <t>Freight</t>
  </si>
  <si>
    <t>Margins, Freight, Packaging, GST</t>
  </si>
  <si>
    <t>Provisional</t>
  </si>
  <si>
    <t>Misc. Expenses</t>
  </si>
  <si>
    <t>Operational Manager</t>
  </si>
  <si>
    <t>Marketing Expenses</t>
  </si>
  <si>
    <t>Changes in Current Assets</t>
  </si>
  <si>
    <t>Inflation Rate</t>
  </si>
  <si>
    <t>License Renewal Cost</t>
  </si>
  <si>
    <t>Sampling  Costs</t>
  </si>
  <si>
    <t>Staff Welfare Expenses</t>
  </si>
  <si>
    <t>R.M. Returns</t>
  </si>
  <si>
    <t>R.M. + Packaging + Freight</t>
  </si>
  <si>
    <t>Provision for Additional Discount</t>
  </si>
  <si>
    <t>As % of Revenue from RTE</t>
  </si>
  <si>
    <t>As per estimation</t>
  </si>
  <si>
    <t>Britannia</t>
  </si>
  <si>
    <t>Summary</t>
  </si>
  <si>
    <t xml:space="preserve">Revenue Model : </t>
  </si>
  <si>
    <t xml:space="preserve">Business Incorporation: </t>
  </si>
  <si>
    <t xml:space="preserve">Ownership Type: </t>
  </si>
  <si>
    <t>Revenue Assumption:</t>
  </si>
  <si>
    <t>Expense Assumption:</t>
  </si>
  <si>
    <t>Working Capital:</t>
  </si>
  <si>
    <t>Taxes:</t>
  </si>
  <si>
    <t>Loan:</t>
  </si>
  <si>
    <t>Depreciation:</t>
  </si>
  <si>
    <t>WACC:</t>
  </si>
  <si>
    <t>Profit &amp; Loss Statement</t>
  </si>
  <si>
    <t>Balance Sheet</t>
  </si>
  <si>
    <t>Cash Flow Statement</t>
  </si>
  <si>
    <t>Working Capital Schedule</t>
  </si>
  <si>
    <t>Manpower Cost Schedule</t>
  </si>
  <si>
    <t>Fixed Asset Schedule</t>
  </si>
  <si>
    <t>Sales Manpower Schedule</t>
  </si>
  <si>
    <t>Schedule of List of Markets</t>
  </si>
  <si>
    <t>Product (Premixes) Schedule</t>
  </si>
  <si>
    <t>Product (Ready to Eat) Schedule</t>
  </si>
  <si>
    <t>Sales Schedule (Premixes)</t>
  </si>
  <si>
    <t>Sales Schedule (Ready to Eat)</t>
  </si>
  <si>
    <t>Sales Schedule  - All Products</t>
  </si>
  <si>
    <t>Expenses have been estimated and increased over time</t>
  </si>
  <si>
    <t>Britannia Industries Ltd: Levered/Unlevered Beta (500825 | IND | Food Products) - Infront Analytics</t>
  </si>
  <si>
    <t>Nestle India Ltd.: Levered/Unlevered Beta (500790 | IND | Food Products) - Infront Analytics</t>
  </si>
  <si>
    <t>Calculations:</t>
  </si>
  <si>
    <t>KAYAAR NUTRI FOODS LLP</t>
  </si>
  <si>
    <t>Revenue Growth Rate</t>
  </si>
  <si>
    <t>Income Tax provided as per the Provisions of the Income Tax Act, 1961 for Limited Liability Partnership</t>
  </si>
  <si>
    <t>Depreciation has been provided as per Written Down Value (WDV). The depreciation rates considered based on details shared by management</t>
  </si>
  <si>
    <t>Production  Head</t>
  </si>
  <si>
    <t>Head</t>
  </si>
  <si>
    <t>SALES MANPOWER INSTITUTION</t>
  </si>
  <si>
    <t>PUNJAB /J&amp;K</t>
  </si>
  <si>
    <t>KERLA</t>
  </si>
  <si>
    <t>TELANGNA &amp; AP</t>
  </si>
  <si>
    <t>KARNATAKA</t>
  </si>
  <si>
    <t>TAMIL NADU</t>
  </si>
  <si>
    <t>NORTH</t>
  </si>
  <si>
    <t>MAHARASTRA</t>
  </si>
  <si>
    <t>EAST</t>
  </si>
  <si>
    <t>ALL INDIA</t>
  </si>
  <si>
    <t>RSM</t>
  </si>
  <si>
    <t>SALES MANPOWER RETAIL</t>
  </si>
  <si>
    <t>MODERN STORES</t>
  </si>
  <si>
    <t xml:space="preserve">Sales - Head </t>
  </si>
  <si>
    <t>Chef</t>
  </si>
  <si>
    <t>IMMI</t>
  </si>
  <si>
    <t>PHASE 1</t>
  </si>
  <si>
    <t>PHASE 2</t>
  </si>
  <si>
    <t>0 MONTH</t>
  </si>
  <si>
    <t>PHASE</t>
  </si>
  <si>
    <t>PLAN</t>
  </si>
  <si>
    <t>HIT TO ROAD</t>
  </si>
  <si>
    <t>MONTH 03</t>
  </si>
  <si>
    <t>15TH MONTH</t>
  </si>
  <si>
    <t>MONTH 18</t>
  </si>
  <si>
    <t>F.Y. 2026-27</t>
  </si>
  <si>
    <t>LIST OF PRODUCT SKUs - White Labeling/ Institution</t>
  </si>
  <si>
    <t>Pasta</t>
  </si>
  <si>
    <t>GF, Lf COOKIE (VANILLA / CHOCOLATE)</t>
  </si>
  <si>
    <t xml:space="preserve">FARIDABAD </t>
  </si>
  <si>
    <t>DELHI</t>
  </si>
  <si>
    <t>NOIDA</t>
  </si>
  <si>
    <t>JAMMU</t>
  </si>
  <si>
    <t>JALANDHAR</t>
  </si>
  <si>
    <t>JODHPUR</t>
  </si>
  <si>
    <t>UDAIPUR</t>
  </si>
  <si>
    <t>LUDHIANA</t>
  </si>
  <si>
    <t>KERALA</t>
  </si>
  <si>
    <t>GENERAL/ MODEL TRADE SHOPS</t>
  </si>
  <si>
    <t>Roll over Plan for Retail</t>
  </si>
  <si>
    <t>6 months</t>
  </si>
  <si>
    <t>completion</t>
  </si>
  <si>
    <t>KOLKATA</t>
  </si>
  <si>
    <t>Chef for Product Trial</t>
  </si>
  <si>
    <t>Sales Officers For Retail</t>
  </si>
  <si>
    <t>Fudic Bed Dryer</t>
  </si>
  <si>
    <t>Cake Premix - APF (All Purpose Flour)</t>
  </si>
  <si>
    <t>26-27</t>
  </si>
  <si>
    <t>Avg Cost per SKU per Kg</t>
  </si>
  <si>
    <t>Avg. Gross Operating Margin (%) - on R.M. Cost</t>
  </si>
  <si>
    <t>Cost to Distributor (incl. GST)</t>
  </si>
  <si>
    <t>MULTIGRAIN COOKIE</t>
  </si>
  <si>
    <t>MULTIGRAIN JAGGERY COOKIE</t>
  </si>
  <si>
    <t>PASTA</t>
  </si>
  <si>
    <t>CUP O PASTA</t>
  </si>
  <si>
    <t>Multigrain Cookie</t>
  </si>
  <si>
    <t>Multigran Jaggery Cookie</t>
  </si>
  <si>
    <t>Avg. Per Unit Gross Margin of Pushtikar (% on RM)</t>
  </si>
  <si>
    <t>PACK SIZE (GM)</t>
  </si>
  <si>
    <t>GF TORTILLOS   (Pieces)</t>
  </si>
  <si>
    <t>PACK SIZE(GM)</t>
  </si>
  <si>
    <t>Q1</t>
  </si>
  <si>
    <t>Q2</t>
  </si>
  <si>
    <t>Q3</t>
  </si>
  <si>
    <t>Q4</t>
  </si>
  <si>
    <t>Ready to Eat - Institutions</t>
  </si>
  <si>
    <t>Ready to Eat - Retail</t>
  </si>
  <si>
    <t>Premixes - Institutions</t>
  </si>
  <si>
    <t>MULTIGRAN COOKIE</t>
  </si>
  <si>
    <t>MULTIGRAN JAGGERY COOKIE</t>
  </si>
  <si>
    <t>1000 GM</t>
  </si>
  <si>
    <t>Export Sales</t>
  </si>
  <si>
    <t>PACK SIZE (Gm.)</t>
  </si>
  <si>
    <t>12 TH MONTH</t>
  </si>
  <si>
    <t>MONTH 15</t>
  </si>
  <si>
    <t>YEAR 6</t>
  </si>
  <si>
    <t>Resident Manager UAE</t>
  </si>
  <si>
    <t xml:space="preserve">Dryer </t>
  </si>
  <si>
    <t>The current revenue line has been projected till FYE27</t>
  </si>
  <si>
    <t>Estimated</t>
  </si>
  <si>
    <t>PASTA PREMIX</t>
  </si>
  <si>
    <t>E.T.O. Machine</t>
  </si>
  <si>
    <t>Export Manager</t>
  </si>
  <si>
    <t>Account Manager</t>
  </si>
  <si>
    <t>Accounts &amp; Finance Head</t>
  </si>
  <si>
    <t>Employee Designation</t>
  </si>
  <si>
    <t>Logistics Manager</t>
  </si>
  <si>
    <t>QC Manager</t>
  </si>
  <si>
    <t>Operational Head (Order ,Purchase Stores &amp; Logistics)</t>
  </si>
  <si>
    <t>The Company shall have factories only for Premixes.</t>
  </si>
  <si>
    <t>All RTEs shall be on contract basis.</t>
  </si>
  <si>
    <t>Export manager</t>
  </si>
  <si>
    <t>Operational Salary (as a % of Total Salary)</t>
  </si>
  <si>
    <t>Sales &amp; Marketing Salary (as a % of Total Salary)</t>
  </si>
  <si>
    <t>Operational Salary (as a % of Total Sales)</t>
  </si>
  <si>
    <t>Sales &amp; Marketing Salary (as a % of Total Sales)</t>
  </si>
  <si>
    <t>Foot Notes:</t>
  </si>
  <si>
    <t>Avg. Cost per SKU (with packing) in Rs.</t>
  </si>
  <si>
    <t>Total Cost per SKU (with packing) in Rs.</t>
  </si>
  <si>
    <t>Total Selling Price per Kg</t>
  </si>
  <si>
    <t>Avg Selling Price per Kg</t>
  </si>
  <si>
    <t>Avg. Selling Price per kg (wih Tax)</t>
  </si>
  <si>
    <t>Total Selling Price per Kg (with Tax)</t>
  </si>
  <si>
    <t>TotalCost per Kg for all SKUs</t>
  </si>
  <si>
    <t>No. of SKUs</t>
  </si>
  <si>
    <t>Avg. R.M. Cost per unit</t>
  </si>
  <si>
    <t>Frieght Inward</t>
  </si>
  <si>
    <t>Costs + Margin (Pushtikar)</t>
  </si>
  <si>
    <t>Costs of Freight Inward</t>
  </si>
  <si>
    <t>Product-wise Sales (% of Total Sales)</t>
  </si>
  <si>
    <t>Additional Sales per Month</t>
  </si>
  <si>
    <t>Monthly Sales</t>
  </si>
  <si>
    <t>Yearly Purchase</t>
  </si>
  <si>
    <t>Quarterly Purchase</t>
  </si>
  <si>
    <t>Purchase to Sales % (Yearly)</t>
  </si>
  <si>
    <t>R.M., Packaging &amp; Freight To Sales % (Yearly)</t>
  </si>
  <si>
    <t>R.M., Packaging and Freight</t>
  </si>
  <si>
    <t>Average RM to Sales %</t>
  </si>
  <si>
    <t xml:space="preserve"> WDV as on 01.04.2026</t>
  </si>
  <si>
    <t>WDV as on 31.3.2027</t>
  </si>
  <si>
    <t>As at 31st March 2027</t>
  </si>
  <si>
    <t>https://countryeconomy.com/bonds/india</t>
  </si>
  <si>
    <t>`</t>
  </si>
  <si>
    <t>Loan component assumed with interest rates @18%</t>
  </si>
  <si>
    <t>Pre Money Valuation</t>
  </si>
  <si>
    <t>Post Money Valuation (DCF Method)</t>
  </si>
  <si>
    <t>Property, Plant &amp; Equipments</t>
  </si>
  <si>
    <t>Customer Concentration
(Sale to Top-5 Customers / Total Sales)</t>
  </si>
  <si>
    <t>Sustainable Growth Rate (Post Year 2027)</t>
  </si>
  <si>
    <t>% of share to be offered for funding</t>
  </si>
  <si>
    <t>funding amount</t>
  </si>
  <si>
    <t>ROI to Investor</t>
  </si>
  <si>
    <t xml:space="preserve">7 cr invested </t>
  </si>
  <si>
    <t>after 2 years, 30% ki valuation kaha pohachegi</t>
  </si>
  <si>
    <t>if 50% of that turnover taken…</t>
  </si>
  <si>
    <t>EXIT PLAN FOR INVESTOR…</t>
  </si>
  <si>
    <t>Synopsis of growth</t>
  </si>
  <si>
    <t>Fund raising sheet.</t>
  </si>
  <si>
    <t>if val. Goes from 26 cr to 40 cr then it will be</t>
  </si>
  <si>
    <t>Y1</t>
  </si>
  <si>
    <t>Y2</t>
  </si>
  <si>
    <t>sales &amp; marketing - SALARIES</t>
  </si>
  <si>
    <t>salaries</t>
  </si>
  <si>
    <t>Marketing exp, lab testing, sampling, additional discount</t>
  </si>
  <si>
    <t>Other Salaries</t>
  </si>
  <si>
    <t>OPEX</t>
  </si>
  <si>
    <t>OTHEROPS</t>
  </si>
  <si>
    <t>CAPEX</t>
  </si>
  <si>
    <t>NET W.C.</t>
  </si>
  <si>
    <t>Current Liabilities:</t>
  </si>
  <si>
    <t>Non Current Liabilities:</t>
  </si>
  <si>
    <t>I. EQUITY AND LIABILITIES:</t>
  </si>
  <si>
    <t>Fixed Assets:</t>
  </si>
  <si>
    <t>BSE Return in last 43 years</t>
  </si>
  <si>
    <t>Repayment to Loans</t>
  </si>
  <si>
    <t xml:space="preserve">Trade receivables and payables based on standard commercial practices in the industry </t>
  </si>
  <si>
    <t>The business is engaged in manufacturing of Healthy and life style Products in multiple categories: Ready to Eat, Flours and Premixes . With increasing demand in the segment and lack of intense competition, competitive edge is the quality of products provided by the Entity.</t>
  </si>
  <si>
    <t>Current Assets:</t>
  </si>
  <si>
    <t>Return of book debts</t>
  </si>
  <si>
    <t>Cash in hand:</t>
  </si>
  <si>
    <t>All cash has been retained in the company in this model , however dividends will be paid as per the situation.</t>
  </si>
  <si>
    <t>Total Expneses</t>
  </si>
  <si>
    <t>Operational Expneses</t>
  </si>
  <si>
    <t>Cost of goods sold</t>
  </si>
  <si>
    <t>Store Asst</t>
  </si>
  <si>
    <t>QC executive</t>
  </si>
  <si>
    <t>Floor manager</t>
  </si>
  <si>
    <t>Online Marketing Manager</t>
  </si>
  <si>
    <t>Distribution Cost</t>
  </si>
  <si>
    <t>Utilization</t>
  </si>
  <si>
    <t>As per schedule</t>
  </si>
  <si>
    <t>As % of Inflation</t>
  </si>
  <si>
    <t>As % of Raw Materials Purchased</t>
  </si>
  <si>
    <t>As % of Revenue</t>
  </si>
  <si>
    <t>As per FA Schedule</t>
  </si>
  <si>
    <t>Product (Export) Schedule</t>
  </si>
  <si>
    <t>Sales Schedule (Export)</t>
  </si>
  <si>
    <t>Equipments Cost Schedule</t>
  </si>
  <si>
    <t>Tax</t>
  </si>
  <si>
    <t>Profit / (Loss) for the year</t>
  </si>
  <si>
    <t>Contr. Of Pasta &amp; Lf.</t>
  </si>
  <si>
    <t xml:space="preserve">7 Y </t>
  </si>
  <si>
    <t>Loan disbursement Charges</t>
  </si>
  <si>
    <t>Interest on Debt</t>
  </si>
  <si>
    <t>ANNEXURE</t>
  </si>
  <si>
    <t>CALCULATION OF INTEREST ON TERM LOAN REPAYMENT PROGRAMME FOR TERM LOAN</t>
  </si>
  <si>
    <t>Loan Amount Outstanding</t>
  </si>
  <si>
    <t>Balance</t>
  </si>
  <si>
    <t xml:space="preserve">      </t>
  </si>
  <si>
    <t xml:space="preserve"> </t>
  </si>
  <si>
    <t>YEAR</t>
  </si>
  <si>
    <t>CALCULATION</t>
  </si>
  <si>
    <t>SUM</t>
  </si>
  <si>
    <t>DSCR</t>
  </si>
  <si>
    <t>+</t>
  </si>
  <si>
    <t>=</t>
  </si>
  <si>
    <t xml:space="preserve">Hence average DSCR for above period may be taken at </t>
  </si>
  <si>
    <t>Interest p.a. @</t>
  </si>
  <si>
    <t>EMI</t>
  </si>
  <si>
    <t>Year</t>
  </si>
  <si>
    <t>Month</t>
  </si>
  <si>
    <t>Freight Charges</t>
  </si>
  <si>
    <t>FY 2022-23</t>
  </si>
  <si>
    <t>FY 2023-24</t>
  </si>
  <si>
    <t>Less: Repayment of Loan</t>
  </si>
  <si>
    <t>FY 2024-25</t>
  </si>
  <si>
    <t>FY 2025-26</t>
  </si>
  <si>
    <t>FY 2026-27</t>
  </si>
  <si>
    <t>FY 2027-28</t>
  </si>
  <si>
    <t>FY 2028-29</t>
  </si>
  <si>
    <t>FY 2029-30</t>
  </si>
  <si>
    <t>Provision for Bad Debts</t>
  </si>
  <si>
    <t>Provision for Depreciation</t>
  </si>
  <si>
    <t>CALCULATION OF DEBT SERVICE COVERAGE RATIO (DSCR)</t>
  </si>
  <si>
    <t>Provisions &amp; Depreciation</t>
  </si>
  <si>
    <t>Cash Accrual</t>
  </si>
  <si>
    <t>Provisions</t>
  </si>
  <si>
    <t>Existing Term Loan</t>
  </si>
  <si>
    <t>Paid-in Capital/ (Repayment of Capital)</t>
  </si>
  <si>
    <t>Bread Premix- All Purpose</t>
  </si>
  <si>
    <t>Interest capitalization</t>
  </si>
  <si>
    <t>Other Current Liabilities</t>
  </si>
  <si>
    <t>Provision for Income Tax</t>
  </si>
  <si>
    <t>Average Levered Beta</t>
  </si>
  <si>
    <t>Batching Machine</t>
  </si>
  <si>
    <t>Convertible Loan</t>
  </si>
  <si>
    <t>Term Loan</t>
  </si>
  <si>
    <t>Interest accrued on Convertible Loan</t>
  </si>
  <si>
    <t xml:space="preserve">Bank OD </t>
  </si>
  <si>
    <t>Discount rate for future cashflows considered @19.1% considering a well established food brand in the Market Perpuity growth conidered @ 5%</t>
  </si>
  <si>
    <t>ABC Nutri foods</t>
  </si>
  <si>
    <t>Private Limited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</si>
</sst>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-* #,##0_-;\(#,##0\)_-;_-* &quot;-&quot;_-;_-@_-"/>
    <numFmt numFmtId="167" formatCode="_-* #,##0.00_-;\(#,##0.00\)_-;_-* &quot;-&quot;_-;_-@_-"/>
    <numFmt numFmtId="168" formatCode="0.0%"/>
    <numFmt numFmtId="169" formatCode="_(* #,##0.0_);_(* \(#,##0.0\);_(* &quot;-&quot;?_);_(@_)"/>
    <numFmt numFmtId="170" formatCode="_ * #,##0_ ;_ * \-#,##0_ ;_ * &quot;-&quot;??_ ;_ @_ "/>
    <numFmt numFmtId="171" formatCode="[$-409]mmm/yy;@"/>
    <numFmt numFmtId="172" formatCode="_-* #,##0.00_-;\-* #,##0.00_-;_-* &quot;-&quot;??_-;_-@_-"/>
  </numFmts>
  <fonts count="100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mbria"/>
      <family val="1"/>
      <scheme val="maj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sz val="10"/>
      <color theme="1"/>
      <name val="Open Sans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10"/>
      <color theme="1"/>
      <name val="Gill Sans MT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name val="Calibri"/>
      <family val="2"/>
      <scheme val="minor"/>
    </font>
    <font>
      <sz val="9"/>
      <color rgb="FF000000"/>
      <name val="Cambria"/>
      <family val="1"/>
      <scheme val="major"/>
    </font>
    <font>
      <sz val="9"/>
      <color rgb="FF000000"/>
      <name val="Arial"/>
      <family val="2"/>
    </font>
    <font>
      <sz val="9"/>
      <color rgb="FF000000"/>
      <name val="Calibri"/>
      <family val="2"/>
      <charset val="204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rgb="FF000000"/>
      <name val="Calibri"/>
      <family val="2"/>
      <charset val="204"/>
    </font>
    <font>
      <sz val="12"/>
      <color theme="0"/>
      <name val="Calibri"/>
      <family val="2"/>
      <scheme val="minor"/>
    </font>
    <font>
      <b/>
      <sz val="12"/>
      <color theme="0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u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4"/>
      <color theme="0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u/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theme="1"/>
      <name val="Verdana"/>
      <family val="2"/>
    </font>
    <font>
      <sz val="10"/>
      <color rgb="FF000000"/>
      <name val="Calibri"/>
      <family val="2"/>
      <charset val="204"/>
    </font>
    <font>
      <b/>
      <sz val="12"/>
      <color rgb="FF000000"/>
      <name val="Calibri"/>
      <family val="2"/>
    </font>
    <font>
      <b/>
      <u val="singleAccounting"/>
      <sz val="12"/>
      <color theme="1"/>
      <name val="Calibri"/>
      <family val="2"/>
      <scheme val="minor"/>
    </font>
    <font>
      <u/>
      <sz val="10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1"/>
      <color rgb="FF0070C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4"/>
      <color theme="0"/>
      <name val="Arial"/>
      <family val="2"/>
    </font>
    <font>
      <u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name val="Calibri"/>
      <family val="2"/>
    </font>
    <font>
      <i/>
      <sz val="10"/>
      <color rgb="FFFFFF00"/>
      <name val="Calibri"/>
      <family val="2"/>
      <scheme val="minor"/>
    </font>
    <font>
      <b/>
      <u val="singleAccounting"/>
      <sz val="11"/>
      <color rgb="FF000000"/>
      <name val="Calibri"/>
      <family val="2"/>
    </font>
    <font>
      <u/>
      <sz val="12"/>
      <color theme="0"/>
      <name val="Calibri"/>
      <family val="2"/>
      <scheme val="minor"/>
    </font>
    <font>
      <sz val="11"/>
      <color theme="0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name val="Arial"/>
      <family val="2"/>
    </font>
    <font>
      <b/>
      <i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charset val="204"/>
    </font>
    <font>
      <b/>
      <i/>
      <sz val="11"/>
      <color theme="0"/>
      <name val="Arial"/>
      <family val="2"/>
    </font>
    <font>
      <sz val="10"/>
      <name val="Arial"/>
    </font>
    <font>
      <b/>
      <u/>
      <sz val="10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theme="4" tint="0.59999389629810485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theme="4" tint="0.59999389629810485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1" fillId="0" borderId="1" applyFont="0" applyFill="0" applyBorder="0" applyAlignment="0" applyProtection="0"/>
    <xf numFmtId="0" fontId="20" fillId="0" borderId="1"/>
    <xf numFmtId="0" fontId="10" fillId="0" borderId="1"/>
    <xf numFmtId="0" fontId="8" fillId="0" borderId="1"/>
    <xf numFmtId="9" fontId="8" fillId="0" borderId="1" applyFont="0" applyFill="0" applyBorder="0" applyAlignment="0" applyProtection="0"/>
    <xf numFmtId="43" fontId="8" fillId="0" borderId="1" applyFont="0" applyFill="0" applyBorder="0" applyAlignment="0" applyProtection="0"/>
    <xf numFmtId="43" fontId="7" fillId="0" borderId="1" applyFont="0" applyFill="0" applyBorder="0" applyAlignment="0" applyProtection="0"/>
    <xf numFmtId="43" fontId="7" fillId="0" borderId="1" applyFont="0" applyFill="0" applyBorder="0" applyAlignment="0" applyProtection="0"/>
    <xf numFmtId="9" fontId="7" fillId="0" borderId="1" applyFont="0" applyFill="0" applyBorder="0" applyAlignment="0" applyProtection="0"/>
    <xf numFmtId="43" fontId="5" fillId="0" borderId="1" applyFont="0" applyFill="0" applyBorder="0" applyAlignment="0" applyProtection="0"/>
    <xf numFmtId="44" fontId="5" fillId="0" borderId="1" applyFont="0" applyFill="0" applyBorder="0" applyAlignment="0" applyProtection="0"/>
    <xf numFmtId="0" fontId="53" fillId="0" borderId="1" applyFill="0" applyProtection="0"/>
    <xf numFmtId="43" fontId="4" fillId="0" borderId="1" applyFont="0" applyFill="0" applyBorder="0" applyAlignment="0" applyProtection="0"/>
    <xf numFmtId="0" fontId="58" fillId="0" borderId="1" applyNumberFormat="0" applyFill="0" applyBorder="0" applyAlignment="0" applyProtection="0">
      <alignment vertical="top"/>
      <protection locked="0"/>
    </xf>
    <xf numFmtId="9" fontId="4" fillId="0" borderId="1" applyFont="0" applyFill="0" applyBorder="0" applyAlignment="0" applyProtection="0"/>
    <xf numFmtId="43" fontId="61" fillId="0" borderId="1" applyFont="0" applyFill="0" applyBorder="0" applyAlignment="0" applyProtection="0"/>
    <xf numFmtId="0" fontId="62" fillId="0" borderId="1">
      <alignment vertical="top"/>
    </xf>
    <xf numFmtId="43" fontId="62" fillId="0" borderId="1" applyFont="0" applyFill="0" applyBorder="0" applyAlignment="0" applyProtection="0"/>
    <xf numFmtId="43" fontId="62" fillId="0" borderId="1" applyFont="0" applyFill="0" applyBorder="0" applyAlignment="0" applyProtection="0"/>
    <xf numFmtId="43" fontId="3" fillId="0" borderId="1" applyFont="0" applyFill="0" applyBorder="0" applyAlignment="0" applyProtection="0"/>
    <xf numFmtId="44" fontId="3" fillId="0" borderId="1" applyFont="0" applyFill="0" applyBorder="0" applyAlignment="0" applyProtection="0"/>
    <xf numFmtId="43" fontId="2" fillId="0" borderId="1" applyFont="0" applyFill="0" applyBorder="0" applyAlignment="0" applyProtection="0"/>
    <xf numFmtId="0" fontId="2" fillId="0" borderId="1"/>
    <xf numFmtId="0" fontId="93" fillId="0" borderId="1"/>
    <xf numFmtId="43" fontId="93" fillId="0" borderId="1" applyFont="0" applyFill="0" applyBorder="0" applyAlignment="0" applyProtection="0"/>
    <xf numFmtId="9" fontId="93" fillId="0" borderId="1" applyFont="0" applyFill="0" applyBorder="0" applyAlignment="0" applyProtection="0"/>
  </cellStyleXfs>
  <cellXfs count="673">
    <xf numFmtId="0" fontId="0" fillId="0" borderId="0" xfId="0"/>
    <xf numFmtId="0" fontId="12" fillId="0" borderId="0" xfId="0" applyFont="1"/>
    <xf numFmtId="0" fontId="13" fillId="0" borderId="1" xfId="0" applyFont="1" applyBorder="1" applyAlignment="1">
      <alignment horizontal="left"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12" fillId="0" borderId="1" xfId="0" applyFont="1" applyBorder="1"/>
    <xf numFmtId="165" fontId="13" fillId="0" borderId="1" xfId="1" applyNumberFormat="1" applyFont="1" applyBorder="1" applyAlignment="1">
      <alignment horizontal="left"/>
    </xf>
    <xf numFmtId="165" fontId="12" fillId="0" borderId="0" xfId="0" applyNumberFormat="1" applyFont="1"/>
    <xf numFmtId="0" fontId="13" fillId="0" borderId="0" xfId="0" applyFont="1"/>
    <xf numFmtId="0" fontId="15" fillId="0" borderId="0" xfId="0" applyFont="1"/>
    <xf numFmtId="165" fontId="0" fillId="0" borderId="0" xfId="1" applyNumberFormat="1" applyFont="1"/>
    <xf numFmtId="165" fontId="14" fillId="0" borderId="0" xfId="1" applyNumberFormat="1" applyFont="1" applyAlignment="1"/>
    <xf numFmtId="165" fontId="12" fillId="0" borderId="0" xfId="1" applyNumberFormat="1" applyFont="1" applyAlignment="1"/>
    <xf numFmtId="10" fontId="12" fillId="0" borderId="0" xfId="2" applyNumberFormat="1" applyFont="1" applyAlignment="1"/>
    <xf numFmtId="165" fontId="13" fillId="0" borderId="1" xfId="1" applyNumberFormat="1" applyFont="1" applyFill="1" applyBorder="1" applyAlignment="1">
      <alignment horizontal="left"/>
    </xf>
    <xf numFmtId="43" fontId="13" fillId="0" borderId="1" xfId="1" applyFont="1" applyFill="1" applyBorder="1" applyAlignment="1">
      <alignment horizontal="left"/>
    </xf>
    <xf numFmtId="43" fontId="12" fillId="0" borderId="0" xfId="0" applyNumberFormat="1" applyFont="1"/>
    <xf numFmtId="43" fontId="12" fillId="0" borderId="0" xfId="2" applyNumberFormat="1" applyFont="1" applyFill="1" applyAlignment="1"/>
    <xf numFmtId="0" fontId="29" fillId="0" borderId="1" xfId="6" applyFont="1"/>
    <xf numFmtId="165" fontId="29" fillId="0" borderId="1" xfId="6" applyNumberFormat="1" applyFont="1"/>
    <xf numFmtId="165" fontId="29" fillId="0" borderId="1" xfId="8" applyNumberFormat="1" applyFont="1"/>
    <xf numFmtId="43" fontId="29" fillId="0" borderId="1" xfId="6" applyNumberFormat="1" applyFont="1"/>
    <xf numFmtId="169" fontId="29" fillId="0" borderId="1" xfId="6" applyNumberFormat="1" applyFont="1"/>
    <xf numFmtId="0" fontId="31" fillId="0" borderId="2" xfId="6" applyFont="1" applyBorder="1"/>
    <xf numFmtId="165" fontId="14" fillId="0" borderId="0" xfId="1" applyNumberFormat="1" applyFont="1" applyFill="1" applyAlignment="1"/>
    <xf numFmtId="10" fontId="12" fillId="0" borderId="0" xfId="2" applyNumberFormat="1" applyFont="1" applyFill="1" applyAlignment="1"/>
    <xf numFmtId="165" fontId="22" fillId="5" borderId="3" xfId="1" applyNumberFormat="1" applyFont="1" applyFill="1" applyBorder="1" applyAlignment="1">
      <alignment horizontal="left"/>
    </xf>
    <xf numFmtId="165" fontId="21" fillId="5" borderId="3" xfId="1" applyNumberFormat="1" applyFont="1" applyFill="1" applyBorder="1" applyAlignment="1">
      <alignment horizontal="left"/>
    </xf>
    <xf numFmtId="165" fontId="22" fillId="5" borderId="3" xfId="0" applyNumberFormat="1" applyFont="1" applyFill="1" applyBorder="1"/>
    <xf numFmtId="168" fontId="21" fillId="5" borderId="3" xfId="2" applyNumberFormat="1" applyFont="1" applyFill="1" applyBorder="1" applyAlignment="1">
      <alignment horizontal="center"/>
    </xf>
    <xf numFmtId="165" fontId="22" fillId="5" borderId="3" xfId="1" applyNumberFormat="1" applyFont="1" applyFill="1" applyBorder="1" applyAlignment="1">
      <alignment horizontal="right" vertical="top" shrinkToFit="1"/>
    </xf>
    <xf numFmtId="9" fontId="22" fillId="5" borderId="3" xfId="2" applyFont="1" applyFill="1" applyBorder="1" applyAlignment="1">
      <alignment horizontal="right" vertical="top" shrinkToFit="1"/>
    </xf>
    <xf numFmtId="10" fontId="22" fillId="5" borderId="3" xfId="2" applyNumberFormat="1" applyFont="1" applyFill="1" applyBorder="1" applyAlignment="1">
      <alignment horizontal="right"/>
    </xf>
    <xf numFmtId="168" fontId="22" fillId="5" borderId="3" xfId="2" applyNumberFormat="1" applyFont="1" applyFill="1" applyBorder="1" applyAlignment="1">
      <alignment horizontal="right" vertical="top" shrinkToFit="1"/>
    </xf>
    <xf numFmtId="10" fontId="22" fillId="5" borderId="3" xfId="2" applyNumberFormat="1" applyFont="1" applyFill="1" applyBorder="1" applyAlignment="1">
      <alignment horizontal="right" vertical="top" shrinkToFit="1"/>
    </xf>
    <xf numFmtId="9" fontId="22" fillId="5" borderId="3" xfId="2" applyFont="1" applyFill="1" applyBorder="1" applyAlignment="1">
      <alignment horizontal="center"/>
    </xf>
    <xf numFmtId="165" fontId="22" fillId="5" borderId="3" xfId="2" applyNumberFormat="1" applyFont="1" applyFill="1" applyBorder="1" applyAlignment="1">
      <alignment horizontal="center"/>
    </xf>
    <xf numFmtId="9" fontId="22" fillId="5" borderId="3" xfId="2" applyFont="1" applyFill="1" applyBorder="1" applyAlignment="1"/>
    <xf numFmtId="165" fontId="23" fillId="5" borderId="3" xfId="0" applyNumberFormat="1" applyFont="1" applyFill="1" applyBorder="1"/>
    <xf numFmtId="10" fontId="23" fillId="5" borderId="3" xfId="2" applyNumberFormat="1" applyFont="1" applyFill="1" applyBorder="1"/>
    <xf numFmtId="165" fontId="22" fillId="5" borderId="3" xfId="1" applyNumberFormat="1" applyFont="1" applyFill="1" applyBorder="1" applyAlignment="1">
      <alignment horizontal="right"/>
    </xf>
    <xf numFmtId="43" fontId="22" fillId="5" borderId="3" xfId="0" applyNumberFormat="1" applyFont="1" applyFill="1" applyBorder="1" applyAlignment="1">
      <alignment horizontal="center" vertical="top"/>
    </xf>
    <xf numFmtId="9" fontId="22" fillId="5" borderId="3" xfId="2" applyFont="1" applyFill="1" applyBorder="1" applyAlignment="1">
      <alignment vertical="top"/>
    </xf>
    <xf numFmtId="0" fontId="28" fillId="2" borderId="3" xfId="0" applyFont="1" applyFill="1" applyBorder="1" applyAlignment="1">
      <alignment horizontal="center" vertical="top" wrapText="1"/>
    </xf>
    <xf numFmtId="0" fontId="36" fillId="2" borderId="3" xfId="0" applyFont="1" applyFill="1" applyBorder="1" applyAlignment="1">
      <alignment horizontal="center" vertical="top" wrapText="1"/>
    </xf>
    <xf numFmtId="14" fontId="36" fillId="2" borderId="3" xfId="1" applyNumberFormat="1" applyFont="1" applyFill="1" applyBorder="1" applyAlignment="1">
      <alignment horizontal="center" vertical="top"/>
    </xf>
    <xf numFmtId="14" fontId="36" fillId="2" borderId="3" xfId="0" applyNumberFormat="1" applyFont="1" applyFill="1" applyBorder="1" applyAlignment="1">
      <alignment horizontal="center" vertical="top"/>
    </xf>
    <xf numFmtId="14" fontId="36" fillId="2" borderId="3" xfId="1" applyNumberFormat="1" applyFont="1" applyFill="1" applyBorder="1" applyAlignment="1">
      <alignment horizontal="center" vertical="top" wrapText="1"/>
    </xf>
    <xf numFmtId="14" fontId="36" fillId="2" borderId="3" xfId="0" applyNumberFormat="1" applyFont="1" applyFill="1" applyBorder="1" applyAlignment="1">
      <alignment horizontal="center" vertical="top" wrapText="1"/>
    </xf>
    <xf numFmtId="0" fontId="37" fillId="2" borderId="3" xfId="0" applyFont="1" applyFill="1" applyBorder="1" applyAlignment="1">
      <alignment horizontal="left" vertical="top"/>
    </xf>
    <xf numFmtId="165" fontId="36" fillId="2" borderId="3" xfId="0" applyNumberFormat="1" applyFont="1" applyFill="1" applyBorder="1" applyAlignment="1">
      <alignment horizontal="left" vertical="top"/>
    </xf>
    <xf numFmtId="0" fontId="36" fillId="2" borderId="3" xfId="0" applyFont="1" applyFill="1" applyBorder="1" applyAlignment="1">
      <alignment horizontal="left" vertical="top"/>
    </xf>
    <xf numFmtId="0" fontId="37" fillId="2" borderId="3" xfId="0" applyFont="1" applyFill="1" applyBorder="1" applyAlignment="1">
      <alignment horizontal="left" vertical="top" indent="1"/>
    </xf>
    <xf numFmtId="0" fontId="36" fillId="2" borderId="3" xfId="0" applyFont="1" applyFill="1" applyBorder="1"/>
    <xf numFmtId="0" fontId="35" fillId="2" borderId="3" xfId="0" applyFont="1" applyFill="1" applyBorder="1" applyAlignment="1">
      <alignment horizontal="center"/>
    </xf>
    <xf numFmtId="165" fontId="22" fillId="4" borderId="3" xfId="1" applyNumberFormat="1" applyFont="1" applyFill="1" applyBorder="1" applyAlignment="1"/>
    <xf numFmtId="165" fontId="25" fillId="4" borderId="3" xfId="1" applyNumberFormat="1" applyFont="1" applyFill="1" applyBorder="1" applyAlignment="1"/>
    <xf numFmtId="165" fontId="26" fillId="4" borderId="3" xfId="1" applyNumberFormat="1" applyFont="1" applyFill="1" applyBorder="1" applyAlignment="1">
      <alignment shrinkToFit="1"/>
    </xf>
    <xf numFmtId="165" fontId="21" fillId="4" borderId="3" xfId="1" applyNumberFormat="1" applyFont="1" applyFill="1" applyBorder="1" applyAlignment="1"/>
    <xf numFmtId="10" fontId="25" fillId="4" borderId="3" xfId="2" applyNumberFormat="1" applyFont="1" applyFill="1" applyBorder="1" applyAlignment="1"/>
    <xf numFmtId="165" fontId="22" fillId="4" borderId="3" xfId="1" applyNumberFormat="1" applyFont="1" applyFill="1" applyBorder="1" applyAlignment="1">
      <alignment shrinkToFit="1"/>
    </xf>
    <xf numFmtId="165" fontId="27" fillId="4" borderId="3" xfId="1" applyNumberFormat="1" applyFont="1" applyFill="1" applyBorder="1"/>
    <xf numFmtId="0" fontId="38" fillId="0" borderId="0" xfId="0" applyFont="1"/>
    <xf numFmtId="0" fontId="33" fillId="2" borderId="3" xfId="0" applyFont="1" applyFill="1" applyBorder="1" applyAlignment="1">
      <alignment horizontal="center" vertical="top" wrapText="1"/>
    </xf>
    <xf numFmtId="0" fontId="39" fillId="2" borderId="3" xfId="0" applyFont="1" applyFill="1" applyBorder="1" applyAlignment="1">
      <alignment horizontal="left" vertical="top"/>
    </xf>
    <xf numFmtId="0" fontId="40" fillId="2" borderId="3" xfId="0" applyFont="1" applyFill="1" applyBorder="1" applyAlignment="1">
      <alignment horizontal="center"/>
    </xf>
    <xf numFmtId="14" fontId="33" fillId="2" borderId="3" xfId="1" applyNumberFormat="1" applyFont="1" applyFill="1" applyBorder="1" applyAlignment="1">
      <alignment horizontal="center" vertical="top" wrapText="1"/>
    </xf>
    <xf numFmtId="14" fontId="33" fillId="2" borderId="3" xfId="0" applyNumberFormat="1" applyFont="1" applyFill="1" applyBorder="1" applyAlignment="1">
      <alignment horizontal="center" vertical="top" wrapText="1"/>
    </xf>
    <xf numFmtId="0" fontId="0" fillId="4" borderId="3" xfId="0" applyFill="1" applyBorder="1"/>
    <xf numFmtId="165" fontId="0" fillId="4" borderId="3" xfId="1" applyNumberFormat="1" applyFont="1" applyFill="1" applyBorder="1"/>
    <xf numFmtId="165" fontId="15" fillId="4" borderId="3" xfId="1" applyNumberFormat="1" applyFont="1" applyFill="1" applyBorder="1"/>
    <xf numFmtId="165" fontId="9" fillId="4" borderId="3" xfId="1" applyNumberFormat="1" applyFont="1" applyFill="1" applyBorder="1"/>
    <xf numFmtId="165" fontId="18" fillId="4" borderId="3" xfId="1" applyNumberFormat="1" applyFont="1" applyFill="1" applyBorder="1"/>
    <xf numFmtId="165" fontId="0" fillId="0" borderId="1" xfId="9" applyNumberFormat="1" applyFont="1"/>
    <xf numFmtId="165" fontId="0" fillId="0" borderId="1" xfId="10" applyNumberFormat="1" applyFont="1"/>
    <xf numFmtId="165" fontId="0" fillId="0" borderId="1" xfId="10" applyNumberFormat="1" applyFont="1" applyAlignment="1">
      <alignment horizontal="center"/>
    </xf>
    <xf numFmtId="9" fontId="29" fillId="0" borderId="1" xfId="6" applyNumberFormat="1" applyFont="1"/>
    <xf numFmtId="165" fontId="0" fillId="6" borderId="3" xfId="10" applyNumberFormat="1" applyFont="1" applyFill="1" applyBorder="1" applyAlignment="1">
      <alignment horizontal="center" vertical="center"/>
    </xf>
    <xf numFmtId="165" fontId="0" fillId="6" borderId="3" xfId="10" applyNumberFormat="1" applyFont="1" applyFill="1" applyBorder="1" applyAlignment="1">
      <alignment vertical="center"/>
    </xf>
    <xf numFmtId="165" fontId="7" fillId="6" borderId="11" xfId="10" applyNumberFormat="1" applyFont="1" applyFill="1" applyBorder="1" applyAlignment="1">
      <alignment horizontal="center" vertical="center"/>
    </xf>
    <xf numFmtId="165" fontId="41" fillId="6" borderId="13" xfId="10" applyNumberFormat="1" applyFont="1" applyFill="1" applyBorder="1" applyAlignment="1">
      <alignment horizontal="center" vertical="center"/>
    </xf>
    <xf numFmtId="165" fontId="0" fillId="6" borderId="10" xfId="10" applyNumberFormat="1" applyFont="1" applyFill="1" applyBorder="1" applyAlignment="1">
      <alignment horizontal="center" vertical="center"/>
    </xf>
    <xf numFmtId="165" fontId="0" fillId="6" borderId="12" xfId="10" applyNumberFormat="1" applyFont="1" applyFill="1" applyBorder="1" applyAlignment="1">
      <alignment horizontal="center" vertical="center"/>
    </xf>
    <xf numFmtId="165" fontId="0" fillId="6" borderId="1" xfId="10" applyNumberFormat="1" applyFont="1" applyFill="1"/>
    <xf numFmtId="165" fontId="0" fillId="6" borderId="12" xfId="10" applyNumberFormat="1" applyFont="1" applyFill="1" applyBorder="1" applyAlignment="1">
      <alignment vertical="center"/>
    </xf>
    <xf numFmtId="165" fontId="0" fillId="6" borderId="13" xfId="10" applyNumberFormat="1" applyFont="1" applyFill="1" applyBorder="1" applyAlignment="1">
      <alignment vertical="center"/>
    </xf>
    <xf numFmtId="165" fontId="0" fillId="6" borderId="14" xfId="10" applyNumberFormat="1" applyFont="1" applyFill="1" applyBorder="1" applyAlignment="1">
      <alignment horizontal="center" vertical="center"/>
    </xf>
    <xf numFmtId="165" fontId="6" fillId="6" borderId="14" xfId="10" applyNumberFormat="1" applyFont="1" applyFill="1" applyBorder="1" applyAlignment="1">
      <alignment horizontal="center" vertical="center"/>
    </xf>
    <xf numFmtId="165" fontId="0" fillId="6" borderId="17" xfId="10" applyNumberFormat="1" applyFont="1" applyFill="1" applyBorder="1" applyAlignment="1">
      <alignment vertical="center"/>
    </xf>
    <xf numFmtId="165" fontId="0" fillId="6" borderId="15" xfId="10" applyNumberFormat="1" applyFont="1" applyFill="1" applyBorder="1" applyAlignment="1">
      <alignment vertical="center"/>
    </xf>
    <xf numFmtId="165" fontId="0" fillId="6" borderId="16" xfId="10" applyNumberFormat="1" applyFont="1" applyFill="1" applyBorder="1" applyAlignment="1">
      <alignment vertical="center"/>
    </xf>
    <xf numFmtId="165" fontId="27" fillId="0" borderId="1" xfId="9" applyNumberFormat="1" applyFont="1" applyAlignment="1">
      <alignment wrapText="1"/>
    </xf>
    <xf numFmtId="165" fontId="0" fillId="6" borderId="17" xfId="10" applyNumberFormat="1" applyFont="1" applyFill="1" applyBorder="1" applyAlignment="1">
      <alignment horizontal="center"/>
    </xf>
    <xf numFmtId="9" fontId="0" fillId="0" borderId="1" xfId="2" applyFont="1" applyBorder="1"/>
    <xf numFmtId="165" fontId="0" fillId="0" borderId="1" xfId="9" applyNumberFormat="1" applyFont="1" applyFill="1" applyBorder="1"/>
    <xf numFmtId="165" fontId="0" fillId="0" borderId="1" xfId="9" applyNumberFormat="1" applyFont="1" applyFill="1" applyBorder="1" applyAlignment="1">
      <alignment vertical="center"/>
    </xf>
    <xf numFmtId="165" fontId="0" fillId="0" borderId="1" xfId="9" applyNumberFormat="1" applyFont="1" applyFill="1" applyBorder="1" applyAlignment="1">
      <alignment horizontal="center"/>
    </xf>
    <xf numFmtId="165" fontId="41" fillId="0" borderId="1" xfId="9" applyNumberFormat="1" applyFont="1" applyFill="1" applyBorder="1" applyAlignment="1">
      <alignment horizontal="center"/>
    </xf>
    <xf numFmtId="165" fontId="41" fillId="0" borderId="1" xfId="9" applyNumberFormat="1" applyFont="1" applyFill="1" applyBorder="1" applyAlignment="1">
      <alignment vertical="center"/>
    </xf>
    <xf numFmtId="165" fontId="43" fillId="0" borderId="1" xfId="9" applyNumberFormat="1" applyFont="1" applyFill="1" applyBorder="1" applyAlignment="1">
      <alignment horizontal="left" vertical="center"/>
    </xf>
    <xf numFmtId="165" fontId="0" fillId="0" borderId="1" xfId="9" applyNumberFormat="1" applyFont="1" applyFill="1" applyBorder="1" applyAlignment="1">
      <alignment horizontal="left" vertical="center"/>
    </xf>
    <xf numFmtId="9" fontId="30" fillId="6" borderId="1" xfId="7" applyFont="1" applyFill="1" applyBorder="1"/>
    <xf numFmtId="165" fontId="30" fillId="6" borderId="4" xfId="8" applyNumberFormat="1" applyFont="1" applyFill="1" applyBorder="1" applyAlignment="1">
      <alignment wrapText="1"/>
    </xf>
    <xf numFmtId="165" fontId="30" fillId="6" borderId="1" xfId="8" applyNumberFormat="1" applyFont="1" applyFill="1" applyBorder="1" applyAlignment="1">
      <alignment wrapText="1"/>
    </xf>
    <xf numFmtId="165" fontId="30" fillId="6" borderId="1" xfId="8" applyNumberFormat="1" applyFont="1" applyFill="1" applyBorder="1"/>
    <xf numFmtId="165" fontId="31" fillId="6" borderId="1" xfId="8" applyNumberFormat="1" applyFont="1" applyFill="1" applyBorder="1" applyAlignment="1">
      <alignment wrapText="1"/>
    </xf>
    <xf numFmtId="165" fontId="31" fillId="6" borderId="5" xfId="8" applyNumberFormat="1" applyFont="1" applyFill="1" applyBorder="1" applyAlignment="1">
      <alignment wrapText="1"/>
    </xf>
    <xf numFmtId="165" fontId="31" fillId="6" borderId="4" xfId="8" applyNumberFormat="1" applyFont="1" applyFill="1" applyBorder="1" applyAlignment="1">
      <alignment wrapText="1"/>
    </xf>
    <xf numFmtId="165" fontId="29" fillId="6" borderId="1" xfId="8" applyNumberFormat="1" applyFont="1" applyFill="1" applyBorder="1"/>
    <xf numFmtId="165" fontId="31" fillId="6" borderId="9" xfId="8" applyNumberFormat="1" applyFont="1" applyFill="1" applyBorder="1" applyAlignment="1">
      <alignment wrapText="1"/>
    </xf>
    <xf numFmtId="0" fontId="29" fillId="6" borderId="7" xfId="6" applyFont="1" applyFill="1" applyBorder="1"/>
    <xf numFmtId="165" fontId="32" fillId="6" borderId="6" xfId="6" applyNumberFormat="1" applyFont="1" applyFill="1" applyBorder="1"/>
    <xf numFmtId="165" fontId="32" fillId="6" borderId="8" xfId="6" applyNumberFormat="1" applyFont="1" applyFill="1" applyBorder="1"/>
    <xf numFmtId="165" fontId="32" fillId="6" borderId="7" xfId="6" applyNumberFormat="1" applyFont="1" applyFill="1" applyBorder="1"/>
    <xf numFmtId="0" fontId="39" fillId="2" borderId="3" xfId="0" applyFont="1" applyFill="1" applyBorder="1" applyAlignment="1">
      <alignment horizontal="right" vertical="top"/>
    </xf>
    <xf numFmtId="0" fontId="47" fillId="2" borderId="3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right" vertical="top"/>
    </xf>
    <xf numFmtId="0" fontId="28" fillId="2" borderId="3" xfId="0" applyFont="1" applyFill="1" applyBorder="1" applyAlignment="1">
      <alignment horizontal="center" vertical="center" wrapText="1"/>
    </xf>
    <xf numFmtId="165" fontId="18" fillId="0" borderId="1" xfId="9" applyNumberFormat="1" applyFont="1" applyFill="1" applyBorder="1" applyAlignment="1">
      <alignment horizontal="center"/>
    </xf>
    <xf numFmtId="0" fontId="36" fillId="2" borderId="3" xfId="0" applyFont="1" applyFill="1" applyBorder="1" applyAlignment="1">
      <alignment horizontal="center" vertical="center" wrapText="1"/>
    </xf>
    <xf numFmtId="9" fontId="21" fillId="5" borderId="3" xfId="2" applyFont="1" applyFill="1" applyBorder="1" applyAlignment="1">
      <alignment horizontal="center" vertical="center"/>
    </xf>
    <xf numFmtId="10" fontId="21" fillId="5" borderId="3" xfId="2" applyNumberFormat="1" applyFont="1" applyFill="1" applyBorder="1" applyAlignment="1">
      <alignment horizontal="center" vertical="center"/>
    </xf>
    <xf numFmtId="168" fontId="21" fillId="5" borderId="3" xfId="2" applyNumberFormat="1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37" fillId="2" borderId="3" xfId="0" applyNumberFormat="1" applyFont="1" applyFill="1" applyBorder="1" applyAlignment="1">
      <alignment horizontal="left" vertical="top"/>
    </xf>
    <xf numFmtId="9" fontId="22" fillId="5" borderId="3" xfId="2" applyFont="1" applyFill="1" applyBorder="1" applyAlignment="1">
      <alignment horizontal="right"/>
    </xf>
    <xf numFmtId="165" fontId="28" fillId="2" borderId="3" xfId="1" applyNumberFormat="1" applyFont="1" applyFill="1" applyBorder="1" applyAlignment="1">
      <alignment horizontal="center" vertical="center" wrapText="1"/>
    </xf>
    <xf numFmtId="165" fontId="50" fillId="0" borderId="1" xfId="9" applyNumberFormat="1" applyFont="1"/>
    <xf numFmtId="43" fontId="0" fillId="6" borderId="17" xfId="10" applyFont="1" applyFill="1" applyBorder="1" applyAlignment="1">
      <alignment vertical="center"/>
    </xf>
    <xf numFmtId="43" fontId="0" fillId="6" borderId="3" xfId="10" applyFont="1" applyFill="1" applyBorder="1" applyAlignment="1">
      <alignment vertical="center"/>
    </xf>
    <xf numFmtId="165" fontId="0" fillId="0" borderId="1" xfId="9" applyNumberFormat="1" applyFont="1" applyAlignment="1">
      <alignment horizontal="right"/>
    </xf>
    <xf numFmtId="165" fontId="0" fillId="0" borderId="1" xfId="12" applyNumberFormat="1" applyFont="1"/>
    <xf numFmtId="10" fontId="0" fillId="0" borderId="1" xfId="2" applyNumberFormat="1" applyFont="1" applyBorder="1"/>
    <xf numFmtId="0" fontId="54" fillId="0" borderId="1" xfId="14" applyFont="1" applyFill="1" applyProtection="1"/>
    <xf numFmtId="0" fontId="55" fillId="0" borderId="1" xfId="14" applyFont="1" applyFill="1" applyAlignment="1" applyProtection="1">
      <alignment wrapText="1"/>
    </xf>
    <xf numFmtId="0" fontId="4" fillId="0" borderId="1" xfId="14" applyFont="1" applyFill="1" applyAlignment="1" applyProtection="1">
      <alignment vertical="center"/>
    </xf>
    <xf numFmtId="0" fontId="56" fillId="0" borderId="3" xfId="14" applyFont="1" applyFill="1" applyBorder="1" applyAlignment="1" applyProtection="1">
      <alignment vertical="center"/>
    </xf>
    <xf numFmtId="17" fontId="56" fillId="0" borderId="3" xfId="14" applyNumberFormat="1" applyFont="1" applyFill="1" applyBorder="1" applyAlignment="1" applyProtection="1">
      <alignment horizontal="center" vertical="center"/>
    </xf>
    <xf numFmtId="0" fontId="4" fillId="0" borderId="3" xfId="14" applyFont="1" applyFill="1" applyBorder="1" applyAlignment="1" applyProtection="1">
      <alignment horizontal="left" vertical="center"/>
    </xf>
    <xf numFmtId="0" fontId="59" fillId="0" borderId="1" xfId="16" applyFont="1" applyFill="1" applyAlignment="1" applyProtection="1">
      <alignment vertical="center"/>
    </xf>
    <xf numFmtId="0" fontId="58" fillId="0" borderId="1" xfId="16" applyAlignment="1" applyProtection="1"/>
    <xf numFmtId="0" fontId="4" fillId="0" borderId="1" xfId="14" applyFont="1" applyFill="1" applyProtection="1"/>
    <xf numFmtId="0" fontId="59" fillId="0" borderId="1" xfId="16" applyFont="1" applyFill="1" applyAlignment="1" applyProtection="1"/>
    <xf numFmtId="9" fontId="4" fillId="0" borderId="1" xfId="14" applyNumberFormat="1" applyFont="1" applyFill="1" applyAlignment="1" applyProtection="1">
      <alignment vertical="center"/>
    </xf>
    <xf numFmtId="0" fontId="4" fillId="0" borderId="3" xfId="14" applyFont="1" applyFill="1" applyBorder="1" applyAlignment="1" applyProtection="1">
      <alignment vertical="center"/>
    </xf>
    <xf numFmtId="10" fontId="4" fillId="0" borderId="3" xfId="14" applyNumberFormat="1" applyFont="1" applyFill="1" applyBorder="1" applyAlignment="1" applyProtection="1">
      <alignment vertical="center"/>
    </xf>
    <xf numFmtId="0" fontId="60" fillId="0" borderId="1" xfId="14" applyFont="1" applyFill="1" applyAlignment="1" applyProtection="1">
      <alignment horizontal="left" vertical="center"/>
    </xf>
    <xf numFmtId="171" fontId="13" fillId="0" borderId="3" xfId="18" applyNumberFormat="1" applyFont="1" applyFill="1" applyBorder="1" applyAlignment="1" applyProtection="1">
      <alignment horizontal="left"/>
    </xf>
    <xf numFmtId="0" fontId="12" fillId="0" borderId="18" xfId="19" applyFont="1" applyBorder="1" applyAlignment="1"/>
    <xf numFmtId="15" fontId="54" fillId="0" borderId="16" xfId="19" applyNumberFormat="1" applyFont="1" applyBorder="1" applyAlignment="1"/>
    <xf numFmtId="0" fontId="54" fillId="0" borderId="4" xfId="19" applyFont="1" applyBorder="1" applyAlignment="1" applyProtection="1">
      <protection locked="0"/>
    </xf>
    <xf numFmtId="15" fontId="54" fillId="0" borderId="17" xfId="19" applyNumberFormat="1" applyFont="1" applyBorder="1" applyAlignment="1" applyProtection="1">
      <protection locked="0"/>
    </xf>
    <xf numFmtId="0" fontId="54" fillId="0" borderId="4" xfId="19" applyFont="1" applyBorder="1" applyAlignment="1"/>
    <xf numFmtId="0" fontId="54" fillId="0" borderId="17" xfId="19" applyFont="1" applyBorder="1" applyAlignment="1"/>
    <xf numFmtId="0" fontId="54" fillId="0" borderId="6" xfId="19" applyFont="1" applyBorder="1" applyAlignment="1">
      <alignment horizontal="center"/>
    </xf>
    <xf numFmtId="0" fontId="54" fillId="0" borderId="3" xfId="19" applyFont="1" applyBorder="1" applyAlignment="1"/>
    <xf numFmtId="10" fontId="4" fillId="0" borderId="7" xfId="14" applyNumberFormat="1" applyFont="1" applyFill="1" applyBorder="1" applyAlignment="1" applyProtection="1">
      <alignment vertical="center"/>
    </xf>
    <xf numFmtId="0" fontId="4" fillId="0" borderId="1" xfId="14" applyFont="1" applyFill="1" applyProtection="1">
      <protection locked="0"/>
    </xf>
    <xf numFmtId="0" fontId="4" fillId="0" borderId="1" xfId="14" applyFont="1" applyFill="1" applyAlignment="1" applyProtection="1">
      <alignment vertical="center"/>
      <protection locked="0"/>
    </xf>
    <xf numFmtId="0" fontId="54" fillId="0" borderId="4" xfId="14" applyFont="1" applyFill="1" applyBorder="1" applyProtection="1">
      <protection locked="0"/>
    </xf>
    <xf numFmtId="0" fontId="41" fillId="0" borderId="6" xfId="14" applyFont="1" applyFill="1" applyBorder="1" applyAlignment="1" applyProtection="1">
      <alignment vertical="center"/>
      <protection locked="0"/>
    </xf>
    <xf numFmtId="0" fontId="41" fillId="0" borderId="3" xfId="14" applyFont="1" applyFill="1" applyBorder="1" applyAlignment="1" applyProtection="1">
      <alignment horizontal="right" vertical="center"/>
      <protection locked="0"/>
    </xf>
    <xf numFmtId="0" fontId="41" fillId="0" borderId="7" xfId="14" applyFont="1" applyFill="1" applyBorder="1" applyAlignment="1" applyProtection="1">
      <alignment horizontal="right" vertical="center"/>
      <protection locked="0"/>
    </xf>
    <xf numFmtId="2" fontId="54" fillId="0" borderId="5" xfId="14" applyNumberFormat="1" applyFont="1" applyFill="1" applyBorder="1" applyProtection="1">
      <protection locked="0"/>
    </xf>
    <xf numFmtId="0" fontId="4" fillId="0" borderId="6" xfId="14" applyFont="1" applyFill="1" applyBorder="1" applyAlignment="1" applyProtection="1">
      <alignment horizontal="center"/>
      <protection locked="0"/>
    </xf>
    <xf numFmtId="9" fontId="4" fillId="0" borderId="3" xfId="14" applyNumberFormat="1" applyFont="1" applyFill="1" applyBorder="1" applyProtection="1">
      <protection locked="0"/>
    </xf>
    <xf numFmtId="168" fontId="4" fillId="0" borderId="7" xfId="14" applyNumberFormat="1" applyFont="1" applyFill="1" applyBorder="1" applyProtection="1">
      <protection locked="0"/>
    </xf>
    <xf numFmtId="166" fontId="17" fillId="0" borderId="17" xfId="1" applyNumberFormat="1" applyFont="1" applyBorder="1"/>
    <xf numFmtId="167" fontId="17" fillId="0" borderId="17" xfId="1" applyNumberFormat="1" applyFont="1" applyBorder="1"/>
    <xf numFmtId="0" fontId="56" fillId="0" borderId="3" xfId="14" applyFont="1" applyFill="1" applyBorder="1" applyProtection="1">
      <protection locked="0"/>
    </xf>
    <xf numFmtId="0" fontId="56" fillId="0" borderId="3" xfId="14" applyFont="1" applyFill="1" applyBorder="1" applyAlignment="1" applyProtection="1">
      <alignment horizontal="right"/>
      <protection locked="0"/>
    </xf>
    <xf numFmtId="0" fontId="39" fillId="2" borderId="16" xfId="0" applyFont="1" applyFill="1" applyBorder="1" applyAlignment="1">
      <alignment horizontal="left" vertical="top"/>
    </xf>
    <xf numFmtId="165" fontId="0" fillId="4" borderId="16" xfId="1" applyNumberFormat="1" applyFont="1" applyFill="1" applyBorder="1"/>
    <xf numFmtId="165" fontId="15" fillId="4" borderId="16" xfId="1" applyNumberFormat="1" applyFont="1" applyFill="1" applyBorder="1"/>
    <xf numFmtId="0" fontId="39" fillId="2" borderId="17" xfId="0" applyFont="1" applyFill="1" applyBorder="1" applyAlignment="1">
      <alignment horizontal="left" vertical="top"/>
    </xf>
    <xf numFmtId="165" fontId="0" fillId="4" borderId="17" xfId="1" applyNumberFormat="1" applyFont="1" applyFill="1" applyBorder="1"/>
    <xf numFmtId="165" fontId="15" fillId="4" borderId="17" xfId="1" applyNumberFormat="1" applyFont="1" applyFill="1" applyBorder="1"/>
    <xf numFmtId="0" fontId="39" fillId="2" borderId="15" xfId="0" applyFont="1" applyFill="1" applyBorder="1" applyAlignment="1">
      <alignment horizontal="left" vertical="top"/>
    </xf>
    <xf numFmtId="165" fontId="0" fillId="4" borderId="15" xfId="1" applyNumberFormat="1" applyFont="1" applyFill="1" applyBorder="1"/>
    <xf numFmtId="165" fontId="15" fillId="4" borderId="15" xfId="1" applyNumberFormat="1" applyFont="1" applyFill="1" applyBorder="1"/>
    <xf numFmtId="0" fontId="0" fillId="0" borderId="3" xfId="0" applyBorder="1" applyAlignment="1" applyProtection="1">
      <alignment horizontal="center"/>
      <protection locked="0"/>
    </xf>
    <xf numFmtId="0" fontId="63" fillId="0" borderId="1" xfId="0" applyFont="1" applyBorder="1" applyAlignment="1" applyProtection="1">
      <alignment vertical="center"/>
      <protection locked="0"/>
    </xf>
    <xf numFmtId="0" fontId="60" fillId="0" borderId="1" xfId="14" applyFont="1" applyFill="1" applyAlignment="1" applyProtection="1">
      <alignment horizontal="center" vertical="center"/>
    </xf>
    <xf numFmtId="0" fontId="60" fillId="0" borderId="3" xfId="0" applyFont="1" applyBorder="1" applyAlignment="1" applyProtection="1">
      <alignment horizontal="center" vertical="center"/>
      <protection locked="0"/>
    </xf>
    <xf numFmtId="0" fontId="60" fillId="0" borderId="3" xfId="0" applyFont="1" applyBorder="1" applyAlignment="1" applyProtection="1">
      <alignment horizontal="center" vertical="center" wrapText="1"/>
      <protection locked="0"/>
    </xf>
    <xf numFmtId="0" fontId="60" fillId="0" borderId="1" xfId="14" applyFont="1" applyFill="1" applyAlignment="1" applyProtection="1">
      <alignment horizontal="center" vertical="center"/>
      <protection locked="0"/>
    </xf>
    <xf numFmtId="165" fontId="0" fillId="6" borderId="6" xfId="10" applyNumberFormat="1" applyFont="1" applyFill="1" applyBorder="1" applyAlignment="1">
      <alignment horizontal="center" vertical="center"/>
    </xf>
    <xf numFmtId="165" fontId="0" fillId="6" borderId="16" xfId="10" applyNumberFormat="1" applyFont="1" applyFill="1" applyBorder="1" applyAlignment="1">
      <alignment horizontal="center" vertical="center"/>
    </xf>
    <xf numFmtId="165" fontId="7" fillId="6" borderId="22" xfId="10" applyNumberFormat="1" applyFont="1" applyFill="1" applyBorder="1" applyAlignment="1">
      <alignment horizontal="center" vertical="center"/>
    </xf>
    <xf numFmtId="165" fontId="0" fillId="6" borderId="18" xfId="10" applyNumberFormat="1" applyFont="1" applyFill="1" applyBorder="1" applyAlignment="1">
      <alignment horizontal="center" vertical="center"/>
    </xf>
    <xf numFmtId="165" fontId="41" fillId="6" borderId="23" xfId="10" applyNumberFormat="1" applyFont="1" applyFill="1" applyBorder="1" applyAlignment="1">
      <alignment horizontal="center" vertical="center"/>
    </xf>
    <xf numFmtId="165" fontId="64" fillId="6" borderId="17" xfId="10" applyNumberFormat="1" applyFont="1" applyFill="1" applyBorder="1" applyAlignment="1">
      <alignment vertical="center"/>
    </xf>
    <xf numFmtId="165" fontId="0" fillId="6" borderId="4" xfId="10" applyNumberFormat="1" applyFont="1" applyFill="1" applyBorder="1" applyAlignment="1">
      <alignment vertical="center"/>
    </xf>
    <xf numFmtId="0" fontId="65" fillId="7" borderId="6" xfId="0" applyFont="1" applyFill="1" applyBorder="1"/>
    <xf numFmtId="0" fontId="0" fillId="7" borderId="8" xfId="0" applyFill="1" applyBorder="1"/>
    <xf numFmtId="0" fontId="15" fillId="7" borderId="8" xfId="0" applyFont="1" applyFill="1" applyBorder="1" applyAlignment="1">
      <alignment horizontal="center"/>
    </xf>
    <xf numFmtId="2" fontId="13" fillId="5" borderId="4" xfId="1" applyNumberFormat="1" applyFont="1" applyFill="1" applyBorder="1" applyAlignment="1">
      <alignment horizontal="left" vertical="top" wrapText="1"/>
    </xf>
    <xf numFmtId="2" fontId="13" fillId="5" borderId="1" xfId="1" applyNumberFormat="1" applyFont="1" applyFill="1" applyBorder="1" applyAlignment="1">
      <alignment horizontal="left" vertical="top" wrapText="1"/>
    </xf>
    <xf numFmtId="165" fontId="12" fillId="5" borderId="1" xfId="1" applyNumberFormat="1" applyFont="1" applyFill="1" applyBorder="1" applyAlignment="1">
      <alignment horizontal="right" vertical="center"/>
    </xf>
    <xf numFmtId="165" fontId="14" fillId="5" borderId="1" xfId="1" applyNumberFormat="1" applyFont="1" applyFill="1" applyBorder="1"/>
    <xf numFmtId="2" fontId="12" fillId="5" borderId="4" xfId="1" applyNumberFormat="1" applyFont="1" applyFill="1" applyBorder="1" applyAlignment="1">
      <alignment horizontal="left" vertical="top" wrapText="1"/>
    </xf>
    <xf numFmtId="165" fontId="12" fillId="5" borderId="1" xfId="1" applyNumberFormat="1" applyFont="1" applyFill="1" applyBorder="1" applyAlignment="1">
      <alignment horizontal="right"/>
    </xf>
    <xf numFmtId="9" fontId="12" fillId="5" borderId="1" xfId="2" applyFont="1" applyFill="1" applyBorder="1" applyAlignment="1">
      <alignment horizontal="left" vertical="top"/>
    </xf>
    <xf numFmtId="2" fontId="12" fillId="5" borderId="4" xfId="1" applyNumberFormat="1" applyFont="1" applyFill="1" applyBorder="1" applyAlignment="1">
      <alignment horizontal="left" vertical="top"/>
    </xf>
    <xf numFmtId="165" fontId="12" fillId="5" borderId="1" xfId="1" applyNumberFormat="1" applyFont="1" applyFill="1" applyBorder="1" applyAlignment="1">
      <alignment vertical="center"/>
    </xf>
    <xf numFmtId="43" fontId="14" fillId="5" borderId="1" xfId="1" applyFont="1" applyFill="1" applyBorder="1"/>
    <xf numFmtId="2" fontId="12" fillId="5" borderId="1" xfId="1" applyNumberFormat="1" applyFont="1" applyFill="1" applyBorder="1" applyAlignment="1">
      <alignment horizontal="left" vertical="top"/>
    </xf>
    <xf numFmtId="0" fontId="0" fillId="5" borderId="1" xfId="0" applyFill="1" applyBorder="1"/>
    <xf numFmtId="165" fontId="0" fillId="5" borderId="1" xfId="0" applyNumberFormat="1" applyFill="1" applyBorder="1"/>
    <xf numFmtId="0" fontId="0" fillId="5" borderId="20" xfId="0" applyFill="1" applyBorder="1"/>
    <xf numFmtId="0" fontId="0" fillId="5" borderId="21" xfId="0" applyFill="1" applyBorder="1"/>
    <xf numFmtId="0" fontId="28" fillId="2" borderId="16" xfId="0" applyFont="1" applyFill="1" applyBorder="1" applyAlignment="1">
      <alignment horizontal="center" vertical="center" wrapText="1"/>
    </xf>
    <xf numFmtId="43" fontId="0" fillId="6" borderId="16" xfId="10" applyFont="1" applyFill="1" applyBorder="1" applyAlignment="1">
      <alignment vertical="center"/>
    </xf>
    <xf numFmtId="165" fontId="0" fillId="0" borderId="1" xfId="9" applyNumberFormat="1" applyFont="1" applyFill="1" applyBorder="1" applyAlignment="1">
      <alignment horizontal="left" vertical="center" wrapText="1"/>
    </xf>
    <xf numFmtId="165" fontId="66" fillId="0" borderId="1" xfId="9" applyNumberFormat="1" applyFont="1" applyFill="1" applyBorder="1" applyAlignment="1">
      <alignment horizontal="left" vertical="center"/>
    </xf>
    <xf numFmtId="0" fontId="48" fillId="2" borderId="18" xfId="0" applyFont="1" applyFill="1" applyBorder="1" applyAlignment="1">
      <alignment horizontal="left" vertical="top"/>
    </xf>
    <xf numFmtId="0" fontId="48" fillId="2" borderId="4" xfId="0" applyFont="1" applyFill="1" applyBorder="1" applyAlignment="1">
      <alignment horizontal="left" vertical="top"/>
    </xf>
    <xf numFmtId="0" fontId="48" fillId="2" borderId="4" xfId="0" applyFont="1" applyFill="1" applyBorder="1" applyAlignment="1">
      <alignment horizontal="right" vertical="top"/>
    </xf>
    <xf numFmtId="165" fontId="42" fillId="0" borderId="3" xfId="9" applyNumberFormat="1" applyFont="1" applyFill="1" applyBorder="1" applyAlignment="1">
      <alignment horizontal="left" vertical="center"/>
    </xf>
    <xf numFmtId="0" fontId="48" fillId="2" borderId="20" xfId="0" applyFont="1" applyFill="1" applyBorder="1" applyAlignment="1">
      <alignment horizontal="right" vertical="top"/>
    </xf>
    <xf numFmtId="9" fontId="0" fillId="6" borderId="15" xfId="2" applyFont="1" applyFill="1" applyBorder="1" applyAlignment="1">
      <alignment vertical="center"/>
    </xf>
    <xf numFmtId="9" fontId="60" fillId="0" borderId="17" xfId="14" applyNumberFormat="1" applyFont="1" applyFill="1" applyBorder="1" applyProtection="1">
      <protection locked="0"/>
    </xf>
    <xf numFmtId="1" fontId="60" fillId="0" borderId="17" xfId="14" applyNumberFormat="1" applyFont="1" applyFill="1" applyBorder="1" applyProtection="1">
      <protection locked="0"/>
    </xf>
    <xf numFmtId="165" fontId="60" fillId="0" borderId="19" xfId="20" applyNumberFormat="1" applyFont="1" applyFill="1" applyBorder="1" applyProtection="1"/>
    <xf numFmtId="165" fontId="60" fillId="0" borderId="5" xfId="20" applyNumberFormat="1" applyFont="1" applyFill="1" applyBorder="1" applyProtection="1">
      <protection locked="0"/>
    </xf>
    <xf numFmtId="165" fontId="60" fillId="0" borderId="5" xfId="20" applyNumberFormat="1" applyFont="1" applyFill="1" applyBorder="1" applyProtection="1"/>
    <xf numFmtId="10" fontId="60" fillId="0" borderId="3" xfId="15" applyNumberFormat="1" applyFont="1" applyFill="1" applyBorder="1" applyAlignment="1" applyProtection="1">
      <alignment horizontal="right" vertical="center"/>
      <protection locked="0"/>
    </xf>
    <xf numFmtId="4" fontId="60" fillId="0" borderId="3" xfId="15" applyNumberFormat="1" applyFont="1" applyFill="1" applyBorder="1" applyAlignment="1" applyProtection="1">
      <alignment horizontal="right" vertical="center"/>
      <protection locked="0"/>
    </xf>
    <xf numFmtId="10" fontId="60" fillId="0" borderId="3" xfId="17" applyNumberFormat="1" applyFont="1" applyFill="1" applyBorder="1" applyAlignment="1" applyProtection="1">
      <alignment horizontal="right" vertical="center"/>
      <protection locked="0"/>
    </xf>
    <xf numFmtId="10" fontId="60" fillId="0" borderId="3" xfId="15" applyNumberFormat="1" applyFont="1" applyFill="1" applyBorder="1" applyAlignment="1" applyProtection="1">
      <alignment horizontal="right" vertical="center"/>
    </xf>
    <xf numFmtId="10" fontId="60" fillId="0" borderId="3" xfId="14" applyNumberFormat="1" applyFont="1" applyFill="1" applyBorder="1" applyAlignment="1" applyProtection="1">
      <alignment vertical="center"/>
    </xf>
    <xf numFmtId="14" fontId="28" fillId="2" borderId="3" xfId="0" applyNumberFormat="1" applyFont="1" applyFill="1" applyBorder="1" applyAlignment="1">
      <alignment horizontal="center" vertical="top" wrapText="1"/>
    </xf>
    <xf numFmtId="43" fontId="4" fillId="0" borderId="1" xfId="1" applyFont="1" applyFill="1" applyBorder="1" applyAlignment="1" applyProtection="1">
      <alignment vertical="center"/>
    </xf>
    <xf numFmtId="9" fontId="22" fillId="4" borderId="3" xfId="2" applyFont="1" applyFill="1" applyBorder="1" applyAlignment="1"/>
    <xf numFmtId="165" fontId="22" fillId="4" borderId="3" xfId="1" applyNumberFormat="1" applyFont="1" applyFill="1" applyBorder="1" applyAlignment="1">
      <alignment horizontal="center"/>
    </xf>
    <xf numFmtId="0" fontId="67" fillId="2" borderId="3" xfId="0" applyFont="1" applyFill="1" applyBorder="1" applyAlignment="1">
      <alignment horizontal="left" vertical="top"/>
    </xf>
    <xf numFmtId="0" fontId="68" fillId="2" borderId="3" xfId="0" applyFont="1" applyFill="1" applyBorder="1" applyAlignment="1">
      <alignment horizontal="left" vertical="top"/>
    </xf>
    <xf numFmtId="0" fontId="4" fillId="5" borderId="3" xfId="14" applyFont="1" applyFill="1" applyBorder="1" applyAlignment="1" applyProtection="1">
      <alignment horizontal="left" vertical="center"/>
    </xf>
    <xf numFmtId="170" fontId="57" fillId="5" borderId="3" xfId="15" applyNumberFormat="1" applyFont="1" applyFill="1" applyBorder="1" applyAlignment="1" applyProtection="1">
      <alignment horizontal="right" vertical="center"/>
    </xf>
    <xf numFmtId="10" fontId="4" fillId="5" borderId="3" xfId="15" applyNumberFormat="1" applyFont="1" applyFill="1" applyBorder="1" applyAlignment="1" applyProtection="1">
      <alignment horizontal="right" vertical="center"/>
      <protection locked="0"/>
    </xf>
    <xf numFmtId="10" fontId="4" fillId="5" borderId="3" xfId="15" applyNumberFormat="1" applyFont="1" applyFill="1" applyBorder="1" applyAlignment="1" applyProtection="1">
      <alignment horizontal="right" vertical="center"/>
    </xf>
    <xf numFmtId="0" fontId="4" fillId="5" borderId="18" xfId="14" applyFont="1" applyFill="1" applyBorder="1" applyAlignment="1" applyProtection="1">
      <alignment horizontal="left" vertical="center"/>
    </xf>
    <xf numFmtId="0" fontId="4" fillId="5" borderId="16" xfId="14" applyFont="1" applyFill="1" applyBorder="1" applyAlignment="1" applyProtection="1">
      <alignment horizontal="left" vertical="center"/>
    </xf>
    <xf numFmtId="165" fontId="4" fillId="5" borderId="2" xfId="15" applyNumberFormat="1" applyFont="1" applyFill="1" applyBorder="1" applyAlignment="1" applyProtection="1">
      <alignment horizontal="right" vertical="center"/>
    </xf>
    <xf numFmtId="0" fontId="4" fillId="5" borderId="4" xfId="14" applyFont="1" applyFill="1" applyBorder="1" applyAlignment="1" applyProtection="1">
      <alignment horizontal="left" vertical="center"/>
    </xf>
    <xf numFmtId="0" fontId="4" fillId="5" borderId="17" xfId="14" applyFont="1" applyFill="1" applyBorder="1" applyAlignment="1" applyProtection="1">
      <alignment horizontal="left" vertical="center"/>
    </xf>
    <xf numFmtId="165" fontId="4" fillId="5" borderId="1" xfId="15" applyNumberFormat="1" applyFont="1" applyFill="1" applyBorder="1" applyAlignment="1" applyProtection="1">
      <alignment horizontal="right" vertical="center"/>
    </xf>
    <xf numFmtId="165" fontId="4" fillId="5" borderId="21" xfId="15" applyNumberFormat="1" applyFont="1" applyFill="1" applyBorder="1" applyAlignment="1" applyProtection="1">
      <alignment horizontal="right" vertical="center"/>
    </xf>
    <xf numFmtId="43" fontId="4" fillId="5" borderId="21" xfId="15" applyFont="1" applyFill="1" applyBorder="1" applyAlignment="1" applyProtection="1">
      <alignment horizontal="right" vertical="center"/>
    </xf>
    <xf numFmtId="165" fontId="4" fillId="5" borderId="17" xfId="14" applyNumberFormat="1" applyFont="1" applyFill="1" applyBorder="1" applyAlignment="1" applyProtection="1">
      <alignment horizontal="left" vertical="center"/>
    </xf>
    <xf numFmtId="165" fontId="4" fillId="5" borderId="1" xfId="15" applyNumberFormat="1" applyFont="1" applyFill="1" applyBorder="1" applyAlignment="1" applyProtection="1">
      <alignment vertical="center"/>
    </xf>
    <xf numFmtId="165" fontId="4" fillId="5" borderId="17" xfId="15" applyNumberFormat="1" applyFont="1" applyFill="1" applyBorder="1" applyAlignment="1" applyProtection="1">
      <alignment horizontal="left" vertical="center"/>
    </xf>
    <xf numFmtId="43" fontId="4" fillId="5" borderId="1" xfId="15" applyFont="1" applyFill="1" applyBorder="1" applyAlignment="1" applyProtection="1">
      <alignment horizontal="right" vertical="center"/>
    </xf>
    <xf numFmtId="0" fontId="4" fillId="5" borderId="20" xfId="14" applyFont="1" applyFill="1" applyBorder="1" applyAlignment="1" applyProtection="1">
      <alignment horizontal="left" vertical="center"/>
    </xf>
    <xf numFmtId="0" fontId="54" fillId="5" borderId="18" xfId="14" applyFont="1" applyFill="1" applyBorder="1" applyProtection="1"/>
    <xf numFmtId="0" fontId="54" fillId="5" borderId="4" xfId="14" applyFont="1" applyFill="1" applyBorder="1" applyProtection="1"/>
    <xf numFmtId="0" fontId="4" fillId="5" borderId="20" xfId="14" applyFont="1" applyFill="1" applyBorder="1" applyAlignment="1" applyProtection="1">
      <alignment vertical="center"/>
    </xf>
    <xf numFmtId="2" fontId="4" fillId="5" borderId="16" xfId="14" applyNumberFormat="1" applyFont="1" applyFill="1" applyBorder="1" applyAlignment="1" applyProtection="1">
      <alignment vertical="center"/>
    </xf>
    <xf numFmtId="43" fontId="54" fillId="5" borderId="17" xfId="1" applyFont="1" applyFill="1" applyBorder="1" applyProtection="1"/>
    <xf numFmtId="2" fontId="54" fillId="5" borderId="15" xfId="14" applyNumberFormat="1" applyFont="1" applyFill="1" applyBorder="1" applyProtection="1"/>
    <xf numFmtId="43" fontId="4" fillId="5" borderId="15" xfId="15" applyFont="1" applyFill="1" applyBorder="1" applyAlignment="1" applyProtection="1">
      <alignment horizontal="left" vertical="center"/>
    </xf>
    <xf numFmtId="0" fontId="36" fillId="2" borderId="6" xfId="0" applyFont="1" applyFill="1" applyBorder="1" applyAlignment="1">
      <alignment horizontal="left" vertical="top"/>
    </xf>
    <xf numFmtId="9" fontId="21" fillId="5" borderId="6" xfId="2" applyFont="1" applyFill="1" applyBorder="1" applyAlignment="1">
      <alignment horizontal="center" vertical="center"/>
    </xf>
    <xf numFmtId="9" fontId="21" fillId="5" borderId="8" xfId="2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vertical="center" wrapText="1"/>
    </xf>
    <xf numFmtId="0" fontId="28" fillId="2" borderId="19" xfId="0" applyFont="1" applyFill="1" applyBorder="1" applyAlignment="1">
      <alignment vertical="center" wrapText="1"/>
    </xf>
    <xf numFmtId="0" fontId="47" fillId="2" borderId="3" xfId="0" applyFont="1" applyFill="1" applyBorder="1" applyAlignment="1">
      <alignment horizontal="left" vertical="top"/>
    </xf>
    <xf numFmtId="165" fontId="47" fillId="2" borderId="3" xfId="0" applyNumberFormat="1" applyFont="1" applyFill="1" applyBorder="1" applyAlignment="1">
      <alignment horizontal="left" vertical="top"/>
    </xf>
    <xf numFmtId="165" fontId="0" fillId="0" borderId="1" xfId="22" applyNumberFormat="1" applyFont="1"/>
    <xf numFmtId="165" fontId="51" fillId="0" borderId="13" xfId="22" applyNumberFormat="1" applyFont="1" applyBorder="1" applyAlignment="1">
      <alignment horizontal="center" vertical="center"/>
    </xf>
    <xf numFmtId="165" fontId="51" fillId="0" borderId="14" xfId="22" applyNumberFormat="1" applyFont="1" applyBorder="1" applyAlignment="1">
      <alignment horizontal="center" vertical="center"/>
    </xf>
    <xf numFmtId="43" fontId="0" fillId="0" borderId="1" xfId="1" applyFont="1" applyBorder="1"/>
    <xf numFmtId="165" fontId="0" fillId="0" borderId="1" xfId="9" applyNumberFormat="1" applyFont="1" applyAlignment="1">
      <alignment vertical="top" wrapText="1"/>
    </xf>
    <xf numFmtId="0" fontId="48" fillId="2" borderId="4" xfId="0" applyFont="1" applyFill="1" applyBorder="1" applyAlignment="1">
      <alignment horizontal="left" vertical="top" indent="2"/>
    </xf>
    <xf numFmtId="9" fontId="0" fillId="6" borderId="17" xfId="2" applyFont="1" applyFill="1" applyBorder="1" applyAlignment="1">
      <alignment vertical="center"/>
    </xf>
    <xf numFmtId="9" fontId="0" fillId="6" borderId="3" xfId="2" applyFont="1" applyFill="1" applyBorder="1" applyAlignment="1">
      <alignment vertical="center"/>
    </xf>
    <xf numFmtId="43" fontId="47" fillId="2" borderId="6" xfId="1" applyFont="1" applyFill="1" applyBorder="1" applyAlignment="1">
      <alignment horizontal="center" vertical="center" wrapText="1"/>
    </xf>
    <xf numFmtId="43" fontId="28" fillId="2" borderId="3" xfId="1" applyFont="1" applyFill="1" applyBorder="1" applyAlignment="1">
      <alignment horizontal="center" vertical="center" wrapText="1"/>
    </xf>
    <xf numFmtId="43" fontId="0" fillId="6" borderId="17" xfId="1" applyFont="1" applyFill="1" applyBorder="1" applyAlignment="1">
      <alignment vertical="center"/>
    </xf>
    <xf numFmtId="43" fontId="0" fillId="6" borderId="15" xfId="1" applyFont="1" applyFill="1" applyBorder="1" applyAlignment="1">
      <alignment vertical="center"/>
    </xf>
    <xf numFmtId="43" fontId="0" fillId="0" borderId="1" xfId="1" applyFont="1" applyFill="1" applyBorder="1" applyAlignment="1">
      <alignment horizontal="center"/>
    </xf>
    <xf numFmtId="43" fontId="66" fillId="0" borderId="1" xfId="1" applyFont="1" applyFill="1" applyBorder="1" applyAlignment="1">
      <alignment horizontal="left" vertical="center"/>
    </xf>
    <xf numFmtId="43" fontId="0" fillId="0" borderId="1" xfId="1" applyFont="1" applyFill="1" applyBorder="1" applyAlignment="1">
      <alignment horizontal="left" vertical="center"/>
    </xf>
    <xf numFmtId="43" fontId="0" fillId="0" borderId="1" xfId="1" applyFont="1" applyFill="1" applyBorder="1" applyAlignment="1">
      <alignment horizontal="left" vertical="center" wrapText="1"/>
    </xf>
    <xf numFmtId="43" fontId="0" fillId="0" borderId="1" xfId="1" applyFont="1" applyFill="1" applyBorder="1" applyAlignment="1">
      <alignment vertical="center"/>
    </xf>
    <xf numFmtId="0" fontId="48" fillId="2" borderId="4" xfId="0" applyFont="1" applyFill="1" applyBorder="1" applyAlignment="1">
      <alignment horizontal="right" vertical="top" indent="2"/>
    </xf>
    <xf numFmtId="0" fontId="48" fillId="2" borderId="4" xfId="0" applyFont="1" applyFill="1" applyBorder="1" applyAlignment="1">
      <alignment horizontal="center" vertical="top"/>
    </xf>
    <xf numFmtId="168" fontId="0" fillId="6" borderId="17" xfId="2" applyNumberFormat="1" applyFont="1" applyFill="1" applyBorder="1" applyAlignment="1">
      <alignment vertical="center"/>
    </xf>
    <xf numFmtId="9" fontId="69" fillId="6" borderId="17" xfId="2" applyFont="1" applyFill="1" applyBorder="1" applyAlignment="1">
      <alignment vertical="center"/>
    </xf>
    <xf numFmtId="168" fontId="69" fillId="6" borderId="17" xfId="2" applyNumberFormat="1" applyFont="1" applyFill="1" applyBorder="1" applyAlignment="1">
      <alignment vertical="center"/>
    </xf>
    <xf numFmtId="165" fontId="69" fillId="6" borderId="17" xfId="10" applyNumberFormat="1" applyFont="1" applyFill="1" applyBorder="1" applyAlignment="1">
      <alignment vertical="center"/>
    </xf>
    <xf numFmtId="165" fontId="69" fillId="6" borderId="15" xfId="10" applyNumberFormat="1" applyFont="1" applyFill="1" applyBorder="1" applyAlignment="1">
      <alignment vertical="center"/>
    </xf>
    <xf numFmtId="165" fontId="0" fillId="6" borderId="27" xfId="10" applyNumberFormat="1" applyFont="1" applyFill="1" applyBorder="1" applyAlignment="1">
      <alignment vertical="center"/>
    </xf>
    <xf numFmtId="165" fontId="0" fillId="0" borderId="26" xfId="10" applyNumberFormat="1" applyFont="1" applyBorder="1" applyAlignment="1"/>
    <xf numFmtId="165" fontId="44" fillId="6" borderId="13" xfId="10" applyNumberFormat="1" applyFont="1" applyFill="1" applyBorder="1" applyAlignment="1">
      <alignment horizontal="right" vertical="center"/>
    </xf>
    <xf numFmtId="165" fontId="0" fillId="6" borderId="16" xfId="10" applyNumberFormat="1" applyFont="1" applyFill="1" applyBorder="1" applyAlignment="1">
      <alignment horizontal="right" vertical="center"/>
    </xf>
    <xf numFmtId="165" fontId="0" fillId="0" borderId="1" xfId="10" applyNumberFormat="1" applyFont="1" applyBorder="1" applyAlignment="1"/>
    <xf numFmtId="165" fontId="0" fillId="6" borderId="3" xfId="10" applyNumberFormat="1" applyFont="1" applyFill="1" applyBorder="1" applyAlignment="1">
      <alignment horizontal="left" vertical="center"/>
    </xf>
    <xf numFmtId="165" fontId="0" fillId="6" borderId="16" xfId="10" applyNumberFormat="1" applyFont="1" applyFill="1" applyBorder="1" applyAlignment="1">
      <alignment horizontal="left" vertical="center"/>
    </xf>
    <xf numFmtId="168" fontId="0" fillId="0" borderId="1" xfId="2" applyNumberFormat="1" applyFont="1" applyBorder="1"/>
    <xf numFmtId="165" fontId="52" fillId="0" borderId="24" xfId="22" applyNumberFormat="1" applyFont="1" applyBorder="1" applyAlignment="1">
      <alignment horizontal="center" vertical="center"/>
    </xf>
    <xf numFmtId="0" fontId="28" fillId="2" borderId="2" xfId="0" applyFont="1" applyFill="1" applyBorder="1" applyAlignment="1">
      <alignment vertical="center" wrapText="1"/>
    </xf>
    <xf numFmtId="43" fontId="0" fillId="6" borderId="18" xfId="10" applyFont="1" applyFill="1" applyBorder="1" applyAlignment="1">
      <alignment vertical="center"/>
    </xf>
    <xf numFmtId="43" fontId="0" fillId="6" borderId="2" xfId="10" applyFont="1" applyFill="1" applyBorder="1" applyAlignment="1">
      <alignment vertical="center"/>
    </xf>
    <xf numFmtId="43" fontId="0" fillId="6" borderId="19" xfId="10" applyFont="1" applyFill="1" applyBorder="1" applyAlignment="1">
      <alignment vertical="center"/>
    </xf>
    <xf numFmtId="43" fontId="0" fillId="6" borderId="4" xfId="10" applyFont="1" applyFill="1" applyBorder="1" applyAlignment="1">
      <alignment vertical="center"/>
    </xf>
    <xf numFmtId="43" fontId="0" fillId="6" borderId="1" xfId="10" applyFont="1" applyFill="1" applyBorder="1" applyAlignment="1">
      <alignment vertical="center"/>
    </xf>
    <xf numFmtId="43" fontId="0" fillId="6" borderId="5" xfId="10" applyFont="1" applyFill="1" applyBorder="1" applyAlignment="1">
      <alignment vertical="center"/>
    </xf>
    <xf numFmtId="43" fontId="0" fillId="6" borderId="20" xfId="10" applyFont="1" applyFill="1" applyBorder="1" applyAlignment="1">
      <alignment vertical="center"/>
    </xf>
    <xf numFmtId="43" fontId="0" fillId="6" borderId="21" xfId="10" applyFont="1" applyFill="1" applyBorder="1" applyAlignment="1">
      <alignment vertical="center"/>
    </xf>
    <xf numFmtId="43" fontId="0" fillId="6" borderId="9" xfId="10" applyFont="1" applyFill="1" applyBorder="1" applyAlignment="1">
      <alignment vertical="center"/>
    </xf>
    <xf numFmtId="9" fontId="70" fillId="9" borderId="28" xfId="2" applyFont="1" applyFill="1" applyBorder="1"/>
    <xf numFmtId="9" fontId="70" fillId="8" borderId="28" xfId="2" applyFont="1" applyFill="1" applyBorder="1"/>
    <xf numFmtId="43" fontId="72" fillId="10" borderId="29" xfId="1" applyFont="1" applyFill="1" applyBorder="1"/>
    <xf numFmtId="165" fontId="0" fillId="9" borderId="30" xfId="9" applyNumberFormat="1" applyFont="1" applyFill="1" applyBorder="1" applyAlignment="1">
      <alignment horizontal="left" indent="1"/>
    </xf>
    <xf numFmtId="9" fontId="70" fillId="9" borderId="31" xfId="2" applyFont="1" applyFill="1" applyBorder="1"/>
    <xf numFmtId="165" fontId="0" fillId="8" borderId="32" xfId="9" applyNumberFormat="1" applyFont="1" applyFill="1" applyBorder="1" applyAlignment="1">
      <alignment horizontal="left" indent="1"/>
    </xf>
    <xf numFmtId="165" fontId="0" fillId="9" borderId="32" xfId="9" applyNumberFormat="1" applyFont="1" applyFill="1" applyBorder="1" applyAlignment="1">
      <alignment horizontal="left" indent="1"/>
    </xf>
    <xf numFmtId="165" fontId="0" fillId="8" borderId="32" xfId="9" applyNumberFormat="1" applyFont="1" applyFill="1" applyBorder="1"/>
    <xf numFmtId="165" fontId="0" fillId="9" borderId="32" xfId="9" applyNumberFormat="1" applyFont="1" applyFill="1" applyBorder="1"/>
    <xf numFmtId="165" fontId="72" fillId="10" borderId="1" xfId="9" applyNumberFormat="1" applyFont="1" applyFill="1" applyBorder="1"/>
    <xf numFmtId="165" fontId="72" fillId="10" borderId="29" xfId="9" applyNumberFormat="1" applyFont="1" applyFill="1" applyBorder="1"/>
    <xf numFmtId="9" fontId="71" fillId="0" borderId="1" xfId="2" applyFont="1" applyBorder="1" applyAlignment="1">
      <alignment vertical="top" wrapText="1"/>
    </xf>
    <xf numFmtId="0" fontId="4" fillId="5" borderId="1" xfId="14" applyFont="1" applyFill="1" applyAlignment="1" applyProtection="1">
      <alignment vertical="center"/>
    </xf>
    <xf numFmtId="0" fontId="4" fillId="0" borderId="4" xfId="14" applyFont="1" applyFill="1" applyBorder="1" applyAlignment="1" applyProtection="1">
      <alignment vertical="center"/>
    </xf>
    <xf numFmtId="165" fontId="52" fillId="8" borderId="18" xfId="22" applyNumberFormat="1" applyFont="1" applyFill="1" applyBorder="1" applyAlignment="1">
      <alignment horizontal="center" vertical="center"/>
    </xf>
    <xf numFmtId="165" fontId="51" fillId="9" borderId="33" xfId="22" applyNumberFormat="1" applyFont="1" applyFill="1" applyBorder="1" applyAlignment="1">
      <alignment horizontal="center" vertical="center"/>
    </xf>
    <xf numFmtId="165" fontId="51" fillId="9" borderId="18" xfId="22" applyNumberFormat="1" applyFont="1" applyFill="1" applyBorder="1" applyAlignment="1">
      <alignment horizontal="center" vertical="center"/>
    </xf>
    <xf numFmtId="165" fontId="51" fillId="9" borderId="18" xfId="22" applyNumberFormat="1" applyFont="1" applyFill="1" applyBorder="1" applyAlignment="1">
      <alignment horizontal="center" vertical="center" wrapText="1"/>
    </xf>
    <xf numFmtId="165" fontId="51" fillId="9" borderId="22" xfId="22" applyNumberFormat="1" applyFont="1" applyFill="1" applyBorder="1" applyAlignment="1">
      <alignment horizontal="center" vertical="center" wrapText="1"/>
    </xf>
    <xf numFmtId="165" fontId="52" fillId="8" borderId="33" xfId="22" applyNumberFormat="1" applyFont="1" applyFill="1" applyBorder="1" applyAlignment="1">
      <alignment horizontal="center" vertical="center"/>
    </xf>
    <xf numFmtId="44" fontId="52" fillId="8" borderId="18" xfId="23" applyFont="1" applyFill="1" applyBorder="1" applyAlignment="1">
      <alignment vertical="center"/>
    </xf>
    <xf numFmtId="165" fontId="52" fillId="8" borderId="18" xfId="22" applyNumberFormat="1" applyFont="1" applyFill="1" applyBorder="1" applyAlignment="1">
      <alignment horizontal="left" vertical="center"/>
    </xf>
    <xf numFmtId="165" fontId="52" fillId="8" borderId="18" xfId="22" applyNumberFormat="1" applyFont="1" applyFill="1" applyBorder="1" applyAlignment="1">
      <alignment vertical="center"/>
    </xf>
    <xf numFmtId="165" fontId="52" fillId="9" borderId="33" xfId="22" applyNumberFormat="1" applyFont="1" applyFill="1" applyBorder="1" applyAlignment="1">
      <alignment horizontal="center" vertical="center"/>
    </xf>
    <xf numFmtId="165" fontId="52" fillId="9" borderId="18" xfId="22" applyNumberFormat="1" applyFont="1" applyFill="1" applyBorder="1" applyAlignment="1">
      <alignment vertical="center"/>
    </xf>
    <xf numFmtId="165" fontId="52" fillId="9" borderId="18" xfId="22" applyNumberFormat="1" applyFont="1" applyFill="1" applyBorder="1" applyAlignment="1">
      <alignment horizontal="left" vertical="center"/>
    </xf>
    <xf numFmtId="165" fontId="52" fillId="9" borderId="18" xfId="22" applyNumberFormat="1" applyFont="1" applyFill="1" applyBorder="1" applyAlignment="1">
      <alignment horizontal="center" vertical="center"/>
    </xf>
    <xf numFmtId="165" fontId="52" fillId="9" borderId="22" xfId="22" applyNumberFormat="1" applyFont="1" applyFill="1" applyBorder="1" applyAlignment="1">
      <alignment horizontal="center" vertical="center"/>
    </xf>
    <xf numFmtId="165" fontId="52" fillId="8" borderId="18" xfId="22" applyNumberFormat="1" applyFont="1" applyFill="1" applyBorder="1" applyAlignment="1">
      <alignment vertical="center" wrapText="1"/>
    </xf>
    <xf numFmtId="165" fontId="52" fillId="9" borderId="18" xfId="22" applyNumberFormat="1" applyFont="1" applyFill="1" applyBorder="1" applyAlignment="1">
      <alignment vertical="center" wrapText="1"/>
    </xf>
    <xf numFmtId="170" fontId="22" fillId="5" borderId="3" xfId="1" applyNumberFormat="1" applyFont="1" applyFill="1" applyBorder="1" applyAlignment="1">
      <alignment horizontal="left"/>
    </xf>
    <xf numFmtId="165" fontId="51" fillId="9" borderId="3" xfId="12" applyNumberFormat="1" applyFont="1" applyFill="1" applyBorder="1" applyAlignment="1">
      <alignment horizontal="center" vertical="center"/>
    </xf>
    <xf numFmtId="165" fontId="51" fillId="9" borderId="18" xfId="12" applyNumberFormat="1" applyFont="1" applyFill="1" applyBorder="1" applyAlignment="1">
      <alignment horizontal="center" vertical="center"/>
    </xf>
    <xf numFmtId="165" fontId="51" fillId="9" borderId="18" xfId="12" applyNumberFormat="1" applyFont="1" applyFill="1" applyBorder="1" applyAlignment="1">
      <alignment horizontal="center" vertical="center" wrapText="1"/>
    </xf>
    <xf numFmtId="165" fontId="51" fillId="9" borderId="22" xfId="12" applyNumberFormat="1" applyFont="1" applyFill="1" applyBorder="1" applyAlignment="1">
      <alignment horizontal="center" vertical="center" wrapText="1"/>
    </xf>
    <xf numFmtId="165" fontId="52" fillId="8" borderId="33" xfId="12" applyNumberFormat="1" applyFont="1" applyFill="1" applyBorder="1" applyAlignment="1">
      <alignment horizontal="center" vertical="center"/>
    </xf>
    <xf numFmtId="165" fontId="52" fillId="8" borderId="18" xfId="12" applyNumberFormat="1" applyFont="1" applyFill="1" applyBorder="1" applyAlignment="1">
      <alignment vertical="center"/>
    </xf>
    <xf numFmtId="165" fontId="52" fillId="9" borderId="33" xfId="12" applyNumberFormat="1" applyFont="1" applyFill="1" applyBorder="1" applyAlignment="1">
      <alignment horizontal="center" vertical="center"/>
    </xf>
    <xf numFmtId="165" fontId="52" fillId="8" borderId="18" xfId="12" applyNumberFormat="1" applyFont="1" applyFill="1" applyBorder="1" applyAlignment="1">
      <alignment vertical="center" wrapText="1"/>
    </xf>
    <xf numFmtId="165" fontId="52" fillId="9" borderId="18" xfId="12" applyNumberFormat="1" applyFont="1" applyFill="1" applyBorder="1" applyAlignment="1">
      <alignment vertical="center" wrapText="1"/>
    </xf>
    <xf numFmtId="165" fontId="51" fillId="8" borderId="37" xfId="12" applyNumberFormat="1" applyFont="1" applyFill="1" applyBorder="1" applyAlignment="1">
      <alignment horizontal="center" vertical="center"/>
    </xf>
    <xf numFmtId="165" fontId="51" fillId="8" borderId="23" xfId="12" applyNumberFormat="1" applyFont="1" applyFill="1" applyBorder="1" applyAlignment="1">
      <alignment horizontal="center" vertical="center"/>
    </xf>
    <xf numFmtId="165" fontId="0" fillId="0" borderId="1" xfId="12" applyNumberFormat="1" applyFont="1" applyAlignment="1">
      <alignment horizontal="center" vertical="center"/>
    </xf>
    <xf numFmtId="0" fontId="74" fillId="2" borderId="3" xfId="0" applyFont="1" applyFill="1" applyBorder="1" applyAlignment="1">
      <alignment horizontal="left" vertical="top"/>
    </xf>
    <xf numFmtId="165" fontId="0" fillId="0" borderId="0" xfId="0" applyNumberFormat="1"/>
    <xf numFmtId="9" fontId="36" fillId="5" borderId="3" xfId="2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 wrapText="1"/>
    </xf>
    <xf numFmtId="9" fontId="36" fillId="5" borderId="3" xfId="0" applyNumberFormat="1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165" fontId="36" fillId="5" borderId="3" xfId="0" applyNumberFormat="1" applyFont="1" applyFill="1" applyBorder="1" applyAlignment="1">
      <alignment horizontal="center" vertical="center"/>
    </xf>
    <xf numFmtId="9" fontId="37" fillId="5" borderId="3" xfId="2" applyFont="1" applyFill="1" applyBorder="1" applyAlignment="1">
      <alignment horizontal="center" vertical="center"/>
    </xf>
    <xf numFmtId="15" fontId="54" fillId="0" borderId="1" xfId="14" applyNumberFormat="1" applyFont="1" applyFill="1" applyProtection="1"/>
    <xf numFmtId="43" fontId="76" fillId="11" borderId="1" xfId="24" applyFont="1" applyFill="1" applyBorder="1"/>
    <xf numFmtId="0" fontId="75" fillId="11" borderId="1" xfId="25" applyFont="1" applyFill="1" applyAlignment="1">
      <alignment horizontal="right"/>
    </xf>
    <xf numFmtId="0" fontId="75" fillId="11" borderId="1" xfId="25" applyFont="1" applyFill="1"/>
    <xf numFmtId="43" fontId="76" fillId="12" borderId="1" xfId="24" applyFont="1" applyFill="1" applyBorder="1"/>
    <xf numFmtId="0" fontId="2" fillId="12" borderId="1" xfId="25" applyFill="1" applyAlignment="1">
      <alignment horizontal="right"/>
    </xf>
    <xf numFmtId="0" fontId="2" fillId="12" borderId="1" xfId="25" applyFill="1"/>
    <xf numFmtId="43" fontId="22" fillId="5" borderId="3" xfId="1" applyFont="1" applyFill="1" applyBorder="1" applyAlignment="1">
      <alignment horizontal="right" vertical="top" shrinkToFit="1"/>
    </xf>
    <xf numFmtId="0" fontId="58" fillId="0" borderId="0" xfId="16" applyBorder="1" applyAlignment="1" applyProtection="1"/>
    <xf numFmtId="167" fontId="4" fillId="0" borderId="3" xfId="14" applyNumberFormat="1" applyFont="1" applyFill="1" applyBorder="1" applyProtection="1">
      <protection locked="0"/>
    </xf>
    <xf numFmtId="0" fontId="77" fillId="0" borderId="1" xfId="14" applyFont="1" applyFill="1" applyProtection="1"/>
    <xf numFmtId="9" fontId="63" fillId="0" borderId="1" xfId="0" applyNumberFormat="1" applyFont="1" applyBorder="1" applyAlignment="1" applyProtection="1">
      <alignment vertical="center"/>
      <protection locked="0"/>
    </xf>
    <xf numFmtId="9" fontId="63" fillId="0" borderId="1" xfId="2" applyFont="1" applyBorder="1" applyAlignment="1" applyProtection="1">
      <alignment vertical="center"/>
      <protection locked="0"/>
    </xf>
    <xf numFmtId="2" fontId="63" fillId="0" borderId="1" xfId="0" applyNumberFormat="1" applyFont="1" applyBorder="1" applyAlignment="1" applyProtection="1">
      <alignment vertical="center"/>
      <protection locked="0"/>
    </xf>
    <xf numFmtId="0" fontId="28" fillId="2" borderId="2" xfId="0" applyFont="1" applyFill="1" applyBorder="1" applyAlignment="1">
      <alignment horizontal="center" vertical="center" wrapText="1"/>
    </xf>
    <xf numFmtId="43" fontId="0" fillId="6" borderId="21" xfId="10" applyFont="1" applyFill="1" applyBorder="1" applyAlignment="1">
      <alignment horizontal="left" vertical="center"/>
    </xf>
    <xf numFmtId="43" fontId="0" fillId="6" borderId="9" xfId="10" applyFont="1" applyFill="1" applyBorder="1" applyAlignment="1">
      <alignment horizontal="left" vertical="center"/>
    </xf>
    <xf numFmtId="0" fontId="28" fillId="2" borderId="19" xfId="0" applyFont="1" applyFill="1" applyBorder="1" applyAlignment="1">
      <alignment horizontal="center" vertical="center" wrapText="1"/>
    </xf>
    <xf numFmtId="43" fontId="0" fillId="6" borderId="2" xfId="10" applyFont="1" applyFill="1" applyBorder="1" applyAlignment="1">
      <alignment horizontal="left" vertical="center"/>
    </xf>
    <xf numFmtId="43" fontId="0" fillId="6" borderId="19" xfId="10" applyFont="1" applyFill="1" applyBorder="1" applyAlignment="1">
      <alignment horizontal="left" vertical="center"/>
    </xf>
    <xf numFmtId="43" fontId="0" fillId="6" borderId="1" xfId="10" applyFont="1" applyFill="1" applyBorder="1" applyAlignment="1">
      <alignment horizontal="left" vertical="center"/>
    </xf>
    <xf numFmtId="43" fontId="0" fillId="6" borderId="5" xfId="10" applyFont="1" applyFill="1" applyBorder="1" applyAlignment="1">
      <alignment horizontal="left" vertical="center"/>
    </xf>
    <xf numFmtId="165" fontId="0" fillId="6" borderId="3" xfId="10" applyNumberFormat="1" applyFont="1" applyFill="1" applyBorder="1" applyAlignment="1">
      <alignment horizontal="left" vertical="center" wrapText="1"/>
    </xf>
    <xf numFmtId="165" fontId="51" fillId="9" borderId="2" xfId="12" applyNumberFormat="1" applyFont="1" applyFill="1" applyBorder="1" applyAlignment="1">
      <alignment horizontal="center" vertical="center"/>
    </xf>
    <xf numFmtId="165" fontId="78" fillId="8" borderId="18" xfId="12" applyNumberFormat="1" applyFont="1" applyFill="1" applyBorder="1" applyAlignment="1">
      <alignment vertical="center" wrapText="1"/>
    </xf>
    <xf numFmtId="2" fontId="51" fillId="8" borderId="23" xfId="12" applyNumberFormat="1" applyFont="1" applyFill="1" applyBorder="1" applyAlignment="1">
      <alignment horizontal="center" vertical="center"/>
    </xf>
    <xf numFmtId="2" fontId="79" fillId="9" borderId="18" xfId="12" applyNumberFormat="1" applyFont="1" applyFill="1" applyBorder="1" applyAlignment="1">
      <alignment horizontal="center" vertical="center"/>
    </xf>
    <xf numFmtId="2" fontId="79" fillId="9" borderId="18" xfId="12" applyNumberFormat="1" applyFont="1" applyFill="1" applyBorder="1" applyAlignment="1">
      <alignment horizontal="center" vertical="center" wrapText="1"/>
    </xf>
    <xf numFmtId="2" fontId="79" fillId="9" borderId="22" xfId="12" applyNumberFormat="1" applyFont="1" applyFill="1" applyBorder="1" applyAlignment="1">
      <alignment horizontal="center" vertical="center" wrapText="1"/>
    </xf>
    <xf numFmtId="2" fontId="79" fillId="8" borderId="18" xfId="12" applyNumberFormat="1" applyFont="1" applyFill="1" applyBorder="1" applyAlignment="1">
      <alignment horizontal="center" vertical="center"/>
    </xf>
    <xf numFmtId="2" fontId="79" fillId="8" borderId="22" xfId="12" applyNumberFormat="1" applyFont="1" applyFill="1" applyBorder="1" applyAlignment="1">
      <alignment horizontal="center" vertical="center"/>
    </xf>
    <xf numFmtId="2" fontId="79" fillId="9" borderId="22" xfId="12" applyNumberFormat="1" applyFont="1" applyFill="1" applyBorder="1" applyAlignment="1">
      <alignment horizontal="center" vertical="center"/>
    </xf>
    <xf numFmtId="2" fontId="79" fillId="8" borderId="23" xfId="12" applyNumberFormat="1" applyFont="1" applyFill="1" applyBorder="1" applyAlignment="1">
      <alignment horizontal="center" vertical="center"/>
    </xf>
    <xf numFmtId="2" fontId="79" fillId="8" borderId="13" xfId="12" applyNumberFormat="1" applyFont="1" applyFill="1" applyBorder="1" applyAlignment="1">
      <alignment horizontal="center" vertical="center"/>
    </xf>
    <xf numFmtId="2" fontId="79" fillId="13" borderId="18" xfId="12" applyNumberFormat="1" applyFont="1" applyFill="1" applyBorder="1" applyAlignment="1">
      <alignment horizontal="center" vertical="center"/>
    </xf>
    <xf numFmtId="2" fontId="79" fillId="13" borderId="18" xfId="12" applyNumberFormat="1" applyFont="1" applyFill="1" applyBorder="1" applyAlignment="1">
      <alignment horizontal="center" vertical="center" wrapText="1"/>
    </xf>
    <xf numFmtId="2" fontId="79" fillId="14" borderId="18" xfId="12" applyNumberFormat="1" applyFont="1" applyFill="1" applyBorder="1" applyAlignment="1">
      <alignment horizontal="center" vertical="center"/>
    </xf>
    <xf numFmtId="2" fontId="79" fillId="13" borderId="22" xfId="12" applyNumberFormat="1" applyFont="1" applyFill="1" applyBorder="1" applyAlignment="1">
      <alignment horizontal="center" vertical="center" wrapText="1"/>
    </xf>
    <xf numFmtId="2" fontId="79" fillId="14" borderId="22" xfId="12" applyNumberFormat="1" applyFont="1" applyFill="1" applyBorder="1" applyAlignment="1">
      <alignment horizontal="center" vertical="center"/>
    </xf>
    <xf numFmtId="2" fontId="79" fillId="15" borderId="18" xfId="12" applyNumberFormat="1" applyFont="1" applyFill="1" applyBorder="1" applyAlignment="1">
      <alignment horizontal="center" vertical="center"/>
    </xf>
    <xf numFmtId="2" fontId="79" fillId="16" borderId="18" xfId="12" applyNumberFormat="1" applyFont="1" applyFill="1" applyBorder="1" applyAlignment="1">
      <alignment horizontal="center" vertical="center"/>
    </xf>
    <xf numFmtId="2" fontId="79" fillId="17" borderId="18" xfId="12" applyNumberFormat="1" applyFont="1" applyFill="1" applyBorder="1" applyAlignment="1">
      <alignment horizontal="center" vertical="center"/>
    </xf>
    <xf numFmtId="2" fontId="79" fillId="18" borderId="18" xfId="12" applyNumberFormat="1" applyFont="1" applyFill="1" applyBorder="1" applyAlignment="1">
      <alignment horizontal="center" vertical="center"/>
    </xf>
    <xf numFmtId="165" fontId="0" fillId="11" borderId="1" xfId="12" applyNumberFormat="1" applyFont="1" applyFill="1"/>
    <xf numFmtId="165" fontId="0" fillId="19" borderId="1" xfId="12" applyNumberFormat="1" applyFont="1" applyFill="1"/>
    <xf numFmtId="165" fontId="0" fillId="20" borderId="1" xfId="12" applyNumberFormat="1" applyFont="1" applyFill="1"/>
    <xf numFmtId="165" fontId="0" fillId="21" borderId="1" xfId="12" applyNumberFormat="1" applyFont="1" applyFill="1"/>
    <xf numFmtId="165" fontId="15" fillId="0" borderId="1" xfId="12" applyNumberFormat="1" applyFont="1"/>
    <xf numFmtId="9" fontId="72" fillId="10" borderId="41" xfId="2" applyFont="1" applyFill="1" applyBorder="1" applyAlignment="1">
      <alignment vertical="top" wrapText="1"/>
    </xf>
    <xf numFmtId="9" fontId="72" fillId="10" borderId="42" xfId="2" applyFont="1" applyFill="1" applyBorder="1" applyAlignment="1">
      <alignment vertical="top" wrapText="1"/>
    </xf>
    <xf numFmtId="43" fontId="70" fillId="9" borderId="43" xfId="1" applyFont="1" applyFill="1" applyBorder="1"/>
    <xf numFmtId="43" fontId="70" fillId="8" borderId="43" xfId="1" applyFont="1" applyFill="1" applyBorder="1"/>
    <xf numFmtId="43" fontId="70" fillId="9" borderId="28" xfId="1" applyFont="1" applyFill="1" applyBorder="1"/>
    <xf numFmtId="165" fontId="80" fillId="6" borderId="17" xfId="10" applyNumberFormat="1" applyFont="1" applyFill="1" applyBorder="1" applyAlignment="1">
      <alignment vertical="center"/>
    </xf>
    <xf numFmtId="165" fontId="0" fillId="6" borderId="17" xfId="1" applyNumberFormat="1" applyFont="1" applyFill="1" applyBorder="1" applyAlignment="1">
      <alignment vertical="center"/>
    </xf>
    <xf numFmtId="0" fontId="28" fillId="2" borderId="6" xfId="0" applyFont="1" applyFill="1" applyBorder="1" applyAlignment="1">
      <alignment horizontal="center" vertical="center" wrapText="1"/>
    </xf>
    <xf numFmtId="0" fontId="28" fillId="2" borderId="21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165" fontId="7" fillId="6" borderId="18" xfId="10" applyNumberFormat="1" applyFont="1" applyFill="1" applyBorder="1" applyAlignment="1">
      <alignment horizontal="center" vertical="center"/>
    </xf>
    <xf numFmtId="165" fontId="6" fillId="6" borderId="23" xfId="10" applyNumberFormat="1" applyFont="1" applyFill="1" applyBorder="1" applyAlignment="1">
      <alignment horizontal="center" vertical="center"/>
    </xf>
    <xf numFmtId="165" fontId="0" fillId="9" borderId="30" xfId="9" applyNumberFormat="1" applyFont="1" applyFill="1" applyBorder="1" applyAlignment="1">
      <alignment horizontal="left" vertical="top"/>
    </xf>
    <xf numFmtId="165" fontId="0" fillId="8" borderId="32" xfId="9" applyNumberFormat="1" applyFont="1" applyFill="1" applyBorder="1" applyAlignment="1">
      <alignment horizontal="left" vertical="top"/>
    </xf>
    <xf numFmtId="165" fontId="28" fillId="2" borderId="16" xfId="1" applyNumberFormat="1" applyFont="1" applyFill="1" applyBorder="1" applyAlignment="1">
      <alignment horizontal="center" vertical="center" wrapText="1"/>
    </xf>
    <xf numFmtId="165" fontId="0" fillId="6" borderId="16" xfId="1" applyNumberFormat="1" applyFont="1" applyFill="1" applyBorder="1" applyAlignment="1">
      <alignment horizontal="left" vertical="center"/>
    </xf>
    <xf numFmtId="165" fontId="0" fillId="6" borderId="17" xfId="1" applyNumberFormat="1" applyFont="1" applyFill="1" applyBorder="1" applyAlignment="1">
      <alignment horizontal="left" vertical="center"/>
    </xf>
    <xf numFmtId="165" fontId="0" fillId="6" borderId="15" xfId="1" applyNumberFormat="1" applyFont="1" applyFill="1" applyBorder="1" applyAlignment="1">
      <alignment horizontal="left" vertical="center"/>
    </xf>
    <xf numFmtId="0" fontId="81" fillId="2" borderId="4" xfId="0" applyFont="1" applyFill="1" applyBorder="1" applyAlignment="1">
      <alignment horizontal="right" vertical="top"/>
    </xf>
    <xf numFmtId="2" fontId="79" fillId="15" borderId="22" xfId="12" applyNumberFormat="1" applyFont="1" applyFill="1" applyBorder="1" applyAlignment="1">
      <alignment horizontal="center" vertical="center"/>
    </xf>
    <xf numFmtId="2" fontId="79" fillId="22" borderId="18" xfId="12" applyNumberFormat="1" applyFont="1" applyFill="1" applyBorder="1" applyAlignment="1">
      <alignment horizontal="center" vertical="center"/>
    </xf>
    <xf numFmtId="2" fontId="79" fillId="23" borderId="18" xfId="12" applyNumberFormat="1" applyFont="1" applyFill="1" applyBorder="1" applyAlignment="1">
      <alignment horizontal="center" vertical="center"/>
    </xf>
    <xf numFmtId="2" fontId="79" fillId="18" borderId="22" xfId="12" applyNumberFormat="1" applyFont="1" applyFill="1" applyBorder="1" applyAlignment="1">
      <alignment horizontal="center" vertical="center"/>
    </xf>
    <xf numFmtId="2" fontId="79" fillId="17" borderId="22" xfId="12" applyNumberFormat="1" applyFont="1" applyFill="1" applyBorder="1" applyAlignment="1">
      <alignment horizontal="center" vertical="center"/>
    </xf>
    <xf numFmtId="2" fontId="79" fillId="23" borderId="22" xfId="12" applyNumberFormat="1" applyFont="1" applyFill="1" applyBorder="1" applyAlignment="1">
      <alignment horizontal="center" vertical="center"/>
    </xf>
    <xf numFmtId="2" fontId="79" fillId="22" borderId="22" xfId="12" applyNumberFormat="1" applyFont="1" applyFill="1" applyBorder="1" applyAlignment="1">
      <alignment horizontal="center" vertical="center"/>
    </xf>
    <xf numFmtId="2" fontId="79" fillId="22" borderId="18" xfId="12" applyNumberFormat="1" applyFont="1" applyFill="1" applyBorder="1" applyAlignment="1">
      <alignment horizontal="center" vertical="center" wrapText="1"/>
    </xf>
    <xf numFmtId="2" fontId="79" fillId="22" borderId="22" xfId="12" applyNumberFormat="1" applyFont="1" applyFill="1" applyBorder="1" applyAlignment="1">
      <alignment horizontal="center" vertical="center" wrapText="1"/>
    </xf>
    <xf numFmtId="165" fontId="0" fillId="24" borderId="17" xfId="10" applyNumberFormat="1" applyFont="1" applyFill="1" applyBorder="1" applyAlignment="1">
      <alignment vertical="center"/>
    </xf>
    <xf numFmtId="10" fontId="0" fillId="6" borderId="17" xfId="10" applyNumberFormat="1" applyFont="1" applyFill="1" applyBorder="1" applyAlignment="1">
      <alignment vertical="center"/>
    </xf>
    <xf numFmtId="9" fontId="72" fillId="10" borderId="44" xfId="2" applyFont="1" applyFill="1" applyBorder="1" applyAlignment="1">
      <alignment vertical="top" wrapText="1"/>
    </xf>
    <xf numFmtId="165" fontId="0" fillId="9" borderId="45" xfId="9" applyNumberFormat="1" applyFont="1" applyFill="1" applyBorder="1"/>
    <xf numFmtId="165" fontId="0" fillId="8" borderId="45" xfId="9" applyNumberFormat="1" applyFont="1" applyFill="1" applyBorder="1"/>
    <xf numFmtId="165" fontId="51" fillId="9" borderId="10" xfId="12" applyNumberFormat="1" applyFont="1" applyFill="1" applyBorder="1" applyAlignment="1">
      <alignment horizontal="center" vertical="center"/>
    </xf>
    <xf numFmtId="165" fontId="51" fillId="9" borderId="33" xfId="12" applyNumberFormat="1" applyFont="1" applyFill="1" applyBorder="1" applyAlignment="1">
      <alignment horizontal="center" vertical="center"/>
    </xf>
    <xf numFmtId="2" fontId="51" fillId="8" borderId="14" xfId="12" applyNumberFormat="1" applyFont="1" applyFill="1" applyBorder="1" applyAlignment="1">
      <alignment horizontal="center" vertical="center"/>
    </xf>
    <xf numFmtId="165" fontId="0" fillId="0" borderId="18" xfId="10" applyNumberFormat="1" applyFont="1" applyBorder="1"/>
    <xf numFmtId="165" fontId="0" fillId="0" borderId="2" xfId="10" applyNumberFormat="1" applyFont="1" applyBorder="1"/>
    <xf numFmtId="9" fontId="0" fillId="0" borderId="2" xfId="2" applyFont="1" applyBorder="1"/>
    <xf numFmtId="9" fontId="0" fillId="0" borderId="19" xfId="2" applyFont="1" applyBorder="1"/>
    <xf numFmtId="165" fontId="0" fillId="0" borderId="4" xfId="10" applyNumberFormat="1" applyFont="1" applyBorder="1"/>
    <xf numFmtId="165" fontId="0" fillId="0" borderId="1" xfId="10" applyNumberFormat="1" applyFont="1" applyBorder="1"/>
    <xf numFmtId="9" fontId="0" fillId="0" borderId="5" xfId="2" applyFont="1" applyBorder="1"/>
    <xf numFmtId="165" fontId="0" fillId="0" borderId="5" xfId="10" applyNumberFormat="1" applyFont="1" applyBorder="1"/>
    <xf numFmtId="165" fontId="0" fillId="0" borderId="6" xfId="10" applyNumberFormat="1" applyFont="1" applyBorder="1"/>
    <xf numFmtId="165" fontId="0" fillId="0" borderId="8" xfId="10" applyNumberFormat="1" applyFont="1" applyBorder="1"/>
    <xf numFmtId="9" fontId="0" fillId="0" borderId="8" xfId="2" applyFont="1" applyBorder="1"/>
    <xf numFmtId="9" fontId="0" fillId="0" borderId="7" xfId="2" applyFont="1" applyBorder="1"/>
    <xf numFmtId="165" fontId="82" fillId="0" borderId="1" xfId="10" applyNumberFormat="1" applyFont="1"/>
    <xf numFmtId="0" fontId="49" fillId="3" borderId="20" xfId="0" applyFont="1" applyFill="1" applyBorder="1"/>
    <xf numFmtId="0" fontId="49" fillId="3" borderId="21" xfId="0" applyFont="1" applyFill="1" applyBorder="1"/>
    <xf numFmtId="165" fontId="0" fillId="6" borderId="15" xfId="10" applyNumberFormat="1" applyFont="1" applyFill="1" applyBorder="1" applyAlignment="1">
      <alignment horizontal="center"/>
    </xf>
    <xf numFmtId="168" fontId="0" fillId="6" borderId="15" xfId="2" applyNumberFormat="1" applyFont="1" applyFill="1" applyBorder="1" applyAlignment="1">
      <alignment vertical="center"/>
    </xf>
    <xf numFmtId="9" fontId="72" fillId="10" borderId="1" xfId="2" applyFont="1" applyFill="1" applyBorder="1" applyAlignment="1">
      <alignment vertical="top" wrapText="1"/>
    </xf>
    <xf numFmtId="165" fontId="0" fillId="9" borderId="30" xfId="9" applyNumberFormat="1" applyFont="1" applyFill="1" applyBorder="1"/>
    <xf numFmtId="43" fontId="70" fillId="9" borderId="31" xfId="1" applyFont="1" applyFill="1" applyBorder="1"/>
    <xf numFmtId="43" fontId="70" fillId="8" borderId="28" xfId="1" applyFont="1" applyFill="1" applyBorder="1"/>
    <xf numFmtId="165" fontId="0" fillId="9" borderId="46" xfId="9" applyNumberFormat="1" applyFont="1" applyFill="1" applyBorder="1"/>
    <xf numFmtId="0" fontId="48" fillId="2" borderId="4" xfId="0" applyFont="1" applyFill="1" applyBorder="1" applyAlignment="1">
      <alignment horizontal="left" vertical="top" indent="1"/>
    </xf>
    <xf numFmtId="164" fontId="29" fillId="0" borderId="1" xfId="6" applyNumberFormat="1" applyFont="1"/>
    <xf numFmtId="0" fontId="58" fillId="0" borderId="1" xfId="16" applyAlignment="1" applyProtection="1">
      <alignment vertical="center"/>
    </xf>
    <xf numFmtId="166" fontId="17" fillId="0" borderId="4" xfId="1" applyNumberFormat="1" applyFont="1" applyBorder="1"/>
    <xf numFmtId="0" fontId="58" fillId="0" borderId="1" xfId="16" applyBorder="1" applyAlignment="1" applyProtection="1"/>
    <xf numFmtId="2" fontId="4" fillId="0" borderId="1" xfId="14" applyNumberFormat="1" applyFont="1" applyFill="1" applyAlignment="1" applyProtection="1">
      <alignment vertical="center"/>
    </xf>
    <xf numFmtId="164" fontId="4" fillId="0" borderId="1" xfId="14" applyNumberFormat="1" applyFont="1" applyFill="1" applyAlignment="1" applyProtection="1">
      <alignment vertical="center"/>
    </xf>
    <xf numFmtId="9" fontId="0" fillId="0" borderId="0" xfId="2" applyFont="1"/>
    <xf numFmtId="0" fontId="0" fillId="0" borderId="0" xfId="0" applyAlignment="1">
      <alignment horizontal="left" indent="2"/>
    </xf>
    <xf numFmtId="165" fontId="0" fillId="0" borderId="21" xfId="1" applyNumberFormat="1" applyFont="1" applyBorder="1"/>
    <xf numFmtId="0" fontId="15" fillId="0" borderId="0" xfId="0" applyFont="1" applyAlignment="1">
      <alignment horizontal="left"/>
    </xf>
    <xf numFmtId="165" fontId="0" fillId="19" borderId="0" xfId="0" applyNumberFormat="1" applyFill="1"/>
    <xf numFmtId="165" fontId="0" fillId="11" borderId="0" xfId="0" applyNumberFormat="1" applyFill="1"/>
    <xf numFmtId="9" fontId="0" fillId="0" borderId="0" xfId="0" applyNumberFormat="1"/>
    <xf numFmtId="0" fontId="83" fillId="2" borderId="3" xfId="0" applyFont="1" applyFill="1" applyBorder="1" applyAlignment="1">
      <alignment horizontal="left" vertical="top"/>
    </xf>
    <xf numFmtId="0" fontId="37" fillId="2" borderId="3" xfId="0" applyFont="1" applyFill="1" applyBorder="1" applyAlignment="1">
      <alignment vertical="top"/>
    </xf>
    <xf numFmtId="10" fontId="69" fillId="6" borderId="17" xfId="2" applyNumberFormat="1" applyFont="1" applyFill="1" applyBorder="1" applyAlignment="1">
      <alignment vertical="center"/>
    </xf>
    <xf numFmtId="0" fontId="44" fillId="0" borderId="1" xfId="25" applyFont="1" applyAlignment="1">
      <alignment vertical="center"/>
    </xf>
    <xf numFmtId="0" fontId="44" fillId="25" borderId="1" xfId="25" applyFont="1" applyFill="1" applyAlignment="1">
      <alignment vertical="center"/>
    </xf>
    <xf numFmtId="0" fontId="84" fillId="25" borderId="1" xfId="25" applyFont="1" applyFill="1" applyAlignment="1">
      <alignment vertical="center"/>
    </xf>
    <xf numFmtId="0" fontId="2" fillId="19" borderId="1" xfId="25" applyFill="1" applyAlignment="1">
      <alignment horizontal="right"/>
    </xf>
    <xf numFmtId="0" fontId="2" fillId="19" borderId="1" xfId="25" applyFill="1"/>
    <xf numFmtId="43" fontId="88" fillId="19" borderId="1" xfId="24" applyFont="1" applyFill="1" applyBorder="1"/>
    <xf numFmtId="0" fontId="60" fillId="11" borderId="1" xfId="25" applyFont="1" applyFill="1" applyAlignment="1">
      <alignment horizontal="right"/>
    </xf>
    <xf numFmtId="0" fontId="60" fillId="11" borderId="1" xfId="25" applyFont="1" applyFill="1"/>
    <xf numFmtId="0" fontId="60" fillId="19" borderId="1" xfId="25" applyFont="1" applyFill="1" applyAlignment="1">
      <alignment horizontal="right"/>
    </xf>
    <xf numFmtId="0" fontId="60" fillId="19" borderId="1" xfId="25" applyFont="1" applyFill="1"/>
    <xf numFmtId="0" fontId="89" fillId="11" borderId="1" xfId="25" applyFont="1" applyFill="1" applyAlignment="1">
      <alignment horizontal="right"/>
    </xf>
    <xf numFmtId="0" fontId="89" fillId="11" borderId="1" xfId="25" applyFont="1" applyFill="1"/>
    <xf numFmtId="43" fontId="87" fillId="19" borderId="1" xfId="24" applyFont="1" applyFill="1" applyBorder="1"/>
    <xf numFmtId="0" fontId="89" fillId="19" borderId="1" xfId="25" applyFont="1" applyFill="1" applyAlignment="1">
      <alignment horizontal="right"/>
    </xf>
    <xf numFmtId="0" fontId="89" fillId="19" borderId="1" xfId="25" applyFont="1" applyFill="1"/>
    <xf numFmtId="0" fontId="0" fillId="24" borderId="0" xfId="0" applyFill="1"/>
    <xf numFmtId="0" fontId="0" fillId="0" borderId="0" xfId="2" applyNumberFormat="1" applyFont="1"/>
    <xf numFmtId="165" fontId="12" fillId="0" borderId="0" xfId="2" applyNumberFormat="1" applyFont="1" applyFill="1"/>
    <xf numFmtId="0" fontId="85" fillId="25" borderId="1" xfId="25" applyFont="1" applyFill="1" applyAlignment="1">
      <alignment vertical="center" wrapText="1"/>
    </xf>
    <xf numFmtId="0" fontId="44" fillId="19" borderId="1" xfId="25" applyFont="1" applyFill="1" applyAlignment="1">
      <alignment horizontal="left" vertical="center"/>
    </xf>
    <xf numFmtId="0" fontId="44" fillId="0" borderId="1" xfId="25" applyFont="1" applyAlignment="1">
      <alignment horizontal="left" vertical="center"/>
    </xf>
    <xf numFmtId="0" fontId="44" fillId="25" borderId="1" xfId="25" applyFont="1" applyFill="1" applyAlignment="1">
      <alignment horizontal="left" vertical="center"/>
    </xf>
    <xf numFmtId="0" fontId="85" fillId="0" borderId="1" xfId="25" applyFont="1" applyAlignment="1">
      <alignment horizontal="left" vertical="center"/>
    </xf>
    <xf numFmtId="0" fontId="85" fillId="25" borderId="1" xfId="25" applyFont="1" applyFill="1" applyAlignment="1">
      <alignment horizontal="left" vertical="center" wrapText="1"/>
    </xf>
    <xf numFmtId="0" fontId="86" fillId="25" borderId="1" xfId="25" applyFont="1" applyFill="1" applyAlignment="1">
      <alignment horizontal="left" vertical="center" wrapText="1"/>
    </xf>
    <xf numFmtId="0" fontId="44" fillId="25" borderId="1" xfId="25" applyFont="1" applyFill="1" applyAlignment="1">
      <alignment horizontal="left" vertical="center" wrapText="1"/>
    </xf>
    <xf numFmtId="15" fontId="85" fillId="25" borderId="1" xfId="25" applyNumberFormat="1" applyFont="1" applyFill="1" applyAlignment="1">
      <alignment horizontal="left" vertical="center" wrapText="1"/>
    </xf>
    <xf numFmtId="0" fontId="84" fillId="11" borderId="48" xfId="25" applyFont="1" applyFill="1" applyBorder="1" applyAlignment="1">
      <alignment horizontal="left" vertical="center"/>
    </xf>
    <xf numFmtId="0" fontId="84" fillId="11" borderId="49" xfId="25" applyFont="1" applyFill="1" applyBorder="1" applyAlignment="1">
      <alignment horizontal="left" vertical="center"/>
    </xf>
    <xf numFmtId="43" fontId="87" fillId="19" borderId="50" xfId="24" applyFont="1" applyFill="1" applyBorder="1" applyAlignment="1">
      <alignment horizontal="left" vertical="center"/>
    </xf>
    <xf numFmtId="0" fontId="44" fillId="19" borderId="26" xfId="25" applyFont="1" applyFill="1" applyBorder="1" applyAlignment="1">
      <alignment horizontal="left" vertical="center"/>
    </xf>
    <xf numFmtId="0" fontId="44" fillId="0" borderId="50" xfId="25" applyFont="1" applyBorder="1" applyAlignment="1">
      <alignment horizontal="left" vertical="center"/>
    </xf>
    <xf numFmtId="0" fontId="44" fillId="25" borderId="26" xfId="25" applyFont="1" applyFill="1" applyBorder="1" applyAlignment="1">
      <alignment horizontal="left" vertical="center"/>
    </xf>
    <xf numFmtId="0" fontId="85" fillId="0" borderId="50" xfId="25" applyFont="1" applyBorder="1" applyAlignment="1">
      <alignment horizontal="left" vertical="center"/>
    </xf>
    <xf numFmtId="0" fontId="44" fillId="25" borderId="26" xfId="25" applyFont="1" applyFill="1" applyBorder="1" applyAlignment="1">
      <alignment horizontal="left" vertical="center" wrapText="1"/>
    </xf>
    <xf numFmtId="0" fontId="86" fillId="0" borderId="50" xfId="25" applyFont="1" applyBorder="1" applyAlignment="1">
      <alignment horizontal="left" vertical="center"/>
    </xf>
    <xf numFmtId="0" fontId="44" fillId="25" borderId="52" xfId="25" applyFont="1" applyFill="1" applyBorder="1" applyAlignment="1">
      <alignment horizontal="left" vertical="center"/>
    </xf>
    <xf numFmtId="164" fontId="14" fillId="0" borderId="0" xfId="1" applyNumberFormat="1" applyFont="1" applyAlignment="1"/>
    <xf numFmtId="9" fontId="12" fillId="0" borderId="0" xfId="2" applyFont="1"/>
    <xf numFmtId="165" fontId="12" fillId="0" borderId="0" xfId="1" applyNumberFormat="1" applyFont="1"/>
    <xf numFmtId="10" fontId="0" fillId="6" borderId="3" xfId="2" applyNumberFormat="1" applyFont="1" applyFill="1" applyBorder="1" applyAlignment="1">
      <alignment vertical="center"/>
    </xf>
    <xf numFmtId="9" fontId="27" fillId="0" borderId="1" xfId="2" applyFont="1" applyBorder="1" applyAlignment="1">
      <alignment wrapText="1"/>
    </xf>
    <xf numFmtId="165" fontId="0" fillId="5" borderId="3" xfId="10" applyNumberFormat="1" applyFont="1" applyFill="1" applyBorder="1" applyAlignment="1">
      <alignment horizontal="left" vertical="center" wrapText="1"/>
    </xf>
    <xf numFmtId="165" fontId="0" fillId="5" borderId="3" xfId="10" applyNumberFormat="1" applyFont="1" applyFill="1" applyBorder="1" applyAlignment="1">
      <alignment horizontal="left" vertical="center"/>
    </xf>
    <xf numFmtId="165" fontId="1" fillId="6" borderId="3" xfId="10" applyNumberFormat="1" applyFont="1" applyFill="1" applyBorder="1" applyAlignment="1">
      <alignment vertical="center"/>
    </xf>
    <xf numFmtId="10" fontId="4" fillId="0" borderId="1" xfId="2" applyNumberFormat="1" applyFont="1" applyFill="1" applyBorder="1" applyAlignment="1" applyProtection="1">
      <alignment vertical="center"/>
    </xf>
    <xf numFmtId="0" fontId="0" fillId="0" borderId="4" xfId="0" applyBorder="1"/>
    <xf numFmtId="0" fontId="14" fillId="0" borderId="4" xfId="0" applyFont="1" applyBorder="1"/>
    <xf numFmtId="165" fontId="91" fillId="6" borderId="17" xfId="10" applyNumberFormat="1" applyFont="1" applyFill="1" applyBorder="1" applyAlignment="1">
      <alignment vertical="center"/>
    </xf>
    <xf numFmtId="165" fontId="91" fillId="6" borderId="17" xfId="10" applyNumberFormat="1" applyFont="1" applyFill="1" applyBorder="1" applyAlignment="1">
      <alignment horizontal="center"/>
    </xf>
    <xf numFmtId="10" fontId="0" fillId="0" borderId="0" xfId="2" applyNumberFormat="1" applyFont="1"/>
    <xf numFmtId="0" fontId="85" fillId="26" borderId="50" xfId="25" applyFont="1" applyFill="1" applyBorder="1" applyAlignment="1">
      <alignment horizontal="left" vertical="center"/>
    </xf>
    <xf numFmtId="0" fontId="90" fillId="26" borderId="51" xfId="25" applyFont="1" applyFill="1" applyBorder="1" applyAlignment="1">
      <alignment horizontal="left" vertical="center"/>
    </xf>
    <xf numFmtId="43" fontId="92" fillId="11" borderId="47" xfId="24" applyFont="1" applyFill="1" applyBorder="1" applyAlignment="1">
      <alignment horizontal="left" vertical="center"/>
    </xf>
    <xf numFmtId="43" fontId="92" fillId="11" borderId="1" xfId="24" applyFont="1" applyFill="1" applyBorder="1"/>
    <xf numFmtId="9" fontId="0" fillId="0" borderId="1" xfId="2" applyFont="1" applyFill="1" applyBorder="1"/>
    <xf numFmtId="165" fontId="0" fillId="0" borderId="1" xfId="9" applyNumberFormat="1" applyFont="1" applyFill="1" applyBorder="1" applyAlignment="1">
      <alignment horizontal="right"/>
    </xf>
    <xf numFmtId="0" fontId="94" fillId="0" borderId="1" xfId="26" applyFont="1"/>
    <xf numFmtId="0" fontId="93" fillId="0" borderId="1" xfId="26"/>
    <xf numFmtId="0" fontId="95" fillId="0" borderId="1" xfId="26" applyFont="1" applyAlignment="1">
      <alignment horizontal="right"/>
    </xf>
    <xf numFmtId="0" fontId="93" fillId="0" borderId="21" xfId="26" applyBorder="1"/>
    <xf numFmtId="0" fontId="96" fillId="0" borderId="1" xfId="26" applyFont="1" applyAlignment="1">
      <alignment horizontal="center"/>
    </xf>
    <xf numFmtId="0" fontId="93" fillId="0" borderId="1" xfId="26" applyAlignment="1">
      <alignment horizontal="center"/>
    </xf>
    <xf numFmtId="43" fontId="0" fillId="0" borderId="1" xfId="27" applyFont="1" applyBorder="1"/>
    <xf numFmtId="43" fontId="93" fillId="0" borderId="1" xfId="27" applyFont="1" applyBorder="1"/>
    <xf numFmtId="0" fontId="62" fillId="0" borderId="1" xfId="26" applyFont="1" applyAlignment="1">
      <alignment horizontal="center"/>
    </xf>
    <xf numFmtId="43" fontId="62" fillId="0" borderId="1" xfId="27" applyFont="1" applyBorder="1"/>
    <xf numFmtId="0" fontId="96" fillId="0" borderId="1" xfId="26" applyFont="1"/>
    <xf numFmtId="43" fontId="96" fillId="0" borderId="1" xfId="27" applyFont="1" applyBorder="1" applyAlignment="1">
      <alignment horizontal="center"/>
    </xf>
    <xf numFmtId="43" fontId="96" fillId="0" borderId="1" xfId="26" applyNumberFormat="1" applyFont="1" applyAlignment="1">
      <alignment horizontal="center"/>
    </xf>
    <xf numFmtId="0" fontId="95" fillId="0" borderId="1" xfId="26" applyFont="1"/>
    <xf numFmtId="0" fontId="62" fillId="0" borderId="1" xfId="27" applyNumberFormat="1" applyFont="1" applyBorder="1"/>
    <xf numFmtId="43" fontId="96" fillId="0" borderId="1" xfId="27" applyFont="1" applyBorder="1" applyAlignment="1">
      <alignment horizontal="right"/>
    </xf>
    <xf numFmtId="43" fontId="0" fillId="0" borderId="21" xfId="27" applyFont="1" applyBorder="1"/>
    <xf numFmtId="43" fontId="96" fillId="0" borderId="8" xfId="27" applyFont="1" applyBorder="1"/>
    <xf numFmtId="0" fontId="94" fillId="0" borderId="1" xfId="26" applyFont="1" applyAlignment="1">
      <alignment horizontal="right"/>
    </xf>
    <xf numFmtId="0" fontId="97" fillId="0" borderId="1" xfId="26" applyFont="1" applyAlignment="1">
      <alignment horizontal="right"/>
    </xf>
    <xf numFmtId="43" fontId="93" fillId="0" borderId="1" xfId="27" applyBorder="1"/>
    <xf numFmtId="43" fontId="96" fillId="0" borderId="1" xfId="27" applyFont="1" applyBorder="1"/>
    <xf numFmtId="0" fontId="62" fillId="0" borderId="1" xfId="26" applyFont="1"/>
    <xf numFmtId="9" fontId="93" fillId="0" borderId="1" xfId="26" applyNumberFormat="1"/>
    <xf numFmtId="43" fontId="93" fillId="0" borderId="21" xfId="27" applyBorder="1"/>
    <xf numFmtId="0" fontId="93" fillId="0" borderId="21" xfId="26" applyBorder="1" applyAlignment="1">
      <alignment horizontal="center"/>
    </xf>
    <xf numFmtId="43" fontId="93" fillId="0" borderId="21" xfId="26" applyNumberFormat="1" applyBorder="1"/>
    <xf numFmtId="43" fontId="93" fillId="0" borderId="1" xfId="26" applyNumberFormat="1"/>
    <xf numFmtId="172" fontId="93" fillId="0" borderId="1" xfId="26" applyNumberFormat="1"/>
    <xf numFmtId="43" fontId="93" fillId="0" borderId="21" xfId="27" applyFont="1" applyBorder="1" applyAlignment="1">
      <alignment horizontal="center"/>
    </xf>
    <xf numFmtId="43" fontId="93" fillId="0" borderId="1" xfId="27" applyFont="1" applyBorder="1" applyAlignment="1">
      <alignment horizontal="center"/>
    </xf>
    <xf numFmtId="2" fontId="93" fillId="0" borderId="1" xfId="26" applyNumberFormat="1"/>
    <xf numFmtId="9" fontId="93" fillId="0" borderId="1" xfId="28" applyBorder="1"/>
    <xf numFmtId="43" fontId="93" fillId="0" borderId="8" xfId="26" applyNumberFormat="1" applyBorder="1"/>
    <xf numFmtId="10" fontId="93" fillId="0" borderId="1" xfId="26" applyNumberFormat="1"/>
    <xf numFmtId="0" fontId="93" fillId="0" borderId="4" xfId="26" applyBorder="1"/>
    <xf numFmtId="43" fontId="0" fillId="0" borderId="5" xfId="27" applyFont="1" applyBorder="1"/>
    <xf numFmtId="43" fontId="0" fillId="0" borderId="9" xfId="27" applyFont="1" applyBorder="1"/>
    <xf numFmtId="0" fontId="93" fillId="0" borderId="20" xfId="26" applyBorder="1"/>
    <xf numFmtId="43" fontId="96" fillId="0" borderId="7" xfId="27" applyFont="1" applyBorder="1"/>
    <xf numFmtId="0" fontId="96" fillId="0" borderId="6" xfId="26" applyFont="1" applyBorder="1"/>
    <xf numFmtId="0" fontId="96" fillId="0" borderId="8" xfId="26" applyFont="1" applyBorder="1"/>
    <xf numFmtId="0" fontId="93" fillId="0" borderId="8" xfId="26" applyBorder="1"/>
    <xf numFmtId="0" fontId="96" fillId="0" borderId="7" xfId="26" applyFont="1" applyBorder="1"/>
    <xf numFmtId="43" fontId="0" fillId="0" borderId="4" xfId="27" applyFont="1" applyBorder="1"/>
    <xf numFmtId="43" fontId="0" fillId="0" borderId="20" xfId="27" applyFont="1" applyBorder="1"/>
    <xf numFmtId="43" fontId="96" fillId="0" borderId="6" xfId="27" applyFont="1" applyBorder="1"/>
    <xf numFmtId="43" fontId="93" fillId="0" borderId="1" xfId="26" applyNumberFormat="1" applyAlignment="1">
      <alignment horizontal="center"/>
    </xf>
    <xf numFmtId="9" fontId="14" fillId="0" borderId="0" xfId="2" applyFont="1" applyAlignment="1"/>
    <xf numFmtId="164" fontId="22" fillId="4" borderId="3" xfId="1" applyNumberFormat="1" applyFont="1" applyFill="1" applyBorder="1" applyAlignment="1"/>
    <xf numFmtId="170" fontId="22" fillId="4" borderId="3" xfId="1" applyNumberFormat="1" applyFont="1" applyFill="1" applyBorder="1" applyAlignment="1"/>
    <xf numFmtId="165" fontId="0" fillId="4" borderId="13" xfId="1" applyNumberFormat="1" applyFont="1" applyFill="1" applyBorder="1"/>
    <xf numFmtId="164" fontId="93" fillId="0" borderId="1" xfId="26" applyNumberFormat="1"/>
    <xf numFmtId="43" fontId="14" fillId="0" borderId="0" xfId="1" applyFont="1" applyAlignment="1"/>
    <xf numFmtId="0" fontId="75" fillId="0" borderId="0" xfId="0" applyFont="1"/>
    <xf numFmtId="0" fontId="75" fillId="0" borderId="1" xfId="0" applyFont="1" applyBorder="1"/>
    <xf numFmtId="165" fontId="41" fillId="4" borderId="3" xfId="1" applyNumberFormat="1" applyFont="1" applyFill="1" applyBorder="1"/>
    <xf numFmtId="9" fontId="60" fillId="19" borderId="1" xfId="2" applyFont="1" applyFill="1" applyBorder="1"/>
    <xf numFmtId="165" fontId="72" fillId="10" borderId="29" xfId="2" applyNumberFormat="1" applyFont="1" applyFill="1" applyBorder="1" applyAlignment="1">
      <alignment vertical="top" wrapText="1"/>
    </xf>
    <xf numFmtId="164" fontId="0" fillId="6" borderId="17" xfId="10" applyNumberFormat="1" applyFont="1" applyFill="1" applyBorder="1" applyAlignment="1">
      <alignment vertical="center"/>
    </xf>
    <xf numFmtId="43" fontId="0" fillId="0" borderId="1" xfId="9" applyFont="1"/>
    <xf numFmtId="170" fontId="0" fillId="6" borderId="17" xfId="10" applyNumberFormat="1" applyFont="1" applyFill="1" applyBorder="1" applyAlignment="1">
      <alignment vertical="center"/>
    </xf>
    <xf numFmtId="10" fontId="75" fillId="0" borderId="0" xfId="0" applyNumberFormat="1" applyFont="1"/>
    <xf numFmtId="0" fontId="55" fillId="0" borderId="4" xfId="14" applyFont="1" applyFill="1" applyBorder="1" applyAlignment="1" applyProtection="1">
      <alignment wrapText="1"/>
    </xf>
    <xf numFmtId="0" fontId="4" fillId="5" borderId="19" xfId="14" applyFont="1" applyFill="1" applyBorder="1" applyAlignment="1" applyProtection="1">
      <alignment vertical="center"/>
    </xf>
    <xf numFmtId="0" fontId="4" fillId="5" borderId="5" xfId="14" applyFont="1" applyFill="1" applyBorder="1" applyAlignment="1" applyProtection="1">
      <alignment vertical="center"/>
    </xf>
    <xf numFmtId="165" fontId="4" fillId="5" borderId="19" xfId="15" applyNumberFormat="1" applyFont="1" applyFill="1" applyBorder="1" applyAlignment="1" applyProtection="1">
      <alignment horizontal="right" vertical="center"/>
    </xf>
    <xf numFmtId="165" fontId="4" fillId="5" borderId="5" xfId="15" applyNumberFormat="1" applyFont="1" applyFill="1" applyBorder="1" applyAlignment="1" applyProtection="1">
      <alignment horizontal="right" vertical="center"/>
    </xf>
    <xf numFmtId="165" fontId="4" fillId="5" borderId="9" xfId="15" applyNumberFormat="1" applyFont="1" applyFill="1" applyBorder="1" applyAlignment="1" applyProtection="1">
      <alignment horizontal="right" vertical="center"/>
    </xf>
    <xf numFmtId="43" fontId="4" fillId="5" borderId="9" xfId="15" applyFont="1" applyFill="1" applyBorder="1" applyAlignment="1" applyProtection="1">
      <alignment horizontal="right" vertical="center"/>
    </xf>
    <xf numFmtId="165" fontId="4" fillId="5" borderId="5" xfId="15" applyNumberFormat="1" applyFont="1" applyFill="1" applyBorder="1" applyAlignment="1" applyProtection="1">
      <alignment vertical="center"/>
    </xf>
    <xf numFmtId="0" fontId="0" fillId="7" borderId="7" xfId="0" applyFill="1" applyBorder="1"/>
    <xf numFmtId="165" fontId="14" fillId="5" borderId="5" xfId="1" applyNumberFormat="1" applyFont="1" applyFill="1" applyBorder="1"/>
    <xf numFmtId="165" fontId="12" fillId="5" borderId="5" xfId="1" applyNumberFormat="1" applyFont="1" applyFill="1" applyBorder="1" applyAlignment="1">
      <alignment horizontal="right" vertical="center"/>
    </xf>
    <xf numFmtId="165" fontId="12" fillId="5" borderId="5" xfId="1" applyNumberFormat="1" applyFont="1" applyFill="1" applyBorder="1" applyAlignment="1">
      <alignment horizontal="right"/>
    </xf>
    <xf numFmtId="165" fontId="0" fillId="5" borderId="5" xfId="0" applyNumberFormat="1" applyFill="1" applyBorder="1"/>
    <xf numFmtId="0" fontId="0" fillId="5" borderId="5" xfId="0" applyFill="1" applyBorder="1"/>
    <xf numFmtId="0" fontId="0" fillId="5" borderId="9" xfId="0" applyFill="1" applyBorder="1"/>
    <xf numFmtId="0" fontId="85" fillId="26" borderId="1" xfId="25" applyFont="1" applyFill="1" applyAlignment="1">
      <alignment horizontal="left" vertical="center" wrapText="1"/>
    </xf>
    <xf numFmtId="0" fontId="85" fillId="26" borderId="26" xfId="25" applyFont="1" applyFill="1" applyBorder="1" applyAlignment="1">
      <alignment horizontal="left" vertical="center" wrapText="1"/>
    </xf>
    <xf numFmtId="0" fontId="90" fillId="26" borderId="52" xfId="25" applyFont="1" applyFill="1" applyBorder="1" applyAlignment="1">
      <alignment horizontal="left" vertical="center" wrapText="1"/>
    </xf>
    <xf numFmtId="0" fontId="90" fillId="26" borderId="53" xfId="25" applyFont="1" applyFill="1" applyBorder="1" applyAlignment="1">
      <alignment horizontal="left" vertical="center" wrapText="1"/>
    </xf>
    <xf numFmtId="0" fontId="46" fillId="3" borderId="6" xfId="0" applyFont="1" applyFill="1" applyBorder="1" applyAlignment="1">
      <alignment horizontal="center" vertical="center" wrapText="1"/>
    </xf>
    <xf numFmtId="0" fontId="46" fillId="3" borderId="8" xfId="0" applyFont="1" applyFill="1" applyBorder="1" applyAlignment="1">
      <alignment horizontal="center" vertical="center"/>
    </xf>
    <xf numFmtId="0" fontId="46" fillId="3" borderId="7" xfId="0" applyFont="1" applyFill="1" applyBorder="1" applyAlignment="1">
      <alignment horizontal="center" vertical="center"/>
    </xf>
    <xf numFmtId="0" fontId="96" fillId="0" borderId="8" xfId="26" applyFont="1" applyBorder="1" applyAlignment="1">
      <alignment horizontal="center"/>
    </xf>
    <xf numFmtId="0" fontId="96" fillId="0" borderId="7" xfId="26" applyFont="1" applyBorder="1" applyAlignment="1">
      <alignment horizontal="center"/>
    </xf>
    <xf numFmtId="0" fontId="28" fillId="2" borderId="6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165" fontId="0" fillId="6" borderId="6" xfId="10" applyNumberFormat="1" applyFont="1" applyFill="1" applyBorder="1" applyAlignment="1">
      <alignment horizontal="center" vertical="center"/>
    </xf>
    <xf numFmtId="165" fontId="0" fillId="6" borderId="8" xfId="10" applyNumberFormat="1" applyFont="1" applyFill="1" applyBorder="1" applyAlignment="1">
      <alignment horizontal="center" vertical="center"/>
    </xf>
    <xf numFmtId="165" fontId="0" fillId="6" borderId="7" xfId="10" applyNumberFormat="1" applyFont="1" applyFill="1" applyBorder="1" applyAlignment="1">
      <alignment horizontal="center" vertical="center"/>
    </xf>
    <xf numFmtId="0" fontId="49" fillId="3" borderId="20" xfId="0" applyFont="1" applyFill="1" applyBorder="1" applyAlignment="1">
      <alignment horizontal="center"/>
    </xf>
    <xf numFmtId="0" fontId="49" fillId="3" borderId="21" xfId="0" applyFont="1" applyFill="1" applyBorder="1" applyAlignment="1">
      <alignment horizontal="center"/>
    </xf>
    <xf numFmtId="165" fontId="0" fillId="6" borderId="22" xfId="10" applyNumberFormat="1" applyFont="1" applyFill="1" applyBorder="1" applyAlignment="1">
      <alignment horizontal="center" vertical="center"/>
    </xf>
    <xf numFmtId="165" fontId="0" fillId="6" borderId="24" xfId="10" applyNumberFormat="1" applyFont="1" applyFill="1" applyBorder="1" applyAlignment="1">
      <alignment horizontal="center" vertical="center"/>
    </xf>
    <xf numFmtId="165" fontId="0" fillId="6" borderId="25" xfId="1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21" xfId="0" applyFont="1" applyFill="1" applyBorder="1" applyAlignment="1">
      <alignment horizontal="center" vertical="center" wrapText="1"/>
    </xf>
    <xf numFmtId="0" fontId="28" fillId="2" borderId="16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/>
    </xf>
    <xf numFmtId="0" fontId="34" fillId="3" borderId="21" xfId="0" applyFont="1" applyFill="1" applyBorder="1" applyAlignment="1">
      <alignment horizontal="center"/>
    </xf>
    <xf numFmtId="0" fontId="46" fillId="3" borderId="4" xfId="0" applyFont="1" applyFill="1" applyBorder="1" applyAlignment="1">
      <alignment horizontal="center"/>
    </xf>
    <xf numFmtId="0" fontId="46" fillId="3" borderId="1" xfId="0" applyFont="1" applyFill="1" applyBorder="1" applyAlignment="1">
      <alignment horizontal="center"/>
    </xf>
    <xf numFmtId="0" fontId="28" fillId="2" borderId="18" xfId="0" applyFont="1" applyFill="1" applyBorder="1" applyAlignment="1">
      <alignment horizontal="center" vertical="center" wrapText="1"/>
    </xf>
    <xf numFmtId="0" fontId="28" fillId="2" borderId="20" xfId="0" applyFont="1" applyFill="1" applyBorder="1" applyAlignment="1">
      <alignment horizontal="center" vertical="center" wrapText="1"/>
    </xf>
    <xf numFmtId="165" fontId="73" fillId="10" borderId="34" xfId="12" applyNumberFormat="1" applyFont="1" applyFill="1" applyBorder="1" applyAlignment="1">
      <alignment horizontal="center" vertical="center"/>
    </xf>
    <xf numFmtId="165" fontId="73" fillId="10" borderId="35" xfId="12" applyNumberFormat="1" applyFont="1" applyFill="1" applyBorder="1" applyAlignment="1">
      <alignment horizontal="center" vertical="center"/>
    </xf>
    <xf numFmtId="165" fontId="73" fillId="10" borderId="36" xfId="12" applyNumberFormat="1" applyFont="1" applyFill="1" applyBorder="1" applyAlignment="1">
      <alignment horizontal="center" vertical="center"/>
    </xf>
    <xf numFmtId="165" fontId="51" fillId="0" borderId="12" xfId="22" applyNumberFormat="1" applyFont="1" applyBorder="1" applyAlignment="1">
      <alignment horizontal="center" vertical="center"/>
    </xf>
    <xf numFmtId="165" fontId="51" fillId="0" borderId="13" xfId="22" applyNumberFormat="1" applyFont="1" applyBorder="1" applyAlignment="1">
      <alignment horizontal="center" vertical="center"/>
    </xf>
    <xf numFmtId="165" fontId="73" fillId="10" borderId="34" xfId="22" applyNumberFormat="1" applyFont="1" applyFill="1" applyBorder="1" applyAlignment="1">
      <alignment horizontal="center" vertical="center"/>
    </xf>
    <xf numFmtId="165" fontId="73" fillId="10" borderId="35" xfId="22" applyNumberFormat="1" applyFont="1" applyFill="1" applyBorder="1" applyAlignment="1">
      <alignment horizontal="center" vertical="center"/>
    </xf>
    <xf numFmtId="165" fontId="73" fillId="10" borderId="36" xfId="22" applyNumberFormat="1" applyFont="1" applyFill="1" applyBorder="1" applyAlignment="1">
      <alignment horizontal="center" vertical="center"/>
    </xf>
    <xf numFmtId="165" fontId="52" fillId="8" borderId="16" xfId="22" applyNumberFormat="1" applyFont="1" applyFill="1" applyBorder="1" applyAlignment="1">
      <alignment horizontal="center" vertical="center"/>
    </xf>
    <xf numFmtId="165" fontId="52" fillId="8" borderId="17" xfId="22" applyNumberFormat="1" applyFont="1" applyFill="1" applyBorder="1" applyAlignment="1">
      <alignment horizontal="center" vertical="center"/>
    </xf>
    <xf numFmtId="165" fontId="52" fillId="8" borderId="15" xfId="22" applyNumberFormat="1" applyFont="1" applyFill="1" applyBorder="1" applyAlignment="1">
      <alignment horizontal="center" vertical="center"/>
    </xf>
    <xf numFmtId="165" fontId="52" fillId="8" borderId="22" xfId="22" applyNumberFormat="1" applyFont="1" applyFill="1" applyBorder="1" applyAlignment="1">
      <alignment horizontal="center" vertical="center"/>
    </xf>
    <xf numFmtId="165" fontId="52" fillId="8" borderId="24" xfId="22" applyNumberFormat="1" applyFont="1" applyFill="1" applyBorder="1" applyAlignment="1">
      <alignment horizontal="center" vertical="center"/>
    </xf>
    <xf numFmtId="165" fontId="52" fillId="8" borderId="25" xfId="22" applyNumberFormat="1" applyFont="1" applyFill="1" applyBorder="1" applyAlignment="1">
      <alignment horizontal="center" vertical="center"/>
    </xf>
    <xf numFmtId="165" fontId="52" fillId="8" borderId="38" xfId="22" applyNumberFormat="1" applyFont="1" applyFill="1" applyBorder="1" applyAlignment="1">
      <alignment horizontal="center" vertical="center"/>
    </xf>
    <xf numFmtId="165" fontId="52" fillId="8" borderId="39" xfId="22" applyNumberFormat="1" applyFont="1" applyFill="1" applyBorder="1" applyAlignment="1">
      <alignment horizontal="center" vertical="center"/>
    </xf>
    <xf numFmtId="165" fontId="52" fillId="8" borderId="40" xfId="22" applyNumberFormat="1" applyFont="1" applyFill="1" applyBorder="1" applyAlignment="1">
      <alignment horizontal="center" vertical="center"/>
    </xf>
    <xf numFmtId="165" fontId="52" fillId="9" borderId="38" xfId="22" applyNumberFormat="1" applyFont="1" applyFill="1" applyBorder="1" applyAlignment="1">
      <alignment horizontal="center" vertical="center"/>
    </xf>
    <xf numFmtId="165" fontId="52" fillId="9" borderId="39" xfId="22" applyNumberFormat="1" applyFont="1" applyFill="1" applyBorder="1" applyAlignment="1">
      <alignment horizontal="center" vertical="center"/>
    </xf>
    <xf numFmtId="165" fontId="52" fillId="9" borderId="40" xfId="22" applyNumberFormat="1" applyFont="1" applyFill="1" applyBorder="1" applyAlignment="1">
      <alignment horizontal="center" vertical="center"/>
    </xf>
  </cellXfs>
  <cellStyles count="29">
    <cellStyle name="Comma" xfId="1" builtinId="3"/>
    <cellStyle name="Comma 12" xfId="21" xr:uid="{00000000-0005-0000-0000-000001000000}"/>
    <cellStyle name="Comma 2" xfId="3" xr:uid="{00000000-0005-0000-0000-000002000000}"/>
    <cellStyle name="Comma 2 2" xfId="10" xr:uid="{00000000-0005-0000-0000-000003000000}"/>
    <cellStyle name="Comma 2 3" xfId="18" xr:uid="{00000000-0005-0000-0000-000004000000}"/>
    <cellStyle name="Comma 2 3 2" xfId="20" xr:uid="{00000000-0005-0000-0000-000005000000}"/>
    <cellStyle name="Comma 3" xfId="8" xr:uid="{00000000-0005-0000-0000-000006000000}"/>
    <cellStyle name="Comma 4" xfId="9" xr:uid="{00000000-0005-0000-0000-000007000000}"/>
    <cellStyle name="Comma 5" xfId="12" xr:uid="{00000000-0005-0000-0000-000008000000}"/>
    <cellStyle name="Comma 6" xfId="15" xr:uid="{00000000-0005-0000-0000-000009000000}"/>
    <cellStyle name="Comma 7" xfId="22" xr:uid="{00000000-0005-0000-0000-00000A000000}"/>
    <cellStyle name="Comma 8" xfId="24" xr:uid="{00000000-0005-0000-0000-00000B000000}"/>
    <cellStyle name="Comma 9" xfId="27" xr:uid="{00000000-0005-0000-0000-00000C000000}"/>
    <cellStyle name="Currency 2" xfId="13" xr:uid="{00000000-0005-0000-0000-00000D000000}"/>
    <cellStyle name="Currency 3" xfId="23" xr:uid="{00000000-0005-0000-0000-00000E000000}"/>
    <cellStyle name="Hyperlink" xfId="16" builtinId="8"/>
    <cellStyle name="Normal" xfId="0" builtinId="0"/>
    <cellStyle name="Normal 2" xfId="6" xr:uid="{00000000-0005-0000-0000-000011000000}"/>
    <cellStyle name="Normal 3" xfId="14" xr:uid="{00000000-0005-0000-0000-000012000000}"/>
    <cellStyle name="Normal 3 2 3" xfId="5" xr:uid="{00000000-0005-0000-0000-000013000000}"/>
    <cellStyle name="Normal 4" xfId="25" xr:uid="{00000000-0005-0000-0000-000014000000}"/>
    <cellStyle name="Normal 5" xfId="26" xr:uid="{00000000-0005-0000-0000-000015000000}"/>
    <cellStyle name="Normal 7 2" xfId="4" xr:uid="{00000000-0005-0000-0000-000016000000}"/>
    <cellStyle name="Normal 8" xfId="19" xr:uid="{00000000-0005-0000-0000-000017000000}"/>
    <cellStyle name="Percent" xfId="2" builtinId="5"/>
    <cellStyle name="Percent 2" xfId="7" xr:uid="{00000000-0005-0000-0000-000019000000}"/>
    <cellStyle name="Percent 3" xfId="11" xr:uid="{00000000-0005-0000-0000-00001A000000}"/>
    <cellStyle name="Percent 4" xfId="17" xr:uid="{00000000-0005-0000-0000-00001B000000}"/>
    <cellStyle name="Percent 5" xfId="28" xr:uid="{00000000-0005-0000-0000-00001C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123825</xdr:rowOff>
    </xdr:to>
    <xdr:sp macro="" textlink="">
      <xdr:nvSpPr>
        <xdr:cNvPr id="2" name="AutoShape 2" descr="Image result for Delhi Farms gurgaon sector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333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123825</xdr:rowOff>
    </xdr:to>
    <xdr:sp macro="" textlink="">
      <xdr:nvSpPr>
        <xdr:cNvPr id="3" name="AutoShape 3" descr="Image result for Delhi Farms gurgaon sector 5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333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123825</xdr:rowOff>
    </xdr:to>
    <xdr:sp macro="" textlink="">
      <xdr:nvSpPr>
        <xdr:cNvPr id="4" name="AutoShape 4" descr="Image result for Delhi Farms gurgaon sector 5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333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123825</xdr:rowOff>
    </xdr:to>
    <xdr:sp macro="" textlink="">
      <xdr:nvSpPr>
        <xdr:cNvPr id="5" name="AutoShape 5" descr="Image result for Delhi Farms gurgaon sector 5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C29:I46" totalsRowShown="0" headerRowDxfId="8" dataDxfId="7" headerRowCellStyle="Comma" dataCellStyle="Comma">
  <autoFilter ref="C29:I46" xr:uid="{00000000-0009-0000-0100-000001000000}"/>
  <tableColumns count="7">
    <tableColumn id="1" xr3:uid="{00000000-0010-0000-0000-000001000000}" name="PARTICULARS" dataDxfId="6" dataCellStyle="Comma 4"/>
    <tableColumn id="2" xr3:uid="{00000000-0010-0000-0000-000002000000}" name=" GF CAKE  (VANILLA / CHOCOLATE)  " dataDxfId="5" dataCellStyle="Comma"/>
    <tableColumn id="3" xr3:uid="{00000000-0010-0000-0000-000003000000}" name=" GF CAKE (VANILLA / CHOCOLATE) NAS " dataDxfId="4" dataCellStyle="Comma"/>
    <tableColumn id="4" xr3:uid="{00000000-0010-0000-0000-000004000000}" name=" GF COOKIE (VANILLA / CHOCOLATE) " dataDxfId="3" dataCellStyle="Comma"/>
    <tableColumn id="5" xr3:uid="{00000000-0010-0000-0000-000005000000}" name=" GF COOKIE  (VANILLA / CHOCOLATE) NAS " dataDxfId="2" dataCellStyle="Comma"/>
    <tableColumn id="6" xr3:uid="{00000000-0010-0000-0000-000006000000}" name="MULTIGRAIN COOKIE" dataDxfId="1" dataCellStyle="Comma"/>
    <tableColumn id="7" xr3:uid="{00000000-0010-0000-0000-000007000000}" name="MULTIGRAIN JAGGERY COOKIE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rontanalytics.com/fe-en/INE239A01016/Nestle-India-Ltd-/beta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infrontanalytics.com/fe-en/INE216A01030/Britannia-Industries-Ltd/beta" TargetMode="External"/><Relationship Id="rId1" Type="http://schemas.openxmlformats.org/officeDocument/2006/relationships/hyperlink" Target="http://psc.ky.gov/pscecf/2012-00221/rateintervention@ag.ky.gov/10252012d/Ibbotsoin_2011_Risk_Premia_Over_Time_Report_(20110207135556).pdf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ountryeconomy.com/bonds/india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T24"/>
  <sheetViews>
    <sheetView showGridLines="0" zoomScale="90" zoomScaleNormal="90" workbookViewId="0"/>
  </sheetViews>
  <sheetFormatPr defaultColWidth="8.85546875" defaultRowHeight="14.25" x14ac:dyDescent="0.25"/>
  <cols>
    <col min="1" max="1" width="27" style="488" bestFit="1" customWidth="1"/>
    <col min="2" max="2" width="8.85546875" style="488"/>
    <col min="3" max="14" width="8.85546875" style="489"/>
    <col min="15" max="15" width="11.5703125" style="489" customWidth="1"/>
    <col min="16" max="20" width="8.85546875" style="489"/>
    <col min="21" max="16384" width="8.85546875" style="488"/>
  </cols>
  <sheetData>
    <row r="1" spans="1:20" s="490" customFormat="1" x14ac:dyDescent="0.25">
      <c r="A1" s="541" t="s">
        <v>701</v>
      </c>
      <c r="B1" s="515"/>
      <c r="C1" s="515"/>
      <c r="D1" s="515"/>
      <c r="E1" s="515"/>
      <c r="F1" s="515"/>
      <c r="G1" s="515"/>
      <c r="H1" s="515"/>
      <c r="I1" s="515"/>
      <c r="J1" s="515"/>
      <c r="K1" s="516"/>
    </row>
    <row r="2" spans="1:20" s="489" customFormat="1" x14ac:dyDescent="0.25">
      <c r="A2" s="517" t="s">
        <v>437</v>
      </c>
      <c r="B2" s="507"/>
      <c r="C2" s="507"/>
      <c r="D2" s="507"/>
      <c r="E2" s="507"/>
      <c r="F2" s="507"/>
      <c r="G2" s="507"/>
      <c r="H2" s="507"/>
      <c r="I2" s="507"/>
      <c r="J2" s="507"/>
      <c r="K2" s="518"/>
    </row>
    <row r="3" spans="1:20" x14ac:dyDescent="0.25">
      <c r="A3" s="519"/>
      <c r="B3" s="508"/>
      <c r="C3" s="509"/>
      <c r="D3" s="509"/>
      <c r="E3" s="509"/>
      <c r="F3" s="509"/>
      <c r="G3" s="509"/>
      <c r="H3" s="509"/>
      <c r="I3" s="509"/>
      <c r="J3" s="509"/>
      <c r="K3" s="520"/>
    </row>
    <row r="4" spans="1:20" ht="66.75" customHeight="1" x14ac:dyDescent="0.25">
      <c r="A4" s="539" t="s">
        <v>438</v>
      </c>
      <c r="B4" s="510"/>
      <c r="C4" s="623" t="s">
        <v>627</v>
      </c>
      <c r="D4" s="623"/>
      <c r="E4" s="623"/>
      <c r="F4" s="623"/>
      <c r="G4" s="623"/>
      <c r="H4" s="623"/>
      <c r="I4" s="623"/>
      <c r="J4" s="623"/>
      <c r="K4" s="624"/>
      <c r="L4" s="506"/>
      <c r="M4" s="506"/>
      <c r="N4" s="506"/>
      <c r="O4" s="506"/>
      <c r="P4" s="506"/>
      <c r="Q4" s="506"/>
      <c r="R4" s="506"/>
      <c r="S4" s="506"/>
      <c r="T4" s="506"/>
    </row>
    <row r="5" spans="1:20" ht="12" customHeight="1" x14ac:dyDescent="0.25">
      <c r="A5" s="521"/>
      <c r="B5" s="510"/>
      <c r="C5" s="511"/>
      <c r="D5" s="512"/>
      <c r="E5" s="512"/>
      <c r="F5" s="512"/>
      <c r="G5" s="512"/>
      <c r="H5" s="512"/>
      <c r="I5" s="513"/>
      <c r="J5" s="513"/>
      <c r="K5" s="522"/>
    </row>
    <row r="6" spans="1:20" x14ac:dyDescent="0.25">
      <c r="A6" s="539" t="s">
        <v>439</v>
      </c>
      <c r="B6" s="510"/>
      <c r="C6" s="623">
        <v>2016</v>
      </c>
      <c r="D6" s="623"/>
      <c r="E6" s="623"/>
      <c r="F6" s="623"/>
      <c r="G6" s="623"/>
      <c r="H6" s="623"/>
      <c r="I6" s="623"/>
      <c r="J6" s="623"/>
      <c r="K6" s="624"/>
    </row>
    <row r="7" spans="1:20" x14ac:dyDescent="0.25">
      <c r="A7" s="521"/>
      <c r="B7" s="510"/>
      <c r="C7" s="514"/>
      <c r="D7" s="512"/>
      <c r="E7" s="512"/>
      <c r="F7" s="512"/>
      <c r="G7" s="512"/>
      <c r="H7" s="512"/>
      <c r="I7" s="513"/>
      <c r="J7" s="513"/>
      <c r="K7" s="522"/>
    </row>
    <row r="8" spans="1:20" x14ac:dyDescent="0.25">
      <c r="A8" s="539" t="s">
        <v>440</v>
      </c>
      <c r="B8" s="510"/>
      <c r="C8" s="623" t="s">
        <v>702</v>
      </c>
      <c r="D8" s="623"/>
      <c r="E8" s="623"/>
      <c r="F8" s="623"/>
      <c r="G8" s="623"/>
      <c r="H8" s="623"/>
      <c r="I8" s="623"/>
      <c r="J8" s="623"/>
      <c r="K8" s="624"/>
    </row>
    <row r="9" spans="1:20" x14ac:dyDescent="0.25">
      <c r="A9" s="523"/>
      <c r="B9" s="510"/>
      <c r="C9" s="511"/>
      <c r="D9" s="512"/>
      <c r="E9" s="512"/>
      <c r="F9" s="512"/>
      <c r="G9" s="512"/>
      <c r="H9" s="512"/>
      <c r="I9" s="513"/>
      <c r="J9" s="513"/>
      <c r="K9" s="522"/>
    </row>
    <row r="10" spans="1:20" x14ac:dyDescent="0.25">
      <c r="A10" s="539" t="s">
        <v>441</v>
      </c>
      <c r="B10" s="510"/>
      <c r="C10" s="623" t="s">
        <v>549</v>
      </c>
      <c r="D10" s="623"/>
      <c r="E10" s="623"/>
      <c r="F10" s="623"/>
      <c r="G10" s="623"/>
      <c r="H10" s="623"/>
      <c r="I10" s="623"/>
      <c r="J10" s="623"/>
      <c r="K10" s="624"/>
    </row>
    <row r="11" spans="1:20" x14ac:dyDescent="0.25">
      <c r="A11" s="523"/>
      <c r="B11" s="510"/>
      <c r="C11" s="511"/>
      <c r="D11" s="511"/>
      <c r="E11" s="512"/>
      <c r="F11" s="512"/>
      <c r="G11" s="512"/>
      <c r="H11" s="512"/>
      <c r="I11" s="513"/>
      <c r="J11" s="513"/>
      <c r="K11" s="522"/>
    </row>
    <row r="12" spans="1:20" x14ac:dyDescent="0.25">
      <c r="A12" s="539" t="s">
        <v>442</v>
      </c>
      <c r="B12" s="510"/>
      <c r="C12" s="623" t="s">
        <v>461</v>
      </c>
      <c r="D12" s="623"/>
      <c r="E12" s="623"/>
      <c r="F12" s="623"/>
      <c r="G12" s="623"/>
      <c r="H12" s="623"/>
      <c r="I12" s="623"/>
      <c r="J12" s="623"/>
      <c r="K12" s="624"/>
    </row>
    <row r="13" spans="1:20" x14ac:dyDescent="0.25">
      <c r="A13" s="523"/>
      <c r="B13" s="510"/>
      <c r="C13" s="511"/>
      <c r="D13" s="512"/>
      <c r="E13" s="512"/>
      <c r="F13" s="512"/>
      <c r="G13" s="512"/>
      <c r="H13" s="512"/>
      <c r="I13" s="513"/>
      <c r="J13" s="513"/>
      <c r="K13" s="522"/>
    </row>
    <row r="14" spans="1:20" ht="29.25" customHeight="1" x14ac:dyDescent="0.25">
      <c r="A14" s="539" t="s">
        <v>443</v>
      </c>
      <c r="B14" s="510"/>
      <c r="C14" s="623" t="s">
        <v>626</v>
      </c>
      <c r="D14" s="623"/>
      <c r="E14" s="623"/>
      <c r="F14" s="623"/>
      <c r="G14" s="623"/>
      <c r="H14" s="623"/>
      <c r="I14" s="623"/>
      <c r="J14" s="623"/>
      <c r="K14" s="624"/>
    </row>
    <row r="15" spans="1:20" x14ac:dyDescent="0.25">
      <c r="A15" s="523"/>
      <c r="B15" s="510"/>
      <c r="C15" s="511"/>
      <c r="D15" s="512"/>
      <c r="E15" s="512"/>
      <c r="F15" s="512"/>
      <c r="G15" s="512"/>
      <c r="H15" s="512"/>
      <c r="I15" s="513"/>
      <c r="J15" s="513"/>
      <c r="K15" s="522"/>
    </row>
    <row r="16" spans="1:20" ht="31.5" customHeight="1" x14ac:dyDescent="0.25">
      <c r="A16" s="539" t="s">
        <v>444</v>
      </c>
      <c r="B16" s="510"/>
      <c r="C16" s="623" t="s">
        <v>467</v>
      </c>
      <c r="D16" s="623"/>
      <c r="E16" s="623"/>
      <c r="F16" s="623"/>
      <c r="G16" s="623"/>
      <c r="H16" s="623"/>
      <c r="I16" s="623"/>
      <c r="J16" s="623"/>
      <c r="K16" s="624"/>
    </row>
    <row r="17" spans="1:11" x14ac:dyDescent="0.25">
      <c r="A17" s="523"/>
      <c r="B17" s="510"/>
      <c r="C17" s="511"/>
      <c r="D17" s="512"/>
      <c r="E17" s="512"/>
      <c r="F17" s="512"/>
      <c r="G17" s="512"/>
      <c r="H17" s="512"/>
      <c r="I17" s="513"/>
      <c r="J17" s="513"/>
      <c r="K17" s="522"/>
    </row>
    <row r="18" spans="1:11" x14ac:dyDescent="0.25">
      <c r="A18" s="539" t="s">
        <v>445</v>
      </c>
      <c r="B18" s="510"/>
      <c r="C18" s="623" t="s">
        <v>594</v>
      </c>
      <c r="D18" s="623"/>
      <c r="E18" s="623"/>
      <c r="F18" s="623"/>
      <c r="G18" s="623"/>
      <c r="H18" s="623"/>
      <c r="I18" s="623"/>
      <c r="J18" s="623"/>
      <c r="K18" s="624"/>
    </row>
    <row r="19" spans="1:11" x14ac:dyDescent="0.25">
      <c r="A19" s="523"/>
      <c r="B19" s="510"/>
      <c r="C19" s="511"/>
      <c r="D19" s="512"/>
      <c r="E19" s="512"/>
      <c r="F19" s="512"/>
      <c r="G19" s="512"/>
      <c r="H19" s="512"/>
      <c r="I19" s="513"/>
      <c r="J19" s="513"/>
      <c r="K19" s="522"/>
    </row>
    <row r="20" spans="1:11" ht="41.25" customHeight="1" x14ac:dyDescent="0.25">
      <c r="A20" s="539" t="s">
        <v>446</v>
      </c>
      <c r="B20" s="510"/>
      <c r="C20" s="623" t="s">
        <v>468</v>
      </c>
      <c r="D20" s="623"/>
      <c r="E20" s="623"/>
      <c r="F20" s="623"/>
      <c r="G20" s="623"/>
      <c r="H20" s="623"/>
      <c r="I20" s="623"/>
      <c r="J20" s="623"/>
      <c r="K20" s="624"/>
    </row>
    <row r="21" spans="1:11" x14ac:dyDescent="0.25">
      <c r="A21" s="523"/>
      <c r="B21" s="510"/>
      <c r="C21" s="511"/>
      <c r="D21" s="512"/>
      <c r="E21" s="512"/>
      <c r="F21" s="512"/>
      <c r="G21" s="512"/>
      <c r="H21" s="512"/>
      <c r="I21" s="513"/>
      <c r="J21" s="513"/>
      <c r="K21" s="522"/>
    </row>
    <row r="22" spans="1:11" ht="45" customHeight="1" x14ac:dyDescent="0.25">
      <c r="A22" s="539" t="s">
        <v>447</v>
      </c>
      <c r="B22" s="510"/>
      <c r="C22" s="623" t="s">
        <v>700</v>
      </c>
      <c r="D22" s="623"/>
      <c r="E22" s="623"/>
      <c r="F22" s="623"/>
      <c r="G22" s="623"/>
      <c r="H22" s="623"/>
      <c r="I22" s="623"/>
      <c r="J22" s="623"/>
      <c r="K22" s="624"/>
    </row>
    <row r="23" spans="1:11" x14ac:dyDescent="0.25">
      <c r="A23" s="519"/>
      <c r="B23" s="508"/>
      <c r="C23" s="513"/>
      <c r="D23" s="513"/>
      <c r="E23" s="513"/>
      <c r="F23" s="513"/>
      <c r="G23" s="513"/>
      <c r="H23" s="513"/>
      <c r="I23" s="513"/>
      <c r="J23" s="513"/>
      <c r="K23" s="522"/>
    </row>
    <row r="24" spans="1:11" ht="33.75" customHeight="1" thickBot="1" x14ac:dyDescent="0.3">
      <c r="A24" s="540" t="s">
        <v>630</v>
      </c>
      <c r="B24" s="524"/>
      <c r="C24" s="625" t="s">
        <v>631</v>
      </c>
      <c r="D24" s="625"/>
      <c r="E24" s="625"/>
      <c r="F24" s="625"/>
      <c r="G24" s="625"/>
      <c r="H24" s="625"/>
      <c r="I24" s="625"/>
      <c r="J24" s="625"/>
      <c r="K24" s="626"/>
    </row>
  </sheetData>
  <mergeCells count="11">
    <mergeCell ref="C20:K20"/>
    <mergeCell ref="C22:K22"/>
    <mergeCell ref="C24:K24"/>
    <mergeCell ref="C4:K4"/>
    <mergeCell ref="C10:K10"/>
    <mergeCell ref="C12:K12"/>
    <mergeCell ref="C14:K14"/>
    <mergeCell ref="C16:K16"/>
    <mergeCell ref="C18:K18"/>
    <mergeCell ref="C6:K6"/>
    <mergeCell ref="C8:K8"/>
  </mergeCells>
  <dataValidations disablePrompts="1" count="1">
    <dataValidation type="list" allowBlank="1" showInputMessage="1" showErrorMessage="1" sqref="B3" xr:uid="{00000000-0002-0000-0000-000000000000}">
      <formula1>"Conservative,Fair,Growth"</formula1>
    </dataValidation>
  </dataValidations>
  <pageMargins left="0.7" right="0.7" top="0.75" bottom="0.75" header="0.3" footer="0.3"/>
  <pageSetup scale="7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4"/>
  <sheetViews>
    <sheetView zoomScaleNormal="100" workbookViewId="0">
      <selection activeCell="G6" sqref="G6"/>
    </sheetView>
  </sheetViews>
  <sheetFormatPr defaultColWidth="5" defaultRowHeight="16.5" customHeight="1" x14ac:dyDescent="0.2"/>
  <cols>
    <col min="1" max="2" width="5" style="546" customWidth="1"/>
    <col min="3" max="3" width="10.7109375" style="546" customWidth="1"/>
    <col min="4" max="4" width="3.28515625" style="546" customWidth="1"/>
    <col min="5" max="5" width="6.5703125" style="546" customWidth="1"/>
    <col min="6" max="6" width="2.28515625" style="546" customWidth="1"/>
    <col min="7" max="7" width="8.28515625" style="546" bestFit="1" customWidth="1"/>
    <col min="8" max="8" width="3.5703125" style="546" customWidth="1"/>
    <col min="9" max="9" width="7.7109375" style="546" customWidth="1"/>
    <col min="10" max="10" width="7" style="546" customWidth="1"/>
    <col min="11" max="11" width="2" style="546" customWidth="1"/>
    <col min="12" max="12" width="9.42578125" style="546" customWidth="1"/>
    <col min="13" max="16" width="5.7109375" style="546" customWidth="1"/>
    <col min="17" max="256" width="5" style="546"/>
    <col min="257" max="258" width="5" style="546" customWidth="1"/>
    <col min="259" max="259" width="10.7109375" style="546" customWidth="1"/>
    <col min="260" max="260" width="3.28515625" style="546" customWidth="1"/>
    <col min="261" max="261" width="6.5703125" style="546" customWidth="1"/>
    <col min="262" max="262" width="2.28515625" style="546" customWidth="1"/>
    <col min="263" max="263" width="7.42578125" style="546" customWidth="1"/>
    <col min="264" max="264" width="3.5703125" style="546" customWidth="1"/>
    <col min="265" max="265" width="7.7109375" style="546" customWidth="1"/>
    <col min="266" max="266" width="7" style="546" customWidth="1"/>
    <col min="267" max="267" width="2" style="546" customWidth="1"/>
    <col min="268" max="268" width="9.42578125" style="546" customWidth="1"/>
    <col min="269" max="272" width="5.7109375" style="546" customWidth="1"/>
    <col min="273" max="512" width="5" style="546"/>
    <col min="513" max="514" width="5" style="546" customWidth="1"/>
    <col min="515" max="515" width="10.7109375" style="546" customWidth="1"/>
    <col min="516" max="516" width="3.28515625" style="546" customWidth="1"/>
    <col min="517" max="517" width="6.5703125" style="546" customWidth="1"/>
    <col min="518" max="518" width="2.28515625" style="546" customWidth="1"/>
    <col min="519" max="519" width="7.42578125" style="546" customWidth="1"/>
    <col min="520" max="520" width="3.5703125" style="546" customWidth="1"/>
    <col min="521" max="521" width="7.7109375" style="546" customWidth="1"/>
    <col min="522" max="522" width="7" style="546" customWidth="1"/>
    <col min="523" max="523" width="2" style="546" customWidth="1"/>
    <col min="524" max="524" width="9.42578125" style="546" customWidth="1"/>
    <col min="525" max="528" width="5.7109375" style="546" customWidth="1"/>
    <col min="529" max="768" width="5" style="546"/>
    <col min="769" max="770" width="5" style="546" customWidth="1"/>
    <col min="771" max="771" width="10.7109375" style="546" customWidth="1"/>
    <col min="772" max="772" width="3.28515625" style="546" customWidth="1"/>
    <col min="773" max="773" width="6.5703125" style="546" customWidth="1"/>
    <col min="774" max="774" width="2.28515625" style="546" customWidth="1"/>
    <col min="775" max="775" width="7.42578125" style="546" customWidth="1"/>
    <col min="776" max="776" width="3.5703125" style="546" customWidth="1"/>
    <col min="777" max="777" width="7.7109375" style="546" customWidth="1"/>
    <col min="778" max="778" width="7" style="546" customWidth="1"/>
    <col min="779" max="779" width="2" style="546" customWidth="1"/>
    <col min="780" max="780" width="9.42578125" style="546" customWidth="1"/>
    <col min="781" max="784" width="5.7109375" style="546" customWidth="1"/>
    <col min="785" max="1024" width="5" style="546"/>
    <col min="1025" max="1026" width="5" style="546" customWidth="1"/>
    <col min="1027" max="1027" width="10.7109375" style="546" customWidth="1"/>
    <col min="1028" max="1028" width="3.28515625" style="546" customWidth="1"/>
    <col min="1029" max="1029" width="6.5703125" style="546" customWidth="1"/>
    <col min="1030" max="1030" width="2.28515625" style="546" customWidth="1"/>
    <col min="1031" max="1031" width="7.42578125" style="546" customWidth="1"/>
    <col min="1032" max="1032" width="3.5703125" style="546" customWidth="1"/>
    <col min="1033" max="1033" width="7.7109375" style="546" customWidth="1"/>
    <col min="1034" max="1034" width="7" style="546" customWidth="1"/>
    <col min="1035" max="1035" width="2" style="546" customWidth="1"/>
    <col min="1036" max="1036" width="9.42578125" style="546" customWidth="1"/>
    <col min="1037" max="1040" width="5.7109375" style="546" customWidth="1"/>
    <col min="1041" max="1280" width="5" style="546"/>
    <col min="1281" max="1282" width="5" style="546" customWidth="1"/>
    <col min="1283" max="1283" width="10.7109375" style="546" customWidth="1"/>
    <col min="1284" max="1284" width="3.28515625" style="546" customWidth="1"/>
    <col min="1285" max="1285" width="6.5703125" style="546" customWidth="1"/>
    <col min="1286" max="1286" width="2.28515625" style="546" customWidth="1"/>
    <col min="1287" max="1287" width="7.42578125" style="546" customWidth="1"/>
    <col min="1288" max="1288" width="3.5703125" style="546" customWidth="1"/>
    <col min="1289" max="1289" width="7.7109375" style="546" customWidth="1"/>
    <col min="1290" max="1290" width="7" style="546" customWidth="1"/>
    <col min="1291" max="1291" width="2" style="546" customWidth="1"/>
    <col min="1292" max="1292" width="9.42578125" style="546" customWidth="1"/>
    <col min="1293" max="1296" width="5.7109375" style="546" customWidth="1"/>
    <col min="1297" max="1536" width="5" style="546"/>
    <col min="1537" max="1538" width="5" style="546" customWidth="1"/>
    <col min="1539" max="1539" width="10.7109375" style="546" customWidth="1"/>
    <col min="1540" max="1540" width="3.28515625" style="546" customWidth="1"/>
    <col min="1541" max="1541" width="6.5703125" style="546" customWidth="1"/>
    <col min="1542" max="1542" width="2.28515625" style="546" customWidth="1"/>
    <col min="1543" max="1543" width="7.42578125" style="546" customWidth="1"/>
    <col min="1544" max="1544" width="3.5703125" style="546" customWidth="1"/>
    <col min="1545" max="1545" width="7.7109375" style="546" customWidth="1"/>
    <col min="1546" max="1546" width="7" style="546" customWidth="1"/>
    <col min="1547" max="1547" width="2" style="546" customWidth="1"/>
    <col min="1548" max="1548" width="9.42578125" style="546" customWidth="1"/>
    <col min="1549" max="1552" width="5.7109375" style="546" customWidth="1"/>
    <col min="1553" max="1792" width="5" style="546"/>
    <col min="1793" max="1794" width="5" style="546" customWidth="1"/>
    <col min="1795" max="1795" width="10.7109375" style="546" customWidth="1"/>
    <col min="1796" max="1796" width="3.28515625" style="546" customWidth="1"/>
    <col min="1797" max="1797" width="6.5703125" style="546" customWidth="1"/>
    <col min="1798" max="1798" width="2.28515625" style="546" customWidth="1"/>
    <col min="1799" max="1799" width="7.42578125" style="546" customWidth="1"/>
    <col min="1800" max="1800" width="3.5703125" style="546" customWidth="1"/>
    <col min="1801" max="1801" width="7.7109375" style="546" customWidth="1"/>
    <col min="1802" max="1802" width="7" style="546" customWidth="1"/>
    <col min="1803" max="1803" width="2" style="546" customWidth="1"/>
    <col min="1804" max="1804" width="9.42578125" style="546" customWidth="1"/>
    <col min="1805" max="1808" width="5.7109375" style="546" customWidth="1"/>
    <col min="1809" max="2048" width="5" style="546"/>
    <col min="2049" max="2050" width="5" style="546" customWidth="1"/>
    <col min="2051" max="2051" width="10.7109375" style="546" customWidth="1"/>
    <col min="2052" max="2052" width="3.28515625" style="546" customWidth="1"/>
    <col min="2053" max="2053" width="6.5703125" style="546" customWidth="1"/>
    <col min="2054" max="2054" width="2.28515625" style="546" customWidth="1"/>
    <col min="2055" max="2055" width="7.42578125" style="546" customWidth="1"/>
    <col min="2056" max="2056" width="3.5703125" style="546" customWidth="1"/>
    <col min="2057" max="2057" width="7.7109375" style="546" customWidth="1"/>
    <col min="2058" max="2058" width="7" style="546" customWidth="1"/>
    <col min="2059" max="2059" width="2" style="546" customWidth="1"/>
    <col min="2060" max="2060" width="9.42578125" style="546" customWidth="1"/>
    <col min="2061" max="2064" width="5.7109375" style="546" customWidth="1"/>
    <col min="2065" max="2304" width="5" style="546"/>
    <col min="2305" max="2306" width="5" style="546" customWidth="1"/>
    <col min="2307" max="2307" width="10.7109375" style="546" customWidth="1"/>
    <col min="2308" max="2308" width="3.28515625" style="546" customWidth="1"/>
    <col min="2309" max="2309" width="6.5703125" style="546" customWidth="1"/>
    <col min="2310" max="2310" width="2.28515625" style="546" customWidth="1"/>
    <col min="2311" max="2311" width="7.42578125" style="546" customWidth="1"/>
    <col min="2312" max="2312" width="3.5703125" style="546" customWidth="1"/>
    <col min="2313" max="2313" width="7.7109375" style="546" customWidth="1"/>
    <col min="2314" max="2314" width="7" style="546" customWidth="1"/>
    <col min="2315" max="2315" width="2" style="546" customWidth="1"/>
    <col min="2316" max="2316" width="9.42578125" style="546" customWidth="1"/>
    <col min="2317" max="2320" width="5.7109375" style="546" customWidth="1"/>
    <col min="2321" max="2560" width="5" style="546"/>
    <col min="2561" max="2562" width="5" style="546" customWidth="1"/>
    <col min="2563" max="2563" width="10.7109375" style="546" customWidth="1"/>
    <col min="2564" max="2564" width="3.28515625" style="546" customWidth="1"/>
    <col min="2565" max="2565" width="6.5703125" style="546" customWidth="1"/>
    <col min="2566" max="2566" width="2.28515625" style="546" customWidth="1"/>
    <col min="2567" max="2567" width="7.42578125" style="546" customWidth="1"/>
    <col min="2568" max="2568" width="3.5703125" style="546" customWidth="1"/>
    <col min="2569" max="2569" width="7.7109375" style="546" customWidth="1"/>
    <col min="2570" max="2570" width="7" style="546" customWidth="1"/>
    <col min="2571" max="2571" width="2" style="546" customWidth="1"/>
    <col min="2572" max="2572" width="9.42578125" style="546" customWidth="1"/>
    <col min="2573" max="2576" width="5.7109375" style="546" customWidth="1"/>
    <col min="2577" max="2816" width="5" style="546"/>
    <col min="2817" max="2818" width="5" style="546" customWidth="1"/>
    <col min="2819" max="2819" width="10.7109375" style="546" customWidth="1"/>
    <col min="2820" max="2820" width="3.28515625" style="546" customWidth="1"/>
    <col min="2821" max="2821" width="6.5703125" style="546" customWidth="1"/>
    <col min="2822" max="2822" width="2.28515625" style="546" customWidth="1"/>
    <col min="2823" max="2823" width="7.42578125" style="546" customWidth="1"/>
    <col min="2824" max="2824" width="3.5703125" style="546" customWidth="1"/>
    <col min="2825" max="2825" width="7.7109375" style="546" customWidth="1"/>
    <col min="2826" max="2826" width="7" style="546" customWidth="1"/>
    <col min="2827" max="2827" width="2" style="546" customWidth="1"/>
    <col min="2828" max="2828" width="9.42578125" style="546" customWidth="1"/>
    <col min="2829" max="2832" width="5.7109375" style="546" customWidth="1"/>
    <col min="2833" max="3072" width="5" style="546"/>
    <col min="3073" max="3074" width="5" style="546" customWidth="1"/>
    <col min="3075" max="3075" width="10.7109375" style="546" customWidth="1"/>
    <col min="3076" max="3076" width="3.28515625" style="546" customWidth="1"/>
    <col min="3077" max="3077" width="6.5703125" style="546" customWidth="1"/>
    <col min="3078" max="3078" width="2.28515625" style="546" customWidth="1"/>
    <col min="3079" max="3079" width="7.42578125" style="546" customWidth="1"/>
    <col min="3080" max="3080" width="3.5703125" style="546" customWidth="1"/>
    <col min="3081" max="3081" width="7.7109375" style="546" customWidth="1"/>
    <col min="3082" max="3082" width="7" style="546" customWidth="1"/>
    <col min="3083" max="3083" width="2" style="546" customWidth="1"/>
    <col min="3084" max="3084" width="9.42578125" style="546" customWidth="1"/>
    <col min="3085" max="3088" width="5.7109375" style="546" customWidth="1"/>
    <col min="3089" max="3328" width="5" style="546"/>
    <col min="3329" max="3330" width="5" style="546" customWidth="1"/>
    <col min="3331" max="3331" width="10.7109375" style="546" customWidth="1"/>
    <col min="3332" max="3332" width="3.28515625" style="546" customWidth="1"/>
    <col min="3333" max="3333" width="6.5703125" style="546" customWidth="1"/>
    <col min="3334" max="3334" width="2.28515625" style="546" customWidth="1"/>
    <col min="3335" max="3335" width="7.42578125" style="546" customWidth="1"/>
    <col min="3336" max="3336" width="3.5703125" style="546" customWidth="1"/>
    <col min="3337" max="3337" width="7.7109375" style="546" customWidth="1"/>
    <col min="3338" max="3338" width="7" style="546" customWidth="1"/>
    <col min="3339" max="3339" width="2" style="546" customWidth="1"/>
    <col min="3340" max="3340" width="9.42578125" style="546" customWidth="1"/>
    <col min="3341" max="3344" width="5.7109375" style="546" customWidth="1"/>
    <col min="3345" max="3584" width="5" style="546"/>
    <col min="3585" max="3586" width="5" style="546" customWidth="1"/>
    <col min="3587" max="3587" width="10.7109375" style="546" customWidth="1"/>
    <col min="3588" max="3588" width="3.28515625" style="546" customWidth="1"/>
    <col min="3589" max="3589" width="6.5703125" style="546" customWidth="1"/>
    <col min="3590" max="3590" width="2.28515625" style="546" customWidth="1"/>
    <col min="3591" max="3591" width="7.42578125" style="546" customWidth="1"/>
    <col min="3592" max="3592" width="3.5703125" style="546" customWidth="1"/>
    <col min="3593" max="3593" width="7.7109375" style="546" customWidth="1"/>
    <col min="3594" max="3594" width="7" style="546" customWidth="1"/>
    <col min="3595" max="3595" width="2" style="546" customWidth="1"/>
    <col min="3596" max="3596" width="9.42578125" style="546" customWidth="1"/>
    <col min="3597" max="3600" width="5.7109375" style="546" customWidth="1"/>
    <col min="3601" max="3840" width="5" style="546"/>
    <col min="3841" max="3842" width="5" style="546" customWidth="1"/>
    <col min="3843" max="3843" width="10.7109375" style="546" customWidth="1"/>
    <col min="3844" max="3844" width="3.28515625" style="546" customWidth="1"/>
    <col min="3845" max="3845" width="6.5703125" style="546" customWidth="1"/>
    <col min="3846" max="3846" width="2.28515625" style="546" customWidth="1"/>
    <col min="3847" max="3847" width="7.42578125" style="546" customWidth="1"/>
    <col min="3848" max="3848" width="3.5703125" style="546" customWidth="1"/>
    <col min="3849" max="3849" width="7.7109375" style="546" customWidth="1"/>
    <col min="3850" max="3850" width="7" style="546" customWidth="1"/>
    <col min="3851" max="3851" width="2" style="546" customWidth="1"/>
    <col min="3852" max="3852" width="9.42578125" style="546" customWidth="1"/>
    <col min="3853" max="3856" width="5.7109375" style="546" customWidth="1"/>
    <col min="3857" max="4096" width="5" style="546"/>
    <col min="4097" max="4098" width="5" style="546" customWidth="1"/>
    <col min="4099" max="4099" width="10.7109375" style="546" customWidth="1"/>
    <col min="4100" max="4100" width="3.28515625" style="546" customWidth="1"/>
    <col min="4101" max="4101" width="6.5703125" style="546" customWidth="1"/>
    <col min="4102" max="4102" width="2.28515625" style="546" customWidth="1"/>
    <col min="4103" max="4103" width="7.42578125" style="546" customWidth="1"/>
    <col min="4104" max="4104" width="3.5703125" style="546" customWidth="1"/>
    <col min="4105" max="4105" width="7.7109375" style="546" customWidth="1"/>
    <col min="4106" max="4106" width="7" style="546" customWidth="1"/>
    <col min="4107" max="4107" width="2" style="546" customWidth="1"/>
    <col min="4108" max="4108" width="9.42578125" style="546" customWidth="1"/>
    <col min="4109" max="4112" width="5.7109375" style="546" customWidth="1"/>
    <col min="4113" max="4352" width="5" style="546"/>
    <col min="4353" max="4354" width="5" style="546" customWidth="1"/>
    <col min="4355" max="4355" width="10.7109375" style="546" customWidth="1"/>
    <col min="4356" max="4356" width="3.28515625" style="546" customWidth="1"/>
    <col min="4357" max="4357" width="6.5703125" style="546" customWidth="1"/>
    <col min="4358" max="4358" width="2.28515625" style="546" customWidth="1"/>
    <col min="4359" max="4359" width="7.42578125" style="546" customWidth="1"/>
    <col min="4360" max="4360" width="3.5703125" style="546" customWidth="1"/>
    <col min="4361" max="4361" width="7.7109375" style="546" customWidth="1"/>
    <col min="4362" max="4362" width="7" style="546" customWidth="1"/>
    <col min="4363" max="4363" width="2" style="546" customWidth="1"/>
    <col min="4364" max="4364" width="9.42578125" style="546" customWidth="1"/>
    <col min="4365" max="4368" width="5.7109375" style="546" customWidth="1"/>
    <col min="4369" max="4608" width="5" style="546"/>
    <col min="4609" max="4610" width="5" style="546" customWidth="1"/>
    <col min="4611" max="4611" width="10.7109375" style="546" customWidth="1"/>
    <col min="4612" max="4612" width="3.28515625" style="546" customWidth="1"/>
    <col min="4613" max="4613" width="6.5703125" style="546" customWidth="1"/>
    <col min="4614" max="4614" width="2.28515625" style="546" customWidth="1"/>
    <col min="4615" max="4615" width="7.42578125" style="546" customWidth="1"/>
    <col min="4616" max="4616" width="3.5703125" style="546" customWidth="1"/>
    <col min="4617" max="4617" width="7.7109375" style="546" customWidth="1"/>
    <col min="4618" max="4618" width="7" style="546" customWidth="1"/>
    <col min="4619" max="4619" width="2" style="546" customWidth="1"/>
    <col min="4620" max="4620" width="9.42578125" style="546" customWidth="1"/>
    <col min="4621" max="4624" width="5.7109375" style="546" customWidth="1"/>
    <col min="4625" max="4864" width="5" style="546"/>
    <col min="4865" max="4866" width="5" style="546" customWidth="1"/>
    <col min="4867" max="4867" width="10.7109375" style="546" customWidth="1"/>
    <col min="4868" max="4868" width="3.28515625" style="546" customWidth="1"/>
    <col min="4869" max="4869" width="6.5703125" style="546" customWidth="1"/>
    <col min="4870" max="4870" width="2.28515625" style="546" customWidth="1"/>
    <col min="4871" max="4871" width="7.42578125" style="546" customWidth="1"/>
    <col min="4872" max="4872" width="3.5703125" style="546" customWidth="1"/>
    <col min="4873" max="4873" width="7.7109375" style="546" customWidth="1"/>
    <col min="4874" max="4874" width="7" style="546" customWidth="1"/>
    <col min="4875" max="4875" width="2" style="546" customWidth="1"/>
    <col min="4876" max="4876" width="9.42578125" style="546" customWidth="1"/>
    <col min="4877" max="4880" width="5.7109375" style="546" customWidth="1"/>
    <col min="4881" max="5120" width="5" style="546"/>
    <col min="5121" max="5122" width="5" style="546" customWidth="1"/>
    <col min="5123" max="5123" width="10.7109375" style="546" customWidth="1"/>
    <col min="5124" max="5124" width="3.28515625" style="546" customWidth="1"/>
    <col min="5125" max="5125" width="6.5703125" style="546" customWidth="1"/>
    <col min="5126" max="5126" width="2.28515625" style="546" customWidth="1"/>
    <col min="5127" max="5127" width="7.42578125" style="546" customWidth="1"/>
    <col min="5128" max="5128" width="3.5703125" style="546" customWidth="1"/>
    <col min="5129" max="5129" width="7.7109375" style="546" customWidth="1"/>
    <col min="5130" max="5130" width="7" style="546" customWidth="1"/>
    <col min="5131" max="5131" width="2" style="546" customWidth="1"/>
    <col min="5132" max="5132" width="9.42578125" style="546" customWidth="1"/>
    <col min="5133" max="5136" width="5.7109375" style="546" customWidth="1"/>
    <col min="5137" max="5376" width="5" style="546"/>
    <col min="5377" max="5378" width="5" style="546" customWidth="1"/>
    <col min="5379" max="5379" width="10.7109375" style="546" customWidth="1"/>
    <col min="5380" max="5380" width="3.28515625" style="546" customWidth="1"/>
    <col min="5381" max="5381" width="6.5703125" style="546" customWidth="1"/>
    <col min="5382" max="5382" width="2.28515625" style="546" customWidth="1"/>
    <col min="5383" max="5383" width="7.42578125" style="546" customWidth="1"/>
    <col min="5384" max="5384" width="3.5703125" style="546" customWidth="1"/>
    <col min="5385" max="5385" width="7.7109375" style="546" customWidth="1"/>
    <col min="5386" max="5386" width="7" style="546" customWidth="1"/>
    <col min="5387" max="5387" width="2" style="546" customWidth="1"/>
    <col min="5388" max="5388" width="9.42578125" style="546" customWidth="1"/>
    <col min="5389" max="5392" width="5.7109375" style="546" customWidth="1"/>
    <col min="5393" max="5632" width="5" style="546"/>
    <col min="5633" max="5634" width="5" style="546" customWidth="1"/>
    <col min="5635" max="5635" width="10.7109375" style="546" customWidth="1"/>
    <col min="5636" max="5636" width="3.28515625" style="546" customWidth="1"/>
    <col min="5637" max="5637" width="6.5703125" style="546" customWidth="1"/>
    <col min="5638" max="5638" width="2.28515625" style="546" customWidth="1"/>
    <col min="5639" max="5639" width="7.42578125" style="546" customWidth="1"/>
    <col min="5640" max="5640" width="3.5703125" style="546" customWidth="1"/>
    <col min="5641" max="5641" width="7.7109375" style="546" customWidth="1"/>
    <col min="5642" max="5642" width="7" style="546" customWidth="1"/>
    <col min="5643" max="5643" width="2" style="546" customWidth="1"/>
    <col min="5644" max="5644" width="9.42578125" style="546" customWidth="1"/>
    <col min="5645" max="5648" width="5.7109375" style="546" customWidth="1"/>
    <col min="5649" max="5888" width="5" style="546"/>
    <col min="5889" max="5890" width="5" style="546" customWidth="1"/>
    <col min="5891" max="5891" width="10.7109375" style="546" customWidth="1"/>
    <col min="5892" max="5892" width="3.28515625" style="546" customWidth="1"/>
    <col min="5893" max="5893" width="6.5703125" style="546" customWidth="1"/>
    <col min="5894" max="5894" width="2.28515625" style="546" customWidth="1"/>
    <col min="5895" max="5895" width="7.42578125" style="546" customWidth="1"/>
    <col min="5896" max="5896" width="3.5703125" style="546" customWidth="1"/>
    <col min="5897" max="5897" width="7.7109375" style="546" customWidth="1"/>
    <col min="5898" max="5898" width="7" style="546" customWidth="1"/>
    <col min="5899" max="5899" width="2" style="546" customWidth="1"/>
    <col min="5900" max="5900" width="9.42578125" style="546" customWidth="1"/>
    <col min="5901" max="5904" width="5.7109375" style="546" customWidth="1"/>
    <col min="5905" max="6144" width="5" style="546"/>
    <col min="6145" max="6146" width="5" style="546" customWidth="1"/>
    <col min="6147" max="6147" width="10.7109375" style="546" customWidth="1"/>
    <col min="6148" max="6148" width="3.28515625" style="546" customWidth="1"/>
    <col min="6149" max="6149" width="6.5703125" style="546" customWidth="1"/>
    <col min="6150" max="6150" width="2.28515625" style="546" customWidth="1"/>
    <col min="6151" max="6151" width="7.42578125" style="546" customWidth="1"/>
    <col min="6152" max="6152" width="3.5703125" style="546" customWidth="1"/>
    <col min="6153" max="6153" width="7.7109375" style="546" customWidth="1"/>
    <col min="6154" max="6154" width="7" style="546" customWidth="1"/>
    <col min="6155" max="6155" width="2" style="546" customWidth="1"/>
    <col min="6156" max="6156" width="9.42578125" style="546" customWidth="1"/>
    <col min="6157" max="6160" width="5.7109375" style="546" customWidth="1"/>
    <col min="6161" max="6400" width="5" style="546"/>
    <col min="6401" max="6402" width="5" style="546" customWidth="1"/>
    <col min="6403" max="6403" width="10.7109375" style="546" customWidth="1"/>
    <col min="6404" max="6404" width="3.28515625" style="546" customWidth="1"/>
    <col min="6405" max="6405" width="6.5703125" style="546" customWidth="1"/>
    <col min="6406" max="6406" width="2.28515625" style="546" customWidth="1"/>
    <col min="6407" max="6407" width="7.42578125" style="546" customWidth="1"/>
    <col min="6408" max="6408" width="3.5703125" style="546" customWidth="1"/>
    <col min="6409" max="6409" width="7.7109375" style="546" customWidth="1"/>
    <col min="6410" max="6410" width="7" style="546" customWidth="1"/>
    <col min="6411" max="6411" width="2" style="546" customWidth="1"/>
    <col min="6412" max="6412" width="9.42578125" style="546" customWidth="1"/>
    <col min="6413" max="6416" width="5.7109375" style="546" customWidth="1"/>
    <col min="6417" max="6656" width="5" style="546"/>
    <col min="6657" max="6658" width="5" style="546" customWidth="1"/>
    <col min="6659" max="6659" width="10.7109375" style="546" customWidth="1"/>
    <col min="6660" max="6660" width="3.28515625" style="546" customWidth="1"/>
    <col min="6661" max="6661" width="6.5703125" style="546" customWidth="1"/>
    <col min="6662" max="6662" width="2.28515625" style="546" customWidth="1"/>
    <col min="6663" max="6663" width="7.42578125" style="546" customWidth="1"/>
    <col min="6664" max="6664" width="3.5703125" style="546" customWidth="1"/>
    <col min="6665" max="6665" width="7.7109375" style="546" customWidth="1"/>
    <col min="6666" max="6666" width="7" style="546" customWidth="1"/>
    <col min="6667" max="6667" width="2" style="546" customWidth="1"/>
    <col min="6668" max="6668" width="9.42578125" style="546" customWidth="1"/>
    <col min="6669" max="6672" width="5.7109375" style="546" customWidth="1"/>
    <col min="6673" max="6912" width="5" style="546"/>
    <col min="6913" max="6914" width="5" style="546" customWidth="1"/>
    <col min="6915" max="6915" width="10.7109375" style="546" customWidth="1"/>
    <col min="6916" max="6916" width="3.28515625" style="546" customWidth="1"/>
    <col min="6917" max="6917" width="6.5703125" style="546" customWidth="1"/>
    <col min="6918" max="6918" width="2.28515625" style="546" customWidth="1"/>
    <col min="6919" max="6919" width="7.42578125" style="546" customWidth="1"/>
    <col min="6920" max="6920" width="3.5703125" style="546" customWidth="1"/>
    <col min="6921" max="6921" width="7.7109375" style="546" customWidth="1"/>
    <col min="6922" max="6922" width="7" style="546" customWidth="1"/>
    <col min="6923" max="6923" width="2" style="546" customWidth="1"/>
    <col min="6924" max="6924" width="9.42578125" style="546" customWidth="1"/>
    <col min="6925" max="6928" width="5.7109375" style="546" customWidth="1"/>
    <col min="6929" max="7168" width="5" style="546"/>
    <col min="7169" max="7170" width="5" style="546" customWidth="1"/>
    <col min="7171" max="7171" width="10.7109375" style="546" customWidth="1"/>
    <col min="7172" max="7172" width="3.28515625" style="546" customWidth="1"/>
    <col min="7173" max="7173" width="6.5703125" style="546" customWidth="1"/>
    <col min="7174" max="7174" width="2.28515625" style="546" customWidth="1"/>
    <col min="7175" max="7175" width="7.42578125" style="546" customWidth="1"/>
    <col min="7176" max="7176" width="3.5703125" style="546" customWidth="1"/>
    <col min="7177" max="7177" width="7.7109375" style="546" customWidth="1"/>
    <col min="7178" max="7178" width="7" style="546" customWidth="1"/>
    <col min="7179" max="7179" width="2" style="546" customWidth="1"/>
    <col min="7180" max="7180" width="9.42578125" style="546" customWidth="1"/>
    <col min="7181" max="7184" width="5.7109375" style="546" customWidth="1"/>
    <col min="7185" max="7424" width="5" style="546"/>
    <col min="7425" max="7426" width="5" style="546" customWidth="1"/>
    <col min="7427" max="7427" width="10.7109375" style="546" customWidth="1"/>
    <col min="7428" max="7428" width="3.28515625" style="546" customWidth="1"/>
    <col min="7429" max="7429" width="6.5703125" style="546" customWidth="1"/>
    <col min="7430" max="7430" width="2.28515625" style="546" customWidth="1"/>
    <col min="7431" max="7431" width="7.42578125" style="546" customWidth="1"/>
    <col min="7432" max="7432" width="3.5703125" style="546" customWidth="1"/>
    <col min="7433" max="7433" width="7.7109375" style="546" customWidth="1"/>
    <col min="7434" max="7434" width="7" style="546" customWidth="1"/>
    <col min="7435" max="7435" width="2" style="546" customWidth="1"/>
    <col min="7436" max="7436" width="9.42578125" style="546" customWidth="1"/>
    <col min="7437" max="7440" width="5.7109375" style="546" customWidth="1"/>
    <col min="7441" max="7680" width="5" style="546"/>
    <col min="7681" max="7682" width="5" style="546" customWidth="1"/>
    <col min="7683" max="7683" width="10.7109375" style="546" customWidth="1"/>
    <col min="7684" max="7684" width="3.28515625" style="546" customWidth="1"/>
    <col min="7685" max="7685" width="6.5703125" style="546" customWidth="1"/>
    <col min="7686" max="7686" width="2.28515625" style="546" customWidth="1"/>
    <col min="7687" max="7687" width="7.42578125" style="546" customWidth="1"/>
    <col min="7688" max="7688" width="3.5703125" style="546" customWidth="1"/>
    <col min="7689" max="7689" width="7.7109375" style="546" customWidth="1"/>
    <col min="7690" max="7690" width="7" style="546" customWidth="1"/>
    <col min="7691" max="7691" width="2" style="546" customWidth="1"/>
    <col min="7692" max="7692" width="9.42578125" style="546" customWidth="1"/>
    <col min="7693" max="7696" width="5.7109375" style="546" customWidth="1"/>
    <col min="7697" max="7936" width="5" style="546"/>
    <col min="7937" max="7938" width="5" style="546" customWidth="1"/>
    <col min="7939" max="7939" width="10.7109375" style="546" customWidth="1"/>
    <col min="7940" max="7940" width="3.28515625" style="546" customWidth="1"/>
    <col min="7941" max="7941" width="6.5703125" style="546" customWidth="1"/>
    <col min="7942" max="7942" width="2.28515625" style="546" customWidth="1"/>
    <col min="7943" max="7943" width="7.42578125" style="546" customWidth="1"/>
    <col min="7944" max="7944" width="3.5703125" style="546" customWidth="1"/>
    <col min="7945" max="7945" width="7.7109375" style="546" customWidth="1"/>
    <col min="7946" max="7946" width="7" style="546" customWidth="1"/>
    <col min="7947" max="7947" width="2" style="546" customWidth="1"/>
    <col min="7948" max="7948" width="9.42578125" style="546" customWidth="1"/>
    <col min="7949" max="7952" width="5.7109375" style="546" customWidth="1"/>
    <col min="7953" max="8192" width="5" style="546"/>
    <col min="8193" max="8194" width="5" style="546" customWidth="1"/>
    <col min="8195" max="8195" width="10.7109375" style="546" customWidth="1"/>
    <col min="8196" max="8196" width="3.28515625" style="546" customWidth="1"/>
    <col min="8197" max="8197" width="6.5703125" style="546" customWidth="1"/>
    <col min="8198" max="8198" width="2.28515625" style="546" customWidth="1"/>
    <col min="8199" max="8199" width="7.42578125" style="546" customWidth="1"/>
    <col min="8200" max="8200" width="3.5703125" style="546" customWidth="1"/>
    <col min="8201" max="8201" width="7.7109375" style="546" customWidth="1"/>
    <col min="8202" max="8202" width="7" style="546" customWidth="1"/>
    <col min="8203" max="8203" width="2" style="546" customWidth="1"/>
    <col min="8204" max="8204" width="9.42578125" style="546" customWidth="1"/>
    <col min="8205" max="8208" width="5.7109375" style="546" customWidth="1"/>
    <col min="8209" max="8448" width="5" style="546"/>
    <col min="8449" max="8450" width="5" style="546" customWidth="1"/>
    <col min="8451" max="8451" width="10.7109375" style="546" customWidth="1"/>
    <col min="8452" max="8452" width="3.28515625" style="546" customWidth="1"/>
    <col min="8453" max="8453" width="6.5703125" style="546" customWidth="1"/>
    <col min="8454" max="8454" width="2.28515625" style="546" customWidth="1"/>
    <col min="8455" max="8455" width="7.42578125" style="546" customWidth="1"/>
    <col min="8456" max="8456" width="3.5703125" style="546" customWidth="1"/>
    <col min="8457" max="8457" width="7.7109375" style="546" customWidth="1"/>
    <col min="8458" max="8458" width="7" style="546" customWidth="1"/>
    <col min="8459" max="8459" width="2" style="546" customWidth="1"/>
    <col min="8460" max="8460" width="9.42578125" style="546" customWidth="1"/>
    <col min="8461" max="8464" width="5.7109375" style="546" customWidth="1"/>
    <col min="8465" max="8704" width="5" style="546"/>
    <col min="8705" max="8706" width="5" style="546" customWidth="1"/>
    <col min="8707" max="8707" width="10.7109375" style="546" customWidth="1"/>
    <col min="8708" max="8708" width="3.28515625" style="546" customWidth="1"/>
    <col min="8709" max="8709" width="6.5703125" style="546" customWidth="1"/>
    <col min="8710" max="8710" width="2.28515625" style="546" customWidth="1"/>
    <col min="8711" max="8711" width="7.42578125" style="546" customWidth="1"/>
    <col min="8712" max="8712" width="3.5703125" style="546" customWidth="1"/>
    <col min="8713" max="8713" width="7.7109375" style="546" customWidth="1"/>
    <col min="8714" max="8714" width="7" style="546" customWidth="1"/>
    <col min="8715" max="8715" width="2" style="546" customWidth="1"/>
    <col min="8716" max="8716" width="9.42578125" style="546" customWidth="1"/>
    <col min="8717" max="8720" width="5.7109375" style="546" customWidth="1"/>
    <col min="8721" max="8960" width="5" style="546"/>
    <col min="8961" max="8962" width="5" style="546" customWidth="1"/>
    <col min="8963" max="8963" width="10.7109375" style="546" customWidth="1"/>
    <col min="8964" max="8964" width="3.28515625" style="546" customWidth="1"/>
    <col min="8965" max="8965" width="6.5703125" style="546" customWidth="1"/>
    <col min="8966" max="8966" width="2.28515625" style="546" customWidth="1"/>
    <col min="8967" max="8967" width="7.42578125" style="546" customWidth="1"/>
    <col min="8968" max="8968" width="3.5703125" style="546" customWidth="1"/>
    <col min="8969" max="8969" width="7.7109375" style="546" customWidth="1"/>
    <col min="8970" max="8970" width="7" style="546" customWidth="1"/>
    <col min="8971" max="8971" width="2" style="546" customWidth="1"/>
    <col min="8972" max="8972" width="9.42578125" style="546" customWidth="1"/>
    <col min="8973" max="8976" width="5.7109375" style="546" customWidth="1"/>
    <col min="8977" max="9216" width="5" style="546"/>
    <col min="9217" max="9218" width="5" style="546" customWidth="1"/>
    <col min="9219" max="9219" width="10.7109375" style="546" customWidth="1"/>
    <col min="9220" max="9220" width="3.28515625" style="546" customWidth="1"/>
    <col min="9221" max="9221" width="6.5703125" style="546" customWidth="1"/>
    <col min="9222" max="9222" width="2.28515625" style="546" customWidth="1"/>
    <col min="9223" max="9223" width="7.42578125" style="546" customWidth="1"/>
    <col min="9224" max="9224" width="3.5703125" style="546" customWidth="1"/>
    <col min="9225" max="9225" width="7.7109375" style="546" customWidth="1"/>
    <col min="9226" max="9226" width="7" style="546" customWidth="1"/>
    <col min="9227" max="9227" width="2" style="546" customWidth="1"/>
    <col min="9228" max="9228" width="9.42578125" style="546" customWidth="1"/>
    <col min="9229" max="9232" width="5.7109375" style="546" customWidth="1"/>
    <col min="9233" max="9472" width="5" style="546"/>
    <col min="9473" max="9474" width="5" style="546" customWidth="1"/>
    <col min="9475" max="9475" width="10.7109375" style="546" customWidth="1"/>
    <col min="9476" max="9476" width="3.28515625" style="546" customWidth="1"/>
    <col min="9477" max="9477" width="6.5703125" style="546" customWidth="1"/>
    <col min="9478" max="9478" width="2.28515625" style="546" customWidth="1"/>
    <col min="9479" max="9479" width="7.42578125" style="546" customWidth="1"/>
    <col min="9480" max="9480" width="3.5703125" style="546" customWidth="1"/>
    <col min="9481" max="9481" width="7.7109375" style="546" customWidth="1"/>
    <col min="9482" max="9482" width="7" style="546" customWidth="1"/>
    <col min="9483" max="9483" width="2" style="546" customWidth="1"/>
    <col min="9484" max="9484" width="9.42578125" style="546" customWidth="1"/>
    <col min="9485" max="9488" width="5.7109375" style="546" customWidth="1"/>
    <col min="9489" max="9728" width="5" style="546"/>
    <col min="9729" max="9730" width="5" style="546" customWidth="1"/>
    <col min="9731" max="9731" width="10.7109375" style="546" customWidth="1"/>
    <col min="9732" max="9732" width="3.28515625" style="546" customWidth="1"/>
    <col min="9733" max="9733" width="6.5703125" style="546" customWidth="1"/>
    <col min="9734" max="9734" width="2.28515625" style="546" customWidth="1"/>
    <col min="9735" max="9735" width="7.42578125" style="546" customWidth="1"/>
    <col min="9736" max="9736" width="3.5703125" style="546" customWidth="1"/>
    <col min="9737" max="9737" width="7.7109375" style="546" customWidth="1"/>
    <col min="9738" max="9738" width="7" style="546" customWidth="1"/>
    <col min="9739" max="9739" width="2" style="546" customWidth="1"/>
    <col min="9740" max="9740" width="9.42578125" style="546" customWidth="1"/>
    <col min="9741" max="9744" width="5.7109375" style="546" customWidth="1"/>
    <col min="9745" max="9984" width="5" style="546"/>
    <col min="9985" max="9986" width="5" style="546" customWidth="1"/>
    <col min="9987" max="9987" width="10.7109375" style="546" customWidth="1"/>
    <col min="9988" max="9988" width="3.28515625" style="546" customWidth="1"/>
    <col min="9989" max="9989" width="6.5703125" style="546" customWidth="1"/>
    <col min="9990" max="9990" width="2.28515625" style="546" customWidth="1"/>
    <col min="9991" max="9991" width="7.42578125" style="546" customWidth="1"/>
    <col min="9992" max="9992" width="3.5703125" style="546" customWidth="1"/>
    <col min="9993" max="9993" width="7.7109375" style="546" customWidth="1"/>
    <col min="9994" max="9994" width="7" style="546" customWidth="1"/>
    <col min="9995" max="9995" width="2" style="546" customWidth="1"/>
    <col min="9996" max="9996" width="9.42578125" style="546" customWidth="1"/>
    <col min="9997" max="10000" width="5.7109375" style="546" customWidth="1"/>
    <col min="10001" max="10240" width="5" style="546"/>
    <col min="10241" max="10242" width="5" style="546" customWidth="1"/>
    <col min="10243" max="10243" width="10.7109375" style="546" customWidth="1"/>
    <col min="10244" max="10244" width="3.28515625" style="546" customWidth="1"/>
    <col min="10245" max="10245" width="6.5703125" style="546" customWidth="1"/>
    <col min="10246" max="10246" width="2.28515625" style="546" customWidth="1"/>
    <col min="10247" max="10247" width="7.42578125" style="546" customWidth="1"/>
    <col min="10248" max="10248" width="3.5703125" style="546" customWidth="1"/>
    <col min="10249" max="10249" width="7.7109375" style="546" customWidth="1"/>
    <col min="10250" max="10250" width="7" style="546" customWidth="1"/>
    <col min="10251" max="10251" width="2" style="546" customWidth="1"/>
    <col min="10252" max="10252" width="9.42578125" style="546" customWidth="1"/>
    <col min="10253" max="10256" width="5.7109375" style="546" customWidth="1"/>
    <col min="10257" max="10496" width="5" style="546"/>
    <col min="10497" max="10498" width="5" style="546" customWidth="1"/>
    <col min="10499" max="10499" width="10.7109375" style="546" customWidth="1"/>
    <col min="10500" max="10500" width="3.28515625" style="546" customWidth="1"/>
    <col min="10501" max="10501" width="6.5703125" style="546" customWidth="1"/>
    <col min="10502" max="10502" width="2.28515625" style="546" customWidth="1"/>
    <col min="10503" max="10503" width="7.42578125" style="546" customWidth="1"/>
    <col min="10504" max="10504" width="3.5703125" style="546" customWidth="1"/>
    <col min="10505" max="10505" width="7.7109375" style="546" customWidth="1"/>
    <col min="10506" max="10506" width="7" style="546" customWidth="1"/>
    <col min="10507" max="10507" width="2" style="546" customWidth="1"/>
    <col min="10508" max="10508" width="9.42578125" style="546" customWidth="1"/>
    <col min="10509" max="10512" width="5.7109375" style="546" customWidth="1"/>
    <col min="10513" max="10752" width="5" style="546"/>
    <col min="10753" max="10754" width="5" style="546" customWidth="1"/>
    <col min="10755" max="10755" width="10.7109375" style="546" customWidth="1"/>
    <col min="10756" max="10756" width="3.28515625" style="546" customWidth="1"/>
    <col min="10757" max="10757" width="6.5703125" style="546" customWidth="1"/>
    <col min="10758" max="10758" width="2.28515625" style="546" customWidth="1"/>
    <col min="10759" max="10759" width="7.42578125" style="546" customWidth="1"/>
    <col min="10760" max="10760" width="3.5703125" style="546" customWidth="1"/>
    <col min="10761" max="10761" width="7.7109375" style="546" customWidth="1"/>
    <col min="10762" max="10762" width="7" style="546" customWidth="1"/>
    <col min="10763" max="10763" width="2" style="546" customWidth="1"/>
    <col min="10764" max="10764" width="9.42578125" style="546" customWidth="1"/>
    <col min="10765" max="10768" width="5.7109375" style="546" customWidth="1"/>
    <col min="10769" max="11008" width="5" style="546"/>
    <col min="11009" max="11010" width="5" style="546" customWidth="1"/>
    <col min="11011" max="11011" width="10.7109375" style="546" customWidth="1"/>
    <col min="11012" max="11012" width="3.28515625" style="546" customWidth="1"/>
    <col min="11013" max="11013" width="6.5703125" style="546" customWidth="1"/>
    <col min="11014" max="11014" width="2.28515625" style="546" customWidth="1"/>
    <col min="11015" max="11015" width="7.42578125" style="546" customWidth="1"/>
    <col min="11016" max="11016" width="3.5703125" style="546" customWidth="1"/>
    <col min="11017" max="11017" width="7.7109375" style="546" customWidth="1"/>
    <col min="11018" max="11018" width="7" style="546" customWidth="1"/>
    <col min="11019" max="11019" width="2" style="546" customWidth="1"/>
    <col min="11020" max="11020" width="9.42578125" style="546" customWidth="1"/>
    <col min="11021" max="11024" width="5.7109375" style="546" customWidth="1"/>
    <col min="11025" max="11264" width="5" style="546"/>
    <col min="11265" max="11266" width="5" style="546" customWidth="1"/>
    <col min="11267" max="11267" width="10.7109375" style="546" customWidth="1"/>
    <col min="11268" max="11268" width="3.28515625" style="546" customWidth="1"/>
    <col min="11269" max="11269" width="6.5703125" style="546" customWidth="1"/>
    <col min="11270" max="11270" width="2.28515625" style="546" customWidth="1"/>
    <col min="11271" max="11271" width="7.42578125" style="546" customWidth="1"/>
    <col min="11272" max="11272" width="3.5703125" style="546" customWidth="1"/>
    <col min="11273" max="11273" width="7.7109375" style="546" customWidth="1"/>
    <col min="11274" max="11274" width="7" style="546" customWidth="1"/>
    <col min="11275" max="11275" width="2" style="546" customWidth="1"/>
    <col min="11276" max="11276" width="9.42578125" style="546" customWidth="1"/>
    <col min="11277" max="11280" width="5.7109375" style="546" customWidth="1"/>
    <col min="11281" max="11520" width="5" style="546"/>
    <col min="11521" max="11522" width="5" style="546" customWidth="1"/>
    <col min="11523" max="11523" width="10.7109375" style="546" customWidth="1"/>
    <col min="11524" max="11524" width="3.28515625" style="546" customWidth="1"/>
    <col min="11525" max="11525" width="6.5703125" style="546" customWidth="1"/>
    <col min="11526" max="11526" width="2.28515625" style="546" customWidth="1"/>
    <col min="11527" max="11527" width="7.42578125" style="546" customWidth="1"/>
    <col min="11528" max="11528" width="3.5703125" style="546" customWidth="1"/>
    <col min="11529" max="11529" width="7.7109375" style="546" customWidth="1"/>
    <col min="11530" max="11530" width="7" style="546" customWidth="1"/>
    <col min="11531" max="11531" width="2" style="546" customWidth="1"/>
    <col min="11532" max="11532" width="9.42578125" style="546" customWidth="1"/>
    <col min="11533" max="11536" width="5.7109375" style="546" customWidth="1"/>
    <col min="11537" max="11776" width="5" style="546"/>
    <col min="11777" max="11778" width="5" style="546" customWidth="1"/>
    <col min="11779" max="11779" width="10.7109375" style="546" customWidth="1"/>
    <col min="11780" max="11780" width="3.28515625" style="546" customWidth="1"/>
    <col min="11781" max="11781" width="6.5703125" style="546" customWidth="1"/>
    <col min="11782" max="11782" width="2.28515625" style="546" customWidth="1"/>
    <col min="11783" max="11783" width="7.42578125" style="546" customWidth="1"/>
    <col min="11784" max="11784" width="3.5703125" style="546" customWidth="1"/>
    <col min="11785" max="11785" width="7.7109375" style="546" customWidth="1"/>
    <col min="11786" max="11786" width="7" style="546" customWidth="1"/>
    <col min="11787" max="11787" width="2" style="546" customWidth="1"/>
    <col min="11788" max="11788" width="9.42578125" style="546" customWidth="1"/>
    <col min="11789" max="11792" width="5.7109375" style="546" customWidth="1"/>
    <col min="11793" max="12032" width="5" style="546"/>
    <col min="12033" max="12034" width="5" style="546" customWidth="1"/>
    <col min="12035" max="12035" width="10.7109375" style="546" customWidth="1"/>
    <col min="12036" max="12036" width="3.28515625" style="546" customWidth="1"/>
    <col min="12037" max="12037" width="6.5703125" style="546" customWidth="1"/>
    <col min="12038" max="12038" width="2.28515625" style="546" customWidth="1"/>
    <col min="12039" max="12039" width="7.42578125" style="546" customWidth="1"/>
    <col min="12040" max="12040" width="3.5703125" style="546" customWidth="1"/>
    <col min="12041" max="12041" width="7.7109375" style="546" customWidth="1"/>
    <col min="12042" max="12042" width="7" style="546" customWidth="1"/>
    <col min="12043" max="12043" width="2" style="546" customWidth="1"/>
    <col min="12044" max="12044" width="9.42578125" style="546" customWidth="1"/>
    <col min="12045" max="12048" width="5.7109375" style="546" customWidth="1"/>
    <col min="12049" max="12288" width="5" style="546"/>
    <col min="12289" max="12290" width="5" style="546" customWidth="1"/>
    <col min="12291" max="12291" width="10.7109375" style="546" customWidth="1"/>
    <col min="12292" max="12292" width="3.28515625" style="546" customWidth="1"/>
    <col min="12293" max="12293" width="6.5703125" style="546" customWidth="1"/>
    <col min="12294" max="12294" width="2.28515625" style="546" customWidth="1"/>
    <col min="12295" max="12295" width="7.42578125" style="546" customWidth="1"/>
    <col min="12296" max="12296" width="3.5703125" style="546" customWidth="1"/>
    <col min="12297" max="12297" width="7.7109375" style="546" customWidth="1"/>
    <col min="12298" max="12298" width="7" style="546" customWidth="1"/>
    <col min="12299" max="12299" width="2" style="546" customWidth="1"/>
    <col min="12300" max="12300" width="9.42578125" style="546" customWidth="1"/>
    <col min="12301" max="12304" width="5.7109375" style="546" customWidth="1"/>
    <col min="12305" max="12544" width="5" style="546"/>
    <col min="12545" max="12546" width="5" style="546" customWidth="1"/>
    <col min="12547" max="12547" width="10.7109375" style="546" customWidth="1"/>
    <col min="12548" max="12548" width="3.28515625" style="546" customWidth="1"/>
    <col min="12549" max="12549" width="6.5703125" style="546" customWidth="1"/>
    <col min="12550" max="12550" width="2.28515625" style="546" customWidth="1"/>
    <col min="12551" max="12551" width="7.42578125" style="546" customWidth="1"/>
    <col min="12552" max="12552" width="3.5703125" style="546" customWidth="1"/>
    <col min="12553" max="12553" width="7.7109375" style="546" customWidth="1"/>
    <col min="12554" max="12554" width="7" style="546" customWidth="1"/>
    <col min="12555" max="12555" width="2" style="546" customWidth="1"/>
    <col min="12556" max="12556" width="9.42578125" style="546" customWidth="1"/>
    <col min="12557" max="12560" width="5.7109375" style="546" customWidth="1"/>
    <col min="12561" max="12800" width="5" style="546"/>
    <col min="12801" max="12802" width="5" style="546" customWidth="1"/>
    <col min="12803" max="12803" width="10.7109375" style="546" customWidth="1"/>
    <col min="12804" max="12804" width="3.28515625" style="546" customWidth="1"/>
    <col min="12805" max="12805" width="6.5703125" style="546" customWidth="1"/>
    <col min="12806" max="12806" width="2.28515625" style="546" customWidth="1"/>
    <col min="12807" max="12807" width="7.42578125" style="546" customWidth="1"/>
    <col min="12808" max="12808" width="3.5703125" style="546" customWidth="1"/>
    <col min="12809" max="12809" width="7.7109375" style="546" customWidth="1"/>
    <col min="12810" max="12810" width="7" style="546" customWidth="1"/>
    <col min="12811" max="12811" width="2" style="546" customWidth="1"/>
    <col min="12812" max="12812" width="9.42578125" style="546" customWidth="1"/>
    <col min="12813" max="12816" width="5.7109375" style="546" customWidth="1"/>
    <col min="12817" max="13056" width="5" style="546"/>
    <col min="13057" max="13058" width="5" style="546" customWidth="1"/>
    <col min="13059" max="13059" width="10.7109375" style="546" customWidth="1"/>
    <col min="13060" max="13060" width="3.28515625" style="546" customWidth="1"/>
    <col min="13061" max="13061" width="6.5703125" style="546" customWidth="1"/>
    <col min="13062" max="13062" width="2.28515625" style="546" customWidth="1"/>
    <col min="13063" max="13063" width="7.42578125" style="546" customWidth="1"/>
    <col min="13064" max="13064" width="3.5703125" style="546" customWidth="1"/>
    <col min="13065" max="13065" width="7.7109375" style="546" customWidth="1"/>
    <col min="13066" max="13066" width="7" style="546" customWidth="1"/>
    <col min="13067" max="13067" width="2" style="546" customWidth="1"/>
    <col min="13068" max="13068" width="9.42578125" style="546" customWidth="1"/>
    <col min="13069" max="13072" width="5.7109375" style="546" customWidth="1"/>
    <col min="13073" max="13312" width="5" style="546"/>
    <col min="13313" max="13314" width="5" style="546" customWidth="1"/>
    <col min="13315" max="13315" width="10.7109375" style="546" customWidth="1"/>
    <col min="13316" max="13316" width="3.28515625" style="546" customWidth="1"/>
    <col min="13317" max="13317" width="6.5703125" style="546" customWidth="1"/>
    <col min="13318" max="13318" width="2.28515625" style="546" customWidth="1"/>
    <col min="13319" max="13319" width="7.42578125" style="546" customWidth="1"/>
    <col min="13320" max="13320" width="3.5703125" style="546" customWidth="1"/>
    <col min="13321" max="13321" width="7.7109375" style="546" customWidth="1"/>
    <col min="13322" max="13322" width="7" style="546" customWidth="1"/>
    <col min="13323" max="13323" width="2" style="546" customWidth="1"/>
    <col min="13324" max="13324" width="9.42578125" style="546" customWidth="1"/>
    <col min="13325" max="13328" width="5.7109375" style="546" customWidth="1"/>
    <col min="13329" max="13568" width="5" style="546"/>
    <col min="13569" max="13570" width="5" style="546" customWidth="1"/>
    <col min="13571" max="13571" width="10.7109375" style="546" customWidth="1"/>
    <col min="13572" max="13572" width="3.28515625" style="546" customWidth="1"/>
    <col min="13573" max="13573" width="6.5703125" style="546" customWidth="1"/>
    <col min="13574" max="13574" width="2.28515625" style="546" customWidth="1"/>
    <col min="13575" max="13575" width="7.42578125" style="546" customWidth="1"/>
    <col min="13576" max="13576" width="3.5703125" style="546" customWidth="1"/>
    <col min="13577" max="13577" width="7.7109375" style="546" customWidth="1"/>
    <col min="13578" max="13578" width="7" style="546" customWidth="1"/>
    <col min="13579" max="13579" width="2" style="546" customWidth="1"/>
    <col min="13580" max="13580" width="9.42578125" style="546" customWidth="1"/>
    <col min="13581" max="13584" width="5.7109375" style="546" customWidth="1"/>
    <col min="13585" max="13824" width="5" style="546"/>
    <col min="13825" max="13826" width="5" style="546" customWidth="1"/>
    <col min="13827" max="13827" width="10.7109375" style="546" customWidth="1"/>
    <col min="13828" max="13828" width="3.28515625" style="546" customWidth="1"/>
    <col min="13829" max="13829" width="6.5703125" style="546" customWidth="1"/>
    <col min="13830" max="13830" width="2.28515625" style="546" customWidth="1"/>
    <col min="13831" max="13831" width="7.42578125" style="546" customWidth="1"/>
    <col min="13832" max="13832" width="3.5703125" style="546" customWidth="1"/>
    <col min="13833" max="13833" width="7.7109375" style="546" customWidth="1"/>
    <col min="13834" max="13834" width="7" style="546" customWidth="1"/>
    <col min="13835" max="13835" width="2" style="546" customWidth="1"/>
    <col min="13836" max="13836" width="9.42578125" style="546" customWidth="1"/>
    <col min="13837" max="13840" width="5.7109375" style="546" customWidth="1"/>
    <col min="13841" max="14080" width="5" style="546"/>
    <col min="14081" max="14082" width="5" style="546" customWidth="1"/>
    <col min="14083" max="14083" width="10.7109375" style="546" customWidth="1"/>
    <col min="14084" max="14084" width="3.28515625" style="546" customWidth="1"/>
    <col min="14085" max="14085" width="6.5703125" style="546" customWidth="1"/>
    <col min="14086" max="14086" width="2.28515625" style="546" customWidth="1"/>
    <col min="14087" max="14087" width="7.42578125" style="546" customWidth="1"/>
    <col min="14088" max="14088" width="3.5703125" style="546" customWidth="1"/>
    <col min="14089" max="14089" width="7.7109375" style="546" customWidth="1"/>
    <col min="14090" max="14090" width="7" style="546" customWidth="1"/>
    <col min="14091" max="14091" width="2" style="546" customWidth="1"/>
    <col min="14092" max="14092" width="9.42578125" style="546" customWidth="1"/>
    <col min="14093" max="14096" width="5.7109375" style="546" customWidth="1"/>
    <col min="14097" max="14336" width="5" style="546"/>
    <col min="14337" max="14338" width="5" style="546" customWidth="1"/>
    <col min="14339" max="14339" width="10.7109375" style="546" customWidth="1"/>
    <col min="14340" max="14340" width="3.28515625" style="546" customWidth="1"/>
    <col min="14341" max="14341" width="6.5703125" style="546" customWidth="1"/>
    <col min="14342" max="14342" width="2.28515625" style="546" customWidth="1"/>
    <col min="14343" max="14343" width="7.42578125" style="546" customWidth="1"/>
    <col min="14344" max="14344" width="3.5703125" style="546" customWidth="1"/>
    <col min="14345" max="14345" width="7.7109375" style="546" customWidth="1"/>
    <col min="14346" max="14346" width="7" style="546" customWidth="1"/>
    <col min="14347" max="14347" width="2" style="546" customWidth="1"/>
    <col min="14348" max="14348" width="9.42578125" style="546" customWidth="1"/>
    <col min="14349" max="14352" width="5.7109375" style="546" customWidth="1"/>
    <col min="14353" max="14592" width="5" style="546"/>
    <col min="14593" max="14594" width="5" style="546" customWidth="1"/>
    <col min="14595" max="14595" width="10.7109375" style="546" customWidth="1"/>
    <col min="14596" max="14596" width="3.28515625" style="546" customWidth="1"/>
    <col min="14597" max="14597" width="6.5703125" style="546" customWidth="1"/>
    <col min="14598" max="14598" width="2.28515625" style="546" customWidth="1"/>
    <col min="14599" max="14599" width="7.42578125" style="546" customWidth="1"/>
    <col min="14600" max="14600" width="3.5703125" style="546" customWidth="1"/>
    <col min="14601" max="14601" width="7.7109375" style="546" customWidth="1"/>
    <col min="14602" max="14602" width="7" style="546" customWidth="1"/>
    <col min="14603" max="14603" width="2" style="546" customWidth="1"/>
    <col min="14604" max="14604" width="9.42578125" style="546" customWidth="1"/>
    <col min="14605" max="14608" width="5.7109375" style="546" customWidth="1"/>
    <col min="14609" max="14848" width="5" style="546"/>
    <col min="14849" max="14850" width="5" style="546" customWidth="1"/>
    <col min="14851" max="14851" width="10.7109375" style="546" customWidth="1"/>
    <col min="14852" max="14852" width="3.28515625" style="546" customWidth="1"/>
    <col min="14853" max="14853" width="6.5703125" style="546" customWidth="1"/>
    <col min="14854" max="14854" width="2.28515625" style="546" customWidth="1"/>
    <col min="14855" max="14855" width="7.42578125" style="546" customWidth="1"/>
    <col min="14856" max="14856" width="3.5703125" style="546" customWidth="1"/>
    <col min="14857" max="14857" width="7.7109375" style="546" customWidth="1"/>
    <col min="14858" max="14858" width="7" style="546" customWidth="1"/>
    <col min="14859" max="14859" width="2" style="546" customWidth="1"/>
    <col min="14860" max="14860" width="9.42578125" style="546" customWidth="1"/>
    <col min="14861" max="14864" width="5.7109375" style="546" customWidth="1"/>
    <col min="14865" max="15104" width="5" style="546"/>
    <col min="15105" max="15106" width="5" style="546" customWidth="1"/>
    <col min="15107" max="15107" width="10.7109375" style="546" customWidth="1"/>
    <col min="15108" max="15108" width="3.28515625" style="546" customWidth="1"/>
    <col min="15109" max="15109" width="6.5703125" style="546" customWidth="1"/>
    <col min="15110" max="15110" width="2.28515625" style="546" customWidth="1"/>
    <col min="15111" max="15111" width="7.42578125" style="546" customWidth="1"/>
    <col min="15112" max="15112" width="3.5703125" style="546" customWidth="1"/>
    <col min="15113" max="15113" width="7.7109375" style="546" customWidth="1"/>
    <col min="15114" max="15114" width="7" style="546" customWidth="1"/>
    <col min="15115" max="15115" width="2" style="546" customWidth="1"/>
    <col min="15116" max="15116" width="9.42578125" style="546" customWidth="1"/>
    <col min="15117" max="15120" width="5.7109375" style="546" customWidth="1"/>
    <col min="15121" max="15360" width="5" style="546"/>
    <col min="15361" max="15362" width="5" style="546" customWidth="1"/>
    <col min="15363" max="15363" width="10.7109375" style="546" customWidth="1"/>
    <col min="15364" max="15364" width="3.28515625" style="546" customWidth="1"/>
    <col min="15365" max="15365" width="6.5703125" style="546" customWidth="1"/>
    <col min="15366" max="15366" width="2.28515625" style="546" customWidth="1"/>
    <col min="15367" max="15367" width="7.42578125" style="546" customWidth="1"/>
    <col min="15368" max="15368" width="3.5703125" style="546" customWidth="1"/>
    <col min="15369" max="15369" width="7.7109375" style="546" customWidth="1"/>
    <col min="15370" max="15370" width="7" style="546" customWidth="1"/>
    <col min="15371" max="15371" width="2" style="546" customWidth="1"/>
    <col min="15372" max="15372" width="9.42578125" style="546" customWidth="1"/>
    <col min="15373" max="15376" width="5.7109375" style="546" customWidth="1"/>
    <col min="15377" max="15616" width="5" style="546"/>
    <col min="15617" max="15618" width="5" style="546" customWidth="1"/>
    <col min="15619" max="15619" width="10.7109375" style="546" customWidth="1"/>
    <col min="15620" max="15620" width="3.28515625" style="546" customWidth="1"/>
    <col min="15621" max="15621" width="6.5703125" style="546" customWidth="1"/>
    <col min="15622" max="15622" width="2.28515625" style="546" customWidth="1"/>
    <col min="15623" max="15623" width="7.42578125" style="546" customWidth="1"/>
    <col min="15624" max="15624" width="3.5703125" style="546" customWidth="1"/>
    <col min="15625" max="15625" width="7.7109375" style="546" customWidth="1"/>
    <col min="15626" max="15626" width="7" style="546" customWidth="1"/>
    <col min="15627" max="15627" width="2" style="546" customWidth="1"/>
    <col min="15628" max="15628" width="9.42578125" style="546" customWidth="1"/>
    <col min="15629" max="15632" width="5.7109375" style="546" customWidth="1"/>
    <col min="15633" max="15872" width="5" style="546"/>
    <col min="15873" max="15874" width="5" style="546" customWidth="1"/>
    <col min="15875" max="15875" width="10.7109375" style="546" customWidth="1"/>
    <col min="15876" max="15876" width="3.28515625" style="546" customWidth="1"/>
    <col min="15877" max="15877" width="6.5703125" style="546" customWidth="1"/>
    <col min="15878" max="15878" width="2.28515625" style="546" customWidth="1"/>
    <col min="15879" max="15879" width="7.42578125" style="546" customWidth="1"/>
    <col min="15880" max="15880" width="3.5703125" style="546" customWidth="1"/>
    <col min="15881" max="15881" width="7.7109375" style="546" customWidth="1"/>
    <col min="15882" max="15882" width="7" style="546" customWidth="1"/>
    <col min="15883" max="15883" width="2" style="546" customWidth="1"/>
    <col min="15884" max="15884" width="9.42578125" style="546" customWidth="1"/>
    <col min="15885" max="15888" width="5.7109375" style="546" customWidth="1"/>
    <col min="15889" max="16128" width="5" style="546"/>
    <col min="16129" max="16130" width="5" style="546" customWidth="1"/>
    <col min="16131" max="16131" width="10.7109375" style="546" customWidth="1"/>
    <col min="16132" max="16132" width="3.28515625" style="546" customWidth="1"/>
    <col min="16133" max="16133" width="6.5703125" style="546" customWidth="1"/>
    <col min="16134" max="16134" width="2.28515625" style="546" customWidth="1"/>
    <col min="16135" max="16135" width="7.42578125" style="546" customWidth="1"/>
    <col min="16136" max="16136" width="3.5703125" style="546" customWidth="1"/>
    <col min="16137" max="16137" width="7.7109375" style="546" customWidth="1"/>
    <col min="16138" max="16138" width="7" style="546" customWidth="1"/>
    <col min="16139" max="16139" width="2" style="546" customWidth="1"/>
    <col min="16140" max="16140" width="9.42578125" style="546" customWidth="1"/>
    <col min="16141" max="16144" width="5.7109375" style="546" customWidth="1"/>
    <col min="16145" max="16384" width="5" style="546"/>
  </cols>
  <sheetData>
    <row r="1" spans="1:15" ht="16.5" customHeight="1" x14ac:dyDescent="0.25">
      <c r="A1" s="545" t="s">
        <v>684</v>
      </c>
      <c r="F1" s="563"/>
      <c r="I1" s="564"/>
      <c r="J1" s="564"/>
      <c r="L1" s="545"/>
    </row>
    <row r="2" spans="1:15" ht="16.5" customHeight="1" x14ac:dyDescent="0.25">
      <c r="A2" s="558"/>
      <c r="C2" s="563"/>
      <c r="I2" s="563"/>
      <c r="J2" s="563"/>
    </row>
    <row r="3" spans="1:15" ht="16.5" customHeight="1" x14ac:dyDescent="0.2">
      <c r="A3" s="555"/>
      <c r="B3" s="560"/>
      <c r="C3" s="556"/>
      <c r="D3" s="549"/>
      <c r="E3" s="556"/>
      <c r="F3" s="549"/>
      <c r="G3" s="549"/>
      <c r="H3" s="549"/>
      <c r="I3" s="549"/>
      <c r="J3" s="549"/>
    </row>
    <row r="4" spans="1:15" ht="16.5" customHeight="1" x14ac:dyDescent="0.2">
      <c r="A4" s="555"/>
      <c r="B4" s="566" t="s">
        <v>661</v>
      </c>
      <c r="C4" s="554"/>
      <c r="D4" s="565"/>
      <c r="E4" s="566" t="s">
        <v>662</v>
      </c>
      <c r="F4" s="565"/>
      <c r="G4" s="565"/>
      <c r="H4" s="565"/>
      <c r="I4" s="566" t="s">
        <v>663</v>
      </c>
      <c r="J4" s="565"/>
      <c r="L4" s="555" t="s">
        <v>664</v>
      </c>
    </row>
    <row r="5" spans="1:15" ht="16.5" customHeight="1" x14ac:dyDescent="0.2">
      <c r="A5" s="567"/>
      <c r="C5" s="554"/>
      <c r="D5" s="568"/>
      <c r="E5" s="568"/>
      <c r="F5" s="568"/>
      <c r="G5" s="568"/>
      <c r="H5" s="568"/>
      <c r="I5" s="568"/>
      <c r="J5" s="568"/>
    </row>
    <row r="6" spans="1:15" ht="16.5" customHeight="1" x14ac:dyDescent="0.2">
      <c r="A6" s="567"/>
      <c r="B6" s="550">
        <v>1</v>
      </c>
      <c r="C6" s="554"/>
      <c r="D6" s="565"/>
      <c r="E6" s="569">
        <f>'50L T.L. Repayment Sch.'!Q7</f>
        <v>0</v>
      </c>
      <c r="F6" s="570" t="s">
        <v>665</v>
      </c>
      <c r="G6" s="569">
        <f>'Cash Flow St.'!C10/10^5</f>
        <v>34.62660410331933</v>
      </c>
      <c r="H6" s="565"/>
      <c r="I6" s="571">
        <f>G6+E6</f>
        <v>34.62660410331933</v>
      </c>
      <c r="J6" s="572"/>
      <c r="M6" s="573"/>
      <c r="O6" s="565"/>
    </row>
    <row r="7" spans="1:15" ht="16.5" customHeight="1" x14ac:dyDescent="0.2">
      <c r="A7" s="567"/>
      <c r="B7" s="554"/>
      <c r="C7" s="554"/>
      <c r="D7" s="554"/>
      <c r="E7" s="565">
        <f>E6</f>
        <v>0</v>
      </c>
      <c r="F7" s="550" t="s">
        <v>665</v>
      </c>
      <c r="G7" s="552">
        <f>'50L T.L. Repayment Sch.'!Q9</f>
        <v>0</v>
      </c>
      <c r="H7" s="552" t="s">
        <v>666</v>
      </c>
      <c r="I7" s="573">
        <f>G7+E7</f>
        <v>0</v>
      </c>
      <c r="J7" s="573"/>
      <c r="K7" s="546" t="s">
        <v>666</v>
      </c>
      <c r="L7" s="565" t="e">
        <f>I6/I7</f>
        <v>#DIV/0!</v>
      </c>
      <c r="M7" s="573"/>
      <c r="N7" s="565"/>
    </row>
    <row r="8" spans="1:15" ht="16.5" customHeight="1" x14ac:dyDescent="0.2">
      <c r="A8" s="567"/>
      <c r="B8" s="554"/>
      <c r="C8" s="554"/>
      <c r="D8" s="554"/>
      <c r="E8" s="565"/>
      <c r="F8" s="565"/>
      <c r="G8" s="565"/>
      <c r="H8" s="565"/>
      <c r="I8" s="565"/>
      <c r="J8" s="565"/>
    </row>
    <row r="9" spans="1:15" ht="16.5" customHeight="1" x14ac:dyDescent="0.2">
      <c r="A9" s="567"/>
      <c r="B9" s="550">
        <v>2</v>
      </c>
      <c r="C9" s="554"/>
      <c r="D9" s="554"/>
      <c r="E9" s="569">
        <f>'50L T.L. Repayment Sch.'!Q15</f>
        <v>5.7388470470303101</v>
      </c>
      <c r="F9" s="574" t="s">
        <v>665</v>
      </c>
      <c r="G9" s="569">
        <f>'Cash Flow St.'!D10/10^5</f>
        <v>355.54954553442479</v>
      </c>
      <c r="I9" s="569">
        <f>E9+G9</f>
        <v>361.28839258145513</v>
      </c>
      <c r="J9" s="565"/>
    </row>
    <row r="10" spans="1:15" ht="16.5" customHeight="1" x14ac:dyDescent="0.2">
      <c r="A10" s="567"/>
      <c r="B10" s="554"/>
      <c r="C10" s="554"/>
      <c r="D10" s="554"/>
      <c r="E10" s="565">
        <f>E9</f>
        <v>5.7388470470303101</v>
      </c>
      <c r="F10" s="575" t="s">
        <v>665</v>
      </c>
      <c r="G10" s="565">
        <f>'50L T.L. Repayment Sch.'!Q17</f>
        <v>4.852832952969691</v>
      </c>
      <c r="H10" s="552" t="s">
        <v>666</v>
      </c>
      <c r="I10" s="565">
        <f>E10+G10</f>
        <v>10.59168</v>
      </c>
      <c r="J10" s="565"/>
      <c r="K10" s="546" t="s">
        <v>666</v>
      </c>
      <c r="L10" s="576">
        <f>I9/I10</f>
        <v>34.110584211518393</v>
      </c>
    </row>
    <row r="11" spans="1:15" ht="16.5" customHeight="1" x14ac:dyDescent="0.2">
      <c r="A11" s="567"/>
      <c r="B11" s="554"/>
      <c r="C11" s="554"/>
      <c r="D11" s="554"/>
      <c r="E11" s="565"/>
      <c r="F11" s="565"/>
      <c r="G11" s="565"/>
      <c r="H11" s="565"/>
      <c r="I11" s="565"/>
      <c r="J11" s="565"/>
    </row>
    <row r="12" spans="1:15" ht="16.5" customHeight="1" x14ac:dyDescent="0.2">
      <c r="A12" s="567"/>
      <c r="B12" s="550">
        <v>3</v>
      </c>
      <c r="C12" s="554"/>
      <c r="D12" s="554"/>
      <c r="E12" s="569">
        <f>'50L T.L. Repayment Sch.'!Q23</f>
        <v>5.1233863615445125</v>
      </c>
      <c r="F12" s="574" t="s">
        <v>665</v>
      </c>
      <c r="G12" s="569">
        <f>'Cash Flow St.'!E10/10^5</f>
        <v>570.06518296142633</v>
      </c>
      <c r="H12" s="565"/>
      <c r="I12" s="569">
        <f>G12+E12</f>
        <v>575.18856932297081</v>
      </c>
      <c r="J12" s="565"/>
    </row>
    <row r="13" spans="1:15" ht="16.5" customHeight="1" x14ac:dyDescent="0.2">
      <c r="A13" s="567"/>
      <c r="B13" s="554"/>
      <c r="C13" s="554"/>
      <c r="D13" s="554"/>
      <c r="E13" s="565">
        <f>E12</f>
        <v>5.1233863615445125</v>
      </c>
      <c r="F13" s="575" t="s">
        <v>665</v>
      </c>
      <c r="G13" s="565">
        <f>'50L T.L. Repayment Sch.'!Q25</f>
        <v>5.4682936384554885</v>
      </c>
      <c r="H13" s="552" t="s">
        <v>666</v>
      </c>
      <c r="I13" s="565">
        <f>G13+E13</f>
        <v>10.59168</v>
      </c>
      <c r="J13" s="565"/>
      <c r="K13" s="546" t="s">
        <v>666</v>
      </c>
      <c r="L13" s="576">
        <f>I12/I13</f>
        <v>54.305697426939901</v>
      </c>
    </row>
    <row r="14" spans="1:15" ht="16.5" customHeight="1" x14ac:dyDescent="0.2">
      <c r="A14" s="567"/>
      <c r="B14" s="554"/>
      <c r="C14" s="554"/>
      <c r="D14" s="554"/>
      <c r="E14" s="565"/>
      <c r="F14" s="565"/>
      <c r="G14" s="565"/>
      <c r="H14" s="565"/>
      <c r="I14" s="565"/>
      <c r="J14" s="565"/>
    </row>
    <row r="15" spans="1:15" ht="16.5" customHeight="1" x14ac:dyDescent="0.2">
      <c r="A15" s="567"/>
      <c r="B15" s="550">
        <v>4</v>
      </c>
      <c r="C15" s="554"/>
      <c r="D15" s="554"/>
      <c r="E15" s="569">
        <f>'50L T.L. Repayment Sch.'!Q31</f>
        <v>4.4298698560769374</v>
      </c>
      <c r="F15" s="574" t="s">
        <v>665</v>
      </c>
      <c r="G15" s="569">
        <f>'Cash Flow St.'!F10/10^5</f>
        <v>959.19127467835096</v>
      </c>
      <c r="H15" s="565"/>
      <c r="I15" s="569">
        <f>G15+E15</f>
        <v>963.62114453442791</v>
      </c>
      <c r="J15" s="565"/>
    </row>
    <row r="16" spans="1:15" ht="16.5" customHeight="1" x14ac:dyDescent="0.2">
      <c r="A16" s="555"/>
      <c r="B16" s="566"/>
      <c r="C16" s="566"/>
      <c r="D16" s="566"/>
      <c r="E16" s="565">
        <f>E15</f>
        <v>4.4298698560769374</v>
      </c>
      <c r="F16" s="575" t="s">
        <v>665</v>
      </c>
      <c r="G16" s="565">
        <f>'50L T.L. Repayment Sch.'!Q33</f>
        <v>6.1618101439230637</v>
      </c>
      <c r="H16" s="566" t="s">
        <v>666</v>
      </c>
      <c r="I16" s="554">
        <f>G16+E16</f>
        <v>10.59168</v>
      </c>
      <c r="J16" s="554"/>
      <c r="K16" s="546" t="s">
        <v>666</v>
      </c>
      <c r="L16" s="576">
        <f>I15/I16</f>
        <v>90.979065127952111</v>
      </c>
    </row>
    <row r="17" spans="1:12" ht="16.5" customHeight="1" x14ac:dyDescent="0.2">
      <c r="A17" s="555"/>
      <c r="C17" s="546" t="s">
        <v>99</v>
      </c>
      <c r="D17" s="565"/>
      <c r="E17" s="554"/>
      <c r="F17" s="565"/>
      <c r="G17" s="552"/>
      <c r="H17" s="565"/>
      <c r="I17" s="565"/>
      <c r="J17" s="565"/>
    </row>
    <row r="18" spans="1:12" ht="16.5" customHeight="1" x14ac:dyDescent="0.2">
      <c r="B18" s="550">
        <v>5</v>
      </c>
      <c r="D18" s="565"/>
      <c r="E18" s="569">
        <f>'50L T.L. Repayment Sch.'!Q39</f>
        <v>3.6483980989064171</v>
      </c>
      <c r="F18" s="574" t="s">
        <v>665</v>
      </c>
      <c r="G18" s="569">
        <f>'Cash Flow St.'!G10/10^5</f>
        <v>1130.037823448358</v>
      </c>
      <c r="H18" s="565"/>
      <c r="I18" s="569">
        <f>G18+E18</f>
        <v>1133.6862215472645</v>
      </c>
      <c r="J18" s="565"/>
    </row>
    <row r="19" spans="1:12" ht="16.5" customHeight="1" x14ac:dyDescent="0.2">
      <c r="C19" s="575"/>
      <c r="D19" s="577"/>
      <c r="E19" s="565">
        <f>E18</f>
        <v>3.6483980989064171</v>
      </c>
      <c r="F19" s="575" t="s">
        <v>665</v>
      </c>
      <c r="G19" s="565">
        <f>'50L T.L. Repayment Sch.'!Q41</f>
        <v>6.9432819010935827</v>
      </c>
      <c r="H19" s="552" t="s">
        <v>666</v>
      </c>
      <c r="I19" s="565">
        <f>E19+G19</f>
        <v>10.59168</v>
      </c>
      <c r="J19" s="565"/>
      <c r="K19" s="546" t="s">
        <v>666</v>
      </c>
      <c r="L19" s="576">
        <f>I18/I19</f>
        <v>107.03554313831842</v>
      </c>
    </row>
    <row r="20" spans="1:12" ht="16.5" customHeight="1" x14ac:dyDescent="0.2">
      <c r="C20" s="575"/>
      <c r="D20" s="577"/>
      <c r="E20" s="565"/>
      <c r="F20" s="575"/>
      <c r="G20" s="565"/>
      <c r="H20" s="552"/>
      <c r="I20" s="565"/>
      <c r="J20" s="565"/>
      <c r="L20" s="576"/>
    </row>
    <row r="21" spans="1:12" ht="16.5" customHeight="1" x14ac:dyDescent="0.2">
      <c r="C21" s="575"/>
      <c r="D21" s="577"/>
      <c r="E21" s="565"/>
      <c r="F21" s="575"/>
      <c r="G21" s="565"/>
      <c r="H21" s="552"/>
      <c r="I21" s="565"/>
      <c r="J21" s="565"/>
      <c r="L21" s="576"/>
    </row>
    <row r="22" spans="1:12" ht="16.5" customHeight="1" x14ac:dyDescent="0.2">
      <c r="C22" s="565"/>
      <c r="D22" s="565"/>
      <c r="E22" s="554"/>
      <c r="F22" s="565"/>
      <c r="G22" s="565"/>
      <c r="H22" s="552" t="s">
        <v>123</v>
      </c>
      <c r="I22" s="565"/>
      <c r="J22" s="565"/>
      <c r="L22" s="578" t="e">
        <f>SUM(L7:L21)</f>
        <v>#DIV/0!</v>
      </c>
    </row>
    <row r="23" spans="1:12" ht="16.5" customHeight="1" x14ac:dyDescent="0.2">
      <c r="A23" s="546" t="s">
        <v>667</v>
      </c>
      <c r="C23" s="565"/>
      <c r="D23" s="565"/>
      <c r="E23" s="554"/>
      <c r="F23" s="565"/>
      <c r="G23" s="565"/>
      <c r="H23" s="565"/>
      <c r="I23" s="565"/>
      <c r="J23" s="597" t="e">
        <f>L22/B18</f>
        <v>#DIV/0!</v>
      </c>
      <c r="L23" s="573"/>
    </row>
    <row r="24" spans="1:12" ht="16.5" customHeight="1" x14ac:dyDescent="0.2">
      <c r="C24" s="565"/>
      <c r="D24" s="565"/>
      <c r="E24" s="554"/>
      <c r="F24" s="565"/>
      <c r="G24" s="565"/>
      <c r="H24" s="565"/>
      <c r="I24" s="565"/>
      <c r="J24" s="565"/>
    </row>
    <row r="25" spans="1:12" ht="16.5" customHeight="1" x14ac:dyDescent="0.2">
      <c r="C25" s="565"/>
      <c r="D25" s="565"/>
      <c r="E25" s="554"/>
      <c r="F25" s="565"/>
      <c r="G25" s="565"/>
      <c r="H25" s="565"/>
      <c r="I25" s="565"/>
      <c r="J25" s="565"/>
    </row>
    <row r="26" spans="1:12" ht="16.5" customHeight="1" x14ac:dyDescent="0.2">
      <c r="C26" s="565"/>
      <c r="D26" s="565"/>
      <c r="E26" s="554"/>
      <c r="F26" s="565"/>
      <c r="G26" s="565"/>
      <c r="H26" s="565"/>
      <c r="I26" s="565"/>
      <c r="J26" s="565"/>
    </row>
    <row r="27" spans="1:12" ht="16.5" customHeight="1" x14ac:dyDescent="0.2">
      <c r="C27" s="565"/>
      <c r="D27" s="552"/>
      <c r="E27" s="565"/>
      <c r="F27" s="565"/>
      <c r="G27" s="565"/>
      <c r="H27" s="565"/>
      <c r="I27" s="565"/>
      <c r="J27" s="565"/>
    </row>
    <row r="28" spans="1:12" ht="16.5" customHeight="1" x14ac:dyDescent="0.2">
      <c r="C28" s="565"/>
      <c r="D28" s="565"/>
      <c r="E28" s="565"/>
      <c r="F28" s="565"/>
      <c r="G28" s="565"/>
      <c r="H28" s="565"/>
      <c r="I28" s="565"/>
      <c r="J28" s="565"/>
    </row>
    <row r="29" spans="1:12" ht="16.5" customHeight="1" x14ac:dyDescent="0.2">
      <c r="C29" s="565"/>
      <c r="D29" s="565"/>
      <c r="E29" s="565"/>
      <c r="F29" s="565"/>
      <c r="G29" s="565"/>
      <c r="H29" s="565"/>
      <c r="I29" s="565"/>
      <c r="J29" s="565"/>
    </row>
    <row r="30" spans="1:12" ht="16.5" customHeight="1" x14ac:dyDescent="0.2">
      <c r="C30" s="565"/>
      <c r="D30" s="565"/>
      <c r="E30" s="565"/>
      <c r="F30" s="565"/>
      <c r="G30" s="565"/>
      <c r="H30" s="565"/>
      <c r="I30" s="565"/>
      <c r="J30" s="565"/>
    </row>
    <row r="31" spans="1:12" ht="16.5" customHeight="1" x14ac:dyDescent="0.2">
      <c r="B31" s="555"/>
      <c r="C31" s="566"/>
      <c r="D31" s="560"/>
      <c r="E31" s="566"/>
      <c r="F31" s="566"/>
      <c r="G31" s="566"/>
      <c r="H31" s="566"/>
      <c r="I31" s="566"/>
      <c r="J31" s="566"/>
    </row>
    <row r="32" spans="1:12" ht="16.5" customHeight="1" x14ac:dyDescent="0.2">
      <c r="A32" s="555"/>
      <c r="B32" s="555"/>
      <c r="C32" s="565"/>
      <c r="D32" s="565"/>
      <c r="E32" s="565"/>
      <c r="F32" s="565"/>
      <c r="G32" s="565"/>
      <c r="H32" s="565"/>
      <c r="I32" s="565"/>
      <c r="J32" s="565"/>
    </row>
    <row r="33" spans="1:10" ht="16.5" customHeight="1" x14ac:dyDescent="0.2">
      <c r="A33" s="555"/>
      <c r="B33" s="555"/>
      <c r="C33" s="565"/>
      <c r="D33" s="565"/>
      <c r="E33" s="565"/>
      <c r="F33" s="565"/>
      <c r="G33" s="565"/>
      <c r="H33" s="565"/>
      <c r="I33" s="565"/>
      <c r="J33" s="565"/>
    </row>
    <row r="34" spans="1:10" ht="16.5" customHeight="1" x14ac:dyDescent="0.2">
      <c r="A34" s="555"/>
      <c r="B34" s="555"/>
      <c r="C34" s="565"/>
      <c r="D34" s="565"/>
      <c r="E34" s="565"/>
      <c r="F34" s="565"/>
      <c r="G34" s="565"/>
      <c r="H34" s="565"/>
      <c r="I34" s="565"/>
      <c r="J34" s="565"/>
    </row>
  </sheetData>
  <pageMargins left="0.91" right="0.25" top="1.02" bottom="0.19" header="0.36" footer="0.19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8"/>
  <sheetViews>
    <sheetView showGridLines="0" view="pageBreakPreview" zoomScale="60" zoomScaleNormal="9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" style="94" customWidth="1"/>
    <col min="2" max="2" width="46" style="96" customWidth="1"/>
    <col min="3" max="4" width="14.85546875" style="94" customWidth="1"/>
    <col min="5" max="7" width="14.85546875" style="94" bestFit="1" customWidth="1"/>
    <col min="8" max="8" width="15.85546875" style="94" bestFit="1" customWidth="1"/>
    <col min="9" max="11" width="14.85546875" style="94" bestFit="1" customWidth="1"/>
    <col min="12" max="12" width="15.85546875" style="94" bestFit="1" customWidth="1"/>
    <col min="13" max="15" width="14.85546875" style="94" bestFit="1" customWidth="1"/>
    <col min="16" max="16" width="15.85546875" style="94" bestFit="1" customWidth="1"/>
    <col min="17" max="19" width="14.85546875" style="94" bestFit="1" customWidth="1"/>
    <col min="20" max="23" width="16.140625" style="94" customWidth="1"/>
    <col min="24" max="16384" width="9.140625" style="94"/>
  </cols>
  <sheetData>
    <row r="1" spans="1:22" s="495" customFormat="1" x14ac:dyDescent="0.25">
      <c r="A1" s="542" t="str">
        <f>Summary!A1</f>
        <v>ABC Nutri foods</v>
      </c>
      <c r="B1" s="494"/>
    </row>
    <row r="2" spans="1:22" s="497" customFormat="1" x14ac:dyDescent="0.25">
      <c r="A2" s="493" t="s">
        <v>460</v>
      </c>
      <c r="B2" s="496"/>
    </row>
    <row r="4" spans="1:22" x14ac:dyDescent="0.25">
      <c r="B4" s="115"/>
      <c r="C4" s="632" t="s">
        <v>104</v>
      </c>
      <c r="D4" s="633"/>
      <c r="E4" s="633"/>
      <c r="F4" s="634"/>
      <c r="G4" s="632" t="s">
        <v>105</v>
      </c>
      <c r="H4" s="633"/>
      <c r="I4" s="633"/>
      <c r="J4" s="634"/>
      <c r="K4" s="632" t="s">
        <v>139</v>
      </c>
      <c r="L4" s="633"/>
      <c r="M4" s="633"/>
      <c r="N4" s="634"/>
      <c r="O4" s="632" t="s">
        <v>140</v>
      </c>
      <c r="P4" s="633"/>
      <c r="Q4" s="633"/>
      <c r="R4" s="634"/>
      <c r="S4" s="632" t="s">
        <v>407</v>
      </c>
      <c r="T4" s="633"/>
      <c r="U4" s="633"/>
      <c r="V4" s="634"/>
    </row>
    <row r="5" spans="1:22" s="118" customFormat="1" x14ac:dyDescent="0.25">
      <c r="B5" s="117" t="s">
        <v>2</v>
      </c>
      <c r="C5" s="117" t="s">
        <v>106</v>
      </c>
      <c r="D5" s="117" t="s">
        <v>107</v>
      </c>
      <c r="E5" s="117" t="s">
        <v>108</v>
      </c>
      <c r="F5" s="117" t="s">
        <v>109</v>
      </c>
      <c r="G5" s="117" t="s">
        <v>110</v>
      </c>
      <c r="H5" s="117" t="s">
        <v>111</v>
      </c>
      <c r="I5" s="117" t="s">
        <v>112</v>
      </c>
      <c r="J5" s="117" t="s">
        <v>113</v>
      </c>
      <c r="K5" s="117" t="s">
        <v>141</v>
      </c>
      <c r="L5" s="117" t="s">
        <v>142</v>
      </c>
      <c r="M5" s="117" t="s">
        <v>143</v>
      </c>
      <c r="N5" s="117" t="s">
        <v>144</v>
      </c>
      <c r="O5" s="117" t="s">
        <v>183</v>
      </c>
      <c r="P5" s="117" t="s">
        <v>184</v>
      </c>
      <c r="Q5" s="117" t="s">
        <v>185</v>
      </c>
      <c r="R5" s="117" t="s">
        <v>186</v>
      </c>
      <c r="S5" s="117" t="s">
        <v>408</v>
      </c>
      <c r="T5" s="117" t="s">
        <v>409</v>
      </c>
      <c r="U5" s="117" t="s">
        <v>410</v>
      </c>
      <c r="V5" s="117" t="s">
        <v>411</v>
      </c>
    </row>
    <row r="6" spans="1:22" s="118" customFormat="1" x14ac:dyDescent="0.25">
      <c r="B6" s="218" t="s">
        <v>136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s="118" customFormat="1" x14ac:dyDescent="0.25">
      <c r="B7" s="276" t="s">
        <v>536</v>
      </c>
      <c r="C7" s="88">
        <f>'Sales (RTE) - Inst.'!D26</f>
        <v>2889756.3968000002</v>
      </c>
      <c r="D7" s="88">
        <f>'Sales (RTE) - Inst.'!E26</f>
        <v>1831875.7184000001</v>
      </c>
      <c r="E7" s="88">
        <f>'Sales (RTE) - Inst.'!F26</f>
        <v>3418696.736</v>
      </c>
      <c r="F7" s="88">
        <f>'Sales (RTE) - Inst.'!G26</f>
        <v>3947637.0752000003</v>
      </c>
      <c r="G7" s="88">
        <f>'Sales (RTE) - Inst.'!H26</f>
        <v>8534654.0240000002</v>
      </c>
      <c r="H7" s="88">
        <f>'Sales (RTE) - Inst.'!I26</f>
        <v>9388119.4264000002</v>
      </c>
      <c r="I7" s="88">
        <f>'Sales (RTE) - Inst.'!J26</f>
        <v>10326931.369040001</v>
      </c>
      <c r="J7" s="88">
        <f>'Sales (RTE) - Inst.'!K26</f>
        <v>11359624.505944001</v>
      </c>
      <c r="K7" s="88">
        <f>'Sales (RTE) - Inst.'!L26</f>
        <v>12268394.466419522</v>
      </c>
      <c r="L7" s="88">
        <f>'Sales (RTE) - Inst.'!M26</f>
        <v>13249866.023733083</v>
      </c>
      <c r="M7" s="88">
        <f>'Sales (RTE) - Inst.'!N26</f>
        <v>14309855.305631731</v>
      </c>
      <c r="N7" s="88">
        <f>'Sales (RTE) - Inst.'!O26</f>
        <v>15454643.730082273</v>
      </c>
      <c r="O7" s="88">
        <f>'Sales (RTE) - Inst.'!P26</f>
        <v>16227375.916586388</v>
      </c>
      <c r="P7" s="88">
        <f>'Sales (RTE) - Inst.'!Q26</f>
        <v>17038744.71241571</v>
      </c>
      <c r="Q7" s="88">
        <f>'Sales (RTE) - Inst.'!R26</f>
        <v>17890681.948036496</v>
      </c>
      <c r="R7" s="88">
        <f>'Sales (RTE) - Inst.'!S26</f>
        <v>18785216.045438319</v>
      </c>
      <c r="S7" s="88">
        <f>'Sales (RTE) - Inst.'!T26</f>
        <v>19348772.526801467</v>
      </c>
      <c r="T7" s="88">
        <f>'Sales (RTE) - Inst.'!U26</f>
        <v>19929235.702605516</v>
      </c>
      <c r="U7" s="88">
        <f>'Sales (RTE) - Inst.'!V26</f>
        <v>20527112.773683682</v>
      </c>
      <c r="V7" s="88">
        <f>'Sales (RTE) - Inst.'!W26</f>
        <v>21142926.156894192</v>
      </c>
    </row>
    <row r="8" spans="1:22" s="118" customFormat="1" hidden="1" x14ac:dyDescent="0.25">
      <c r="B8" s="276" t="s">
        <v>537</v>
      </c>
      <c r="C8" s="441"/>
      <c r="D8" s="441"/>
      <c r="E8" s="441"/>
      <c r="F8" s="441"/>
      <c r="G8" s="88">
        <f>'Sales-Retail-RTE'!D41</f>
        <v>0</v>
      </c>
      <c r="H8" s="88">
        <f>'Sales-Retail-RTE'!E41</f>
        <v>0</v>
      </c>
      <c r="I8" s="88">
        <f>'Sales-Retail-RTE'!F41</f>
        <v>0</v>
      </c>
      <c r="J8" s="88">
        <f>'Sales-Retail-RTE'!G41</f>
        <v>0</v>
      </c>
      <c r="K8" s="88">
        <f>'Sales-Retail-RTE'!H41</f>
        <v>0</v>
      </c>
      <c r="L8" s="88">
        <f>'Sales-Retail-RTE'!I41</f>
        <v>0</v>
      </c>
      <c r="M8" s="88">
        <f>'Sales-Retail-RTE'!J41</f>
        <v>0</v>
      </c>
      <c r="N8" s="88">
        <f>'Sales-Retail-RTE'!K41</f>
        <v>0</v>
      </c>
      <c r="O8" s="88">
        <f>'Sales-Retail-RTE'!L41</f>
        <v>0</v>
      </c>
      <c r="P8" s="88">
        <f>'Sales-Retail-RTE'!M41</f>
        <v>0</v>
      </c>
      <c r="Q8" s="88">
        <f>'Sales-Retail-RTE'!N41</f>
        <v>0</v>
      </c>
      <c r="R8" s="88">
        <f>'Sales-Retail-RTE'!O41</f>
        <v>0</v>
      </c>
      <c r="S8" s="88">
        <f>'Sales-Retail-RTE'!P41</f>
        <v>0</v>
      </c>
      <c r="T8" s="88">
        <f>'Sales-Retail-RTE'!Q41</f>
        <v>0</v>
      </c>
      <c r="U8" s="88">
        <f>'Sales-Retail-RTE'!R41</f>
        <v>0</v>
      </c>
      <c r="V8" s="88">
        <f>'Sales-Retail-RTE'!S41</f>
        <v>0</v>
      </c>
    </row>
    <row r="9" spans="1:22" s="118" customFormat="1" x14ac:dyDescent="0.25">
      <c r="B9" s="276" t="s">
        <v>538</v>
      </c>
      <c r="C9" s="88">
        <f>'Sales (Premixes) - Inst.'!D42</f>
        <v>344347.5</v>
      </c>
      <c r="D9" s="88">
        <f>'Sales (Premixes) - Inst.'!E42</f>
        <v>10730029</v>
      </c>
      <c r="E9" s="88">
        <f>'Sales (Premixes) - Inst.'!F42</f>
        <v>11155080</v>
      </c>
      <c r="F9" s="88">
        <f>'Sales (Premixes) - Inst.'!G42</f>
        <v>11898985</v>
      </c>
      <c r="G9" s="88">
        <f>'Sales (Premixes) - Inst.'!H42</f>
        <v>24730312.5</v>
      </c>
      <c r="H9" s="88">
        <f>'Sales (Premixes) - Inst.'!I42</f>
        <v>28581611.25</v>
      </c>
      <c r="I9" s="88">
        <f>'Sales (Premixes) - Inst.'!J42</f>
        <v>32717591.999999996</v>
      </c>
      <c r="J9" s="88">
        <f>'Sales (Premixes) - Inst.'!K42</f>
        <v>37439303.831249997</v>
      </c>
      <c r="K9" s="88">
        <f>'Sales (Premixes) - Inst.'!L42</f>
        <v>40779464.714999989</v>
      </c>
      <c r="L9" s="88">
        <f>'Sales (Premixes) - Inst.'!M42</f>
        <v>44646931.591968738</v>
      </c>
      <c r="M9" s="88">
        <f>'Sales (Premixes) - Inst.'!N42</f>
        <v>50199652.433545314</v>
      </c>
      <c r="N9" s="88">
        <f>'Sales (Premixes) - Inst.'!O42</f>
        <v>54947402.001952976</v>
      </c>
      <c r="O9" s="88">
        <f>'Sales (Premixes) - Inst.'!P42</f>
        <v>59056776.511090256</v>
      </c>
      <c r="P9" s="88">
        <f>'Sales (Premixes) - Inst.'!Q42</f>
        <v>63484259.519113369</v>
      </c>
      <c r="Q9" s="88">
        <f>'Sales (Premixes) - Inst.'!R42</f>
        <v>69628871.752742201</v>
      </c>
      <c r="R9" s="88">
        <f>'Sales (Premixes) - Inst.'!S42</f>
        <v>77256876.190689206</v>
      </c>
      <c r="S9" s="88">
        <f>'Sales (Premixes) - Inst.'!T42</f>
        <v>80740876.060623258</v>
      </c>
      <c r="T9" s="88">
        <f>'Sales (Premixes) - Inst.'!U42</f>
        <v>83987607.986506298</v>
      </c>
      <c r="U9" s="88">
        <f>'Sales (Premixes) - Inst.'!V42</f>
        <v>88186988.385831609</v>
      </c>
      <c r="V9" s="88">
        <f>'Sales (Premixes) - Inst.'!W42</f>
        <v>92596337.80512321</v>
      </c>
    </row>
    <row r="10" spans="1:22" s="118" customFormat="1" x14ac:dyDescent="0.25">
      <c r="B10" s="276" t="s">
        <v>542</v>
      </c>
      <c r="C10" s="89">
        <f>'Sales Export'!D28</f>
        <v>0</v>
      </c>
      <c r="D10" s="89">
        <f>'Sales Export'!E28</f>
        <v>0</v>
      </c>
      <c r="E10" s="89">
        <f>'Sales Export'!F28</f>
        <v>0</v>
      </c>
      <c r="F10" s="89">
        <f>'Sales Export'!G28</f>
        <v>0</v>
      </c>
      <c r="G10" s="89">
        <f>'Sales Export'!H28</f>
        <v>5064167.1815999998</v>
      </c>
      <c r="H10" s="89">
        <f>'Sales Export'!I28</f>
        <v>5064167.1815999998</v>
      </c>
      <c r="I10" s="89">
        <f>'Sales Export'!J28</f>
        <v>7596250.7723999992</v>
      </c>
      <c r="J10" s="89">
        <f>'Sales Export'!K28</f>
        <v>7596250.7723999992</v>
      </c>
      <c r="K10" s="89">
        <f>'Sales Export'!L28</f>
        <v>15192501.544799998</v>
      </c>
      <c r="L10" s="89">
        <f>'Sales Export'!M28</f>
        <v>15192501.544799998</v>
      </c>
      <c r="M10" s="89">
        <f>'Sales Export'!N28</f>
        <v>17724585.135600001</v>
      </c>
      <c r="N10" s="89">
        <f>'Sales Export'!O28</f>
        <v>17724585.135600001</v>
      </c>
      <c r="O10" s="89">
        <f>'Sales Export'!P28</f>
        <v>20256668.726399999</v>
      </c>
      <c r="P10" s="89">
        <f>'Sales Export'!Q28</f>
        <v>20256668.726399999</v>
      </c>
      <c r="Q10" s="89">
        <f>'Sales Export'!R28</f>
        <v>25320835.908</v>
      </c>
      <c r="R10" s="89">
        <f>'Sales Export'!S28</f>
        <v>25320835.908</v>
      </c>
      <c r="S10" s="89">
        <f>'Sales Export'!T28</f>
        <v>30385003.089599997</v>
      </c>
      <c r="T10" s="89">
        <f>'Sales Export'!U28</f>
        <v>30385003.089599997</v>
      </c>
      <c r="U10" s="89">
        <f>'Sales Export'!V28</f>
        <v>35449170.271200001</v>
      </c>
      <c r="V10" s="89">
        <f>'Sales Export'!W28</f>
        <v>35449170.271200001</v>
      </c>
    </row>
    <row r="11" spans="1:22" s="96" customFormat="1" x14ac:dyDescent="0.25">
      <c r="B11" s="219" t="s">
        <v>377</v>
      </c>
      <c r="C11" s="88">
        <f t="shared" ref="C11:V11" si="0">SUM(C6:C10)</f>
        <v>3234103.8968000002</v>
      </c>
      <c r="D11" s="88">
        <f t="shared" si="0"/>
        <v>12561904.7184</v>
      </c>
      <c r="E11" s="88">
        <f t="shared" si="0"/>
        <v>14573776.736</v>
      </c>
      <c r="F11" s="88">
        <f t="shared" si="0"/>
        <v>15846622.075200001</v>
      </c>
      <c r="G11" s="88">
        <f t="shared" si="0"/>
        <v>38329133.705600001</v>
      </c>
      <c r="H11" s="88">
        <f t="shared" si="0"/>
        <v>43033897.857999995</v>
      </c>
      <c r="I11" s="88">
        <f t="shared" si="0"/>
        <v>50640774.141439997</v>
      </c>
      <c r="J11" s="88">
        <f t="shared" si="0"/>
        <v>56395179.109593995</v>
      </c>
      <c r="K11" s="88">
        <f t="shared" si="0"/>
        <v>68240360.726219505</v>
      </c>
      <c r="L11" s="88">
        <f t="shared" si="0"/>
        <v>73089299.160501823</v>
      </c>
      <c r="M11" s="88">
        <f t="shared" si="0"/>
        <v>82234092.874777049</v>
      </c>
      <c r="N11" s="88">
        <f t="shared" si="0"/>
        <v>88126630.86763525</v>
      </c>
      <c r="O11" s="88">
        <f t="shared" si="0"/>
        <v>95540821.154076651</v>
      </c>
      <c r="P11" s="88">
        <f t="shared" si="0"/>
        <v>100779672.95792909</v>
      </c>
      <c r="Q11" s="88">
        <f t="shared" si="0"/>
        <v>112840389.60877869</v>
      </c>
      <c r="R11" s="88">
        <f t="shared" si="0"/>
        <v>121362928.14412752</v>
      </c>
      <c r="S11" s="88">
        <f t="shared" si="0"/>
        <v>130474651.67702472</v>
      </c>
      <c r="T11" s="88">
        <f t="shared" si="0"/>
        <v>134301846.7787118</v>
      </c>
      <c r="U11" s="88">
        <f t="shared" si="0"/>
        <v>144163271.43071529</v>
      </c>
      <c r="V11" s="88">
        <f t="shared" si="0"/>
        <v>149188434.23321742</v>
      </c>
    </row>
    <row r="12" spans="1:22" s="96" customFormat="1" x14ac:dyDescent="0.25">
      <c r="B12" s="219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s="96" customFormat="1" x14ac:dyDescent="0.25">
      <c r="B13" s="219" t="s">
        <v>383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s="96" customFormat="1" x14ac:dyDescent="0.25">
      <c r="B14" s="276" t="str">
        <f>B7</f>
        <v>Ready to Eat - Institutions</v>
      </c>
      <c r="C14" s="88"/>
      <c r="D14" s="88"/>
      <c r="E14" s="88"/>
      <c r="F14" s="88">
        <f>SUM(C7:F7)</f>
        <v>12087965.9264</v>
      </c>
      <c r="G14" s="88"/>
      <c r="H14" s="88"/>
      <c r="I14" s="442"/>
      <c r="J14" s="88">
        <f>SUM(G7:J7)</f>
        <v>39609329.325384006</v>
      </c>
      <c r="K14" s="88"/>
      <c r="L14" s="88"/>
      <c r="M14" s="442">
        <f>N14/J14</f>
        <v>1.3957004692436976</v>
      </c>
      <c r="N14" s="88">
        <f>SUM(K7:N7)</f>
        <v>55282759.525866613</v>
      </c>
      <c r="O14" s="88"/>
      <c r="P14" s="88"/>
      <c r="Q14" s="88"/>
      <c r="R14" s="88">
        <f>SUM(O7:R7)</f>
        <v>69942018.622476906</v>
      </c>
      <c r="S14" s="88"/>
      <c r="T14" s="88"/>
      <c r="U14" s="88"/>
      <c r="V14" s="88">
        <f>SUM(S7:V7)</f>
        <v>80948047.159984857</v>
      </c>
    </row>
    <row r="15" spans="1:22" s="96" customFormat="1" hidden="1" x14ac:dyDescent="0.25">
      <c r="B15" s="276" t="str">
        <f>B8</f>
        <v>Ready to Eat - Retail</v>
      </c>
      <c r="C15" s="88"/>
      <c r="D15" s="88"/>
      <c r="E15" s="88"/>
      <c r="F15" s="88">
        <f>SUM(C8:F8)</f>
        <v>0</v>
      </c>
      <c r="G15" s="88"/>
      <c r="H15" s="88"/>
      <c r="I15" s="442"/>
      <c r="J15" s="88">
        <f>SUM(G8:J8)</f>
        <v>0</v>
      </c>
      <c r="K15" s="88"/>
      <c r="L15" s="88"/>
      <c r="M15" s="88"/>
      <c r="N15" s="88">
        <f>SUM(K8:N8)</f>
        <v>0</v>
      </c>
      <c r="O15" s="88"/>
      <c r="P15" s="88"/>
      <c r="Q15" s="88"/>
      <c r="R15" s="88">
        <f>SUM(O8:R8)</f>
        <v>0</v>
      </c>
      <c r="S15" s="88"/>
      <c r="T15" s="88"/>
      <c r="U15" s="88"/>
      <c r="V15" s="88">
        <f>SUM(S8:V8)</f>
        <v>0</v>
      </c>
    </row>
    <row r="16" spans="1:22" s="96" customFormat="1" x14ac:dyDescent="0.25">
      <c r="B16" s="276" t="str">
        <f>B9</f>
        <v>Premixes - Institutions</v>
      </c>
      <c r="C16" s="88"/>
      <c r="D16" s="88"/>
      <c r="E16" s="88"/>
      <c r="F16" s="88">
        <f>SUM(C9:F9)</f>
        <v>34128441.5</v>
      </c>
      <c r="G16" s="442"/>
      <c r="H16" s="442"/>
      <c r="I16" s="442"/>
      <c r="J16" s="88">
        <f>SUM(G9:J9)</f>
        <v>123468819.58125</v>
      </c>
      <c r="K16" s="88"/>
      <c r="L16" s="88"/>
      <c r="M16" s="442">
        <f>N16/J16</f>
        <v>1.54349455505289</v>
      </c>
      <c r="N16" s="88">
        <f>SUM(K9:N9)</f>
        <v>190573450.74246702</v>
      </c>
      <c r="O16" s="88"/>
      <c r="P16" s="88"/>
      <c r="Q16" s="88"/>
      <c r="R16" s="88">
        <f>SUM(O9:R9)</f>
        <v>269426783.97363502</v>
      </c>
      <c r="S16" s="88"/>
      <c r="T16" s="88"/>
      <c r="U16" s="88"/>
      <c r="V16" s="88">
        <f>SUM(S9:V9)</f>
        <v>345511810.23808438</v>
      </c>
    </row>
    <row r="17" spans="2:26" s="96" customFormat="1" x14ac:dyDescent="0.25">
      <c r="B17" s="276" t="str">
        <f>B10</f>
        <v>Export Sales</v>
      </c>
      <c r="C17" s="88"/>
      <c r="D17" s="88"/>
      <c r="E17" s="88"/>
      <c r="F17" s="88">
        <f>SUM(C10:F10)</f>
        <v>0</v>
      </c>
      <c r="G17" s="88"/>
      <c r="H17" s="88"/>
      <c r="I17" s="442"/>
      <c r="J17" s="88">
        <f>SUM(G10:J10)</f>
        <v>25320835.908</v>
      </c>
      <c r="K17" s="88"/>
      <c r="L17" s="88"/>
      <c r="M17" s="442">
        <f>N17/J17</f>
        <v>2.6</v>
      </c>
      <c r="N17" s="88">
        <f>SUM(K10:N10)</f>
        <v>65834173.360799998</v>
      </c>
      <c r="O17" s="88"/>
      <c r="P17" s="88"/>
      <c r="Q17" s="88"/>
      <c r="R17" s="88">
        <f>SUM(O10:R10)</f>
        <v>91155009.26879999</v>
      </c>
      <c r="S17" s="88"/>
      <c r="T17" s="88"/>
      <c r="U17" s="88"/>
      <c r="V17" s="88">
        <f>SUM(S10:V10)</f>
        <v>131668346.7216</v>
      </c>
    </row>
    <row r="18" spans="2:26" s="96" customFormat="1" ht="15.75" thickBot="1" x14ac:dyDescent="0.3">
      <c r="B18" s="220" t="s">
        <v>123</v>
      </c>
      <c r="C18" s="88"/>
      <c r="D18" s="88"/>
      <c r="E18" s="88"/>
      <c r="F18" s="295">
        <f>SUM(F14:F17)</f>
        <v>46216407.426399998</v>
      </c>
      <c r="G18" s="88"/>
      <c r="H18" s="88"/>
      <c r="I18" s="88"/>
      <c r="J18" s="295">
        <f>SUM(J14:J17)</f>
        <v>188398984.814634</v>
      </c>
      <c r="K18" s="88"/>
      <c r="L18" s="88"/>
      <c r="M18" s="88"/>
      <c r="N18" s="295">
        <f>SUM(N14:N17)</f>
        <v>311690383.62913358</v>
      </c>
      <c r="O18" s="88"/>
      <c r="P18" s="88"/>
      <c r="Q18" s="88"/>
      <c r="R18" s="295">
        <f>SUM(R14:R17)</f>
        <v>430523811.86491191</v>
      </c>
      <c r="S18" s="88"/>
      <c r="T18" s="88"/>
      <c r="U18" s="88"/>
      <c r="V18" s="295">
        <f>SUM(V14:V17)</f>
        <v>558128204.1196692</v>
      </c>
    </row>
    <row r="19" spans="2:26" s="96" customFormat="1" ht="15.75" thickTop="1" x14ac:dyDescent="0.25">
      <c r="B19" s="219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2:26" s="96" customFormat="1" x14ac:dyDescent="0.25">
      <c r="B20" s="218" t="s">
        <v>587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2:26" s="96" customFormat="1" x14ac:dyDescent="0.25">
      <c r="B21" s="276" t="str">
        <f>B14</f>
        <v>Ready to Eat - Institutions</v>
      </c>
      <c r="C21" s="88">
        <f>'Sales (RTE) - Inst.'!D35+'Sales (RTE) - Inst.'!D46+'Sales (RTE) - Inst.'!D54</f>
        <v>139059.20000000001</v>
      </c>
      <c r="D21" s="88">
        <f>'Sales (RTE) - Inst.'!E35+'Sales (RTE) - Inst.'!E46+'Sales (RTE) - Inst.'!E54</f>
        <v>941449.6</v>
      </c>
      <c r="E21" s="88">
        <f>'Sales (RTE) - Inst.'!F35+'Sales (RTE) - Inst.'!F46+'Sales (RTE) - Inst.'!F54</f>
        <v>1774864</v>
      </c>
      <c r="F21" s="88">
        <f>'Sales (RTE) - Inst.'!G35+'Sales (RTE) - Inst.'!G46+'Sales (RTE) - Inst.'!G54</f>
        <v>2052668.8</v>
      </c>
      <c r="G21" s="88">
        <f>'Sales (RTE) - Inst.'!H35+'Sales (RTE) - Inst.'!H46+'Sales (RTE) - Inst.'!H54</f>
        <v>4395820</v>
      </c>
      <c r="H21" s="88">
        <f>'Sales (RTE) - Inst.'!I35+'Sales (RTE) - Inst.'!I46+'Sales (RTE) - Inst.'!I54</f>
        <v>4835402</v>
      </c>
      <c r="I21" s="88">
        <f>'Sales (RTE) - Inst.'!J35+'Sales (RTE) - Inst.'!J46+'Sales (RTE) - Inst.'!J54</f>
        <v>5318942.2</v>
      </c>
      <c r="J21" s="88">
        <f>'Sales (RTE) - Inst.'!K35+'Sales (RTE) - Inst.'!K46+'Sales (RTE) - Inst.'!K54</f>
        <v>5850836.4199999999</v>
      </c>
      <c r="K21" s="88">
        <f>'Sales (RTE) - Inst.'!L35+'Sales (RTE) - Inst.'!L46+'Sales (RTE) - Inst.'!L54</f>
        <v>6318903.3335999995</v>
      </c>
      <c r="L21" s="88">
        <f>'Sales (RTE) - Inst.'!M35+'Sales (RTE) - Inst.'!M46+'Sales (RTE) - Inst.'!M54</f>
        <v>6824415.6002880009</v>
      </c>
      <c r="M21" s="88">
        <f>'Sales (RTE) - Inst.'!N35+'Sales (RTE) - Inst.'!N46+'Sales (RTE) - Inst.'!N54</f>
        <v>7370368.8483110424</v>
      </c>
      <c r="N21" s="88">
        <f>'Sales (RTE) - Inst.'!O35+'Sales (RTE) - Inst.'!O46+'Sales (RTE) - Inst.'!O54</f>
        <v>7959998.3561759265</v>
      </c>
      <c r="O21" s="88">
        <f>'Sales (RTE) - Inst.'!P35+'Sales (RTE) - Inst.'!P46+'Sales (RTE) - Inst.'!P54</f>
        <v>8357998.2739847247</v>
      </c>
      <c r="P21" s="88">
        <f>'Sales (RTE) - Inst.'!Q35+'Sales (RTE) - Inst.'!Q46+'Sales (RTE) - Inst.'!Q54</f>
        <v>8775898.1876839604</v>
      </c>
      <c r="Q21" s="88">
        <f>'Sales (RTE) - Inst.'!R35+'Sales (RTE) - Inst.'!R46+'Sales (RTE) - Inst.'!R54</f>
        <v>9214693.0970681589</v>
      </c>
      <c r="R21" s="88">
        <f>'Sales (RTE) - Inst.'!S35+'Sales (RTE) - Inst.'!S46+'Sales (RTE) - Inst.'!S54</f>
        <v>9675427.7519215681</v>
      </c>
      <c r="S21" s="88">
        <f>'Sales (RTE) - Inst.'!T35+'Sales (RTE) - Inst.'!T46+'Sales (RTE) - Inst.'!T54</f>
        <v>9965690.5844792146</v>
      </c>
      <c r="T21" s="88">
        <f>'Sales (RTE) - Inst.'!U35+'Sales (RTE) - Inst.'!U46+'Sales (RTE) - Inst.'!U54</f>
        <v>10264661.302013589</v>
      </c>
      <c r="U21" s="88">
        <f>'Sales (RTE) - Inst.'!V35+'Sales (RTE) - Inst.'!V46+'Sales (RTE) - Inst.'!V54</f>
        <v>10572601.141074002</v>
      </c>
      <c r="V21" s="88">
        <f>'Sales (RTE) - Inst.'!W35+'Sales (RTE) - Inst.'!W46+'Sales (RTE) - Inst.'!W54</f>
        <v>10889779.17530622</v>
      </c>
    </row>
    <row r="22" spans="2:26" s="96" customFormat="1" hidden="1" x14ac:dyDescent="0.25">
      <c r="B22" s="276" t="str">
        <f>B15</f>
        <v>Ready to Eat - Retail</v>
      </c>
      <c r="C22" s="441"/>
      <c r="D22" s="441"/>
      <c r="E22" s="441"/>
      <c r="F22" s="441"/>
      <c r="G22" s="88">
        <f>'Sales-Retail-RTE'!D55</f>
        <v>0</v>
      </c>
      <c r="H22" s="88">
        <f>'Sales-Retail-RTE'!E55</f>
        <v>0</v>
      </c>
      <c r="I22" s="88">
        <f>'Sales-Retail-RTE'!F55</f>
        <v>0</v>
      </c>
      <c r="J22" s="88">
        <f>'Sales-Retail-RTE'!G55</f>
        <v>0</v>
      </c>
      <c r="K22" s="88">
        <f>'Sales-Retail-RTE'!H55</f>
        <v>0</v>
      </c>
      <c r="L22" s="88">
        <f>'Sales-Retail-RTE'!I55</f>
        <v>0</v>
      </c>
      <c r="M22" s="88">
        <f>'Sales-Retail-RTE'!J55</f>
        <v>0</v>
      </c>
      <c r="N22" s="88">
        <f>'Sales-Retail-RTE'!K55</f>
        <v>0</v>
      </c>
      <c r="O22" s="88">
        <f>'Sales-Retail-RTE'!L55</f>
        <v>0</v>
      </c>
      <c r="P22" s="88">
        <f>'Sales-Retail-RTE'!M55</f>
        <v>0</v>
      </c>
      <c r="Q22" s="88">
        <f>'Sales-Retail-RTE'!N55</f>
        <v>0</v>
      </c>
      <c r="R22" s="88">
        <f>'Sales-Retail-RTE'!O55</f>
        <v>0</v>
      </c>
      <c r="S22" s="88">
        <f>'Sales-Retail-RTE'!P55</f>
        <v>0</v>
      </c>
      <c r="T22" s="88">
        <f>'Sales-Retail-RTE'!Q55</f>
        <v>0</v>
      </c>
      <c r="U22" s="88">
        <f>'Sales-Retail-RTE'!R55</f>
        <v>0</v>
      </c>
      <c r="V22" s="88">
        <f>'Sales-Retail-RTE'!S55</f>
        <v>0</v>
      </c>
      <c r="W22" s="88"/>
      <c r="X22" s="88"/>
      <c r="Y22" s="88"/>
      <c r="Z22" s="88"/>
    </row>
    <row r="23" spans="2:26" s="96" customFormat="1" x14ac:dyDescent="0.25">
      <c r="B23" s="276" t="str">
        <f>B16</f>
        <v>Premixes - Institutions</v>
      </c>
      <c r="C23" s="88">
        <f>'Sales (Premixes) - Inst.'!D54</f>
        <v>209500</v>
      </c>
      <c r="D23" s="88">
        <f>'Sales (Premixes) - Inst.'!E54</f>
        <v>8140300</v>
      </c>
      <c r="E23" s="88">
        <f>'Sales (Premixes) - Inst.'!F54</f>
        <v>8460000</v>
      </c>
      <c r="F23" s="88">
        <f>'Sales (Premixes) - Inst.'!G54</f>
        <v>8799000</v>
      </c>
      <c r="G23" s="88">
        <f>'Sales (Premixes) - Inst.'!H54</f>
        <v>17940000</v>
      </c>
      <c r="H23" s="88">
        <f>'Sales (Premixes) - Inst.'!I54</f>
        <v>20599950</v>
      </c>
      <c r="I23" s="88">
        <f>'Sales (Premixes) - Inst.'!J54</f>
        <v>23539177.499999996</v>
      </c>
      <c r="J23" s="88">
        <f>'Sales (Premixes) - Inst.'!K54</f>
        <v>26896674.374999996</v>
      </c>
      <c r="K23" s="88">
        <f>'Sales (Premixes) - Inst.'!L54</f>
        <v>29199887.474999994</v>
      </c>
      <c r="L23" s="88">
        <f>'Sales (Premixes) - Inst.'!M54</f>
        <v>31910086.724999994</v>
      </c>
      <c r="M23" s="88">
        <f>'Sales (Premixes) - Inst.'!N54</f>
        <v>35784291.458437495</v>
      </c>
      <c r="N23" s="88">
        <f>'Sales (Premixes) - Inst.'!O54</f>
        <v>39108875.312306255</v>
      </c>
      <c r="O23" s="88">
        <f>'Sales (Premixes) - Inst.'!P54</f>
        <v>41956217.871554255</v>
      </c>
      <c r="P23" s="88">
        <f>'Sales (Premixes) - Inst.'!Q54</f>
        <v>45016630.152718961</v>
      </c>
      <c r="Q23" s="88">
        <f>'Sales (Premixes) - Inst.'!R54</f>
        <v>49143901.289351635</v>
      </c>
      <c r="R23" s="88">
        <f>'Sales (Premixes) - Inst.'!S54</f>
        <v>54188724.717941754</v>
      </c>
      <c r="S23" s="88">
        <f>'Sales (Premixes) - Inst.'!T54</f>
        <v>56525996.882191107</v>
      </c>
      <c r="T23" s="88">
        <f>'Sales (Premixes) - Inst.'!U54</f>
        <v>58590791.779698327</v>
      </c>
      <c r="U23" s="88">
        <f>'Sales (Premixes) - Inst.'!V54</f>
        <v>61520331.368683241</v>
      </c>
      <c r="V23" s="88">
        <f>'Sales (Premixes) - Inst.'!W54</f>
        <v>64596347.937117413</v>
      </c>
    </row>
    <row r="24" spans="2:26" s="96" customFormat="1" x14ac:dyDescent="0.25">
      <c r="B24" s="276" t="str">
        <f>B17</f>
        <v>Export Sales</v>
      </c>
      <c r="C24" s="89">
        <f>'Sales Export'!D41</f>
        <v>0</v>
      </c>
      <c r="D24" s="89">
        <f>'Sales Export'!E41</f>
        <v>0</v>
      </c>
      <c r="E24" s="89">
        <f>'Sales Export'!F41</f>
        <v>0</v>
      </c>
      <c r="F24" s="89">
        <f>'Sales Export'!G41</f>
        <v>0</v>
      </c>
      <c r="G24" s="89">
        <f>'Sales Export'!H41</f>
        <v>2766000</v>
      </c>
      <c r="H24" s="89">
        <f>'Sales Export'!I41</f>
        <v>2766000</v>
      </c>
      <c r="I24" s="89">
        <f>'Sales Export'!J41</f>
        <v>4149000</v>
      </c>
      <c r="J24" s="89">
        <f>'Sales Export'!K41</f>
        <v>4149000</v>
      </c>
      <c r="K24" s="89">
        <f>'Sales Export'!L41</f>
        <v>8298000</v>
      </c>
      <c r="L24" s="89">
        <f>'Sales Export'!M41</f>
        <v>8298000</v>
      </c>
      <c r="M24" s="89">
        <f>'Sales Export'!N41</f>
        <v>9681000</v>
      </c>
      <c r="N24" s="89">
        <f>'Sales Export'!O41</f>
        <v>9681000</v>
      </c>
      <c r="O24" s="89">
        <f>'Sales Export'!P41</f>
        <v>11064000</v>
      </c>
      <c r="P24" s="89">
        <f>'Sales Export'!Q41</f>
        <v>11064000</v>
      </c>
      <c r="Q24" s="89">
        <f>'Sales Export'!R41</f>
        <v>13830000</v>
      </c>
      <c r="R24" s="89">
        <f>'Sales Export'!S41</f>
        <v>13830000</v>
      </c>
      <c r="S24" s="89">
        <f>'Sales Export'!T41</f>
        <v>16596000</v>
      </c>
      <c r="T24" s="89">
        <f>'Sales Export'!U41</f>
        <v>16596000</v>
      </c>
      <c r="U24" s="89">
        <f>'Sales Export'!V41</f>
        <v>19362000</v>
      </c>
      <c r="V24" s="89">
        <f>'Sales Export'!W41</f>
        <v>19362000</v>
      </c>
    </row>
    <row r="25" spans="2:26" s="96" customFormat="1" x14ac:dyDescent="0.25">
      <c r="B25" s="219" t="s">
        <v>384</v>
      </c>
      <c r="C25" s="88">
        <f t="shared" ref="C25:V25" si="1">SUM(C20:C24)</f>
        <v>348559.2</v>
      </c>
      <c r="D25" s="88">
        <f t="shared" si="1"/>
        <v>9081749.5999999996</v>
      </c>
      <c r="E25" s="88">
        <f t="shared" si="1"/>
        <v>10234864</v>
      </c>
      <c r="F25" s="88">
        <f t="shared" si="1"/>
        <v>10851668.800000001</v>
      </c>
      <c r="G25" s="88">
        <f t="shared" si="1"/>
        <v>25101820</v>
      </c>
      <c r="H25" s="88">
        <f t="shared" si="1"/>
        <v>28201352</v>
      </c>
      <c r="I25" s="88">
        <f t="shared" si="1"/>
        <v>33007119.699999996</v>
      </c>
      <c r="J25" s="88">
        <f t="shared" si="1"/>
        <v>36896510.794999994</v>
      </c>
      <c r="K25" s="88">
        <f t="shared" si="1"/>
        <v>43816790.808599994</v>
      </c>
      <c r="L25" s="88">
        <f t="shared" si="1"/>
        <v>47032502.325287998</v>
      </c>
      <c r="M25" s="88">
        <f t="shared" si="1"/>
        <v>52835660.306748539</v>
      </c>
      <c r="N25" s="88">
        <f t="shared" si="1"/>
        <v>56749873.668482184</v>
      </c>
      <c r="O25" s="88">
        <f t="shared" si="1"/>
        <v>61378216.145538978</v>
      </c>
      <c r="P25" s="88">
        <f t="shared" si="1"/>
        <v>64856528.340402924</v>
      </c>
      <c r="Q25" s="88">
        <f t="shared" si="1"/>
        <v>72188594.386419803</v>
      </c>
      <c r="R25" s="88">
        <f t="shared" si="1"/>
        <v>77694152.469863325</v>
      </c>
      <c r="S25" s="88">
        <f t="shared" si="1"/>
        <v>83087687.466670319</v>
      </c>
      <c r="T25" s="88">
        <f t="shared" si="1"/>
        <v>85451453.081711918</v>
      </c>
      <c r="U25" s="88">
        <f t="shared" si="1"/>
        <v>91454932.509757251</v>
      </c>
      <c r="V25" s="88">
        <f t="shared" si="1"/>
        <v>94848127.112423629</v>
      </c>
    </row>
    <row r="26" spans="2:26" s="96" customFormat="1" x14ac:dyDescent="0.25">
      <c r="B26" s="219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2:26" s="96" customFormat="1" x14ac:dyDescent="0.25">
      <c r="B27" s="219" t="s">
        <v>385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2:26" s="96" customFormat="1" x14ac:dyDescent="0.25">
      <c r="B28" s="276" t="str">
        <f>B21</f>
        <v>Ready to Eat - Institutions</v>
      </c>
      <c r="C28" s="88"/>
      <c r="D28" s="88"/>
      <c r="E28" s="88"/>
      <c r="F28" s="88">
        <f>SUM(C21:F21)</f>
        <v>4908041.5999999996</v>
      </c>
      <c r="G28" s="88"/>
      <c r="H28" s="88"/>
      <c r="I28" s="88"/>
      <c r="J28" s="88">
        <f>SUM(G21:J21)</f>
        <v>20401000.619999997</v>
      </c>
      <c r="K28" s="88"/>
      <c r="L28" s="88"/>
      <c r="M28" s="88"/>
      <c r="N28" s="88">
        <f>SUM(K21:N21)</f>
        <v>28473686.138374966</v>
      </c>
      <c r="O28" s="88"/>
      <c r="P28" s="88"/>
      <c r="Q28" s="88"/>
      <c r="R28" s="88">
        <f>SUM(O21:R21)</f>
        <v>36024017.31065841</v>
      </c>
      <c r="S28" s="88"/>
      <c r="T28" s="88"/>
      <c r="U28" s="88"/>
      <c r="V28" s="88">
        <f>SUM(S21:V21)</f>
        <v>41692732.202873021</v>
      </c>
    </row>
    <row r="29" spans="2:26" s="96" customFormat="1" hidden="1" x14ac:dyDescent="0.25">
      <c r="B29" s="276" t="str">
        <f>B22</f>
        <v>Ready to Eat - Retail</v>
      </c>
      <c r="C29" s="88"/>
      <c r="D29" s="88"/>
      <c r="E29" s="88"/>
      <c r="F29" s="88">
        <f>SUM(C22:F22)</f>
        <v>0</v>
      </c>
      <c r="G29" s="88"/>
      <c r="H29" s="88"/>
      <c r="I29" s="88"/>
      <c r="J29" s="88">
        <f>SUM(K22:N22)</f>
        <v>0</v>
      </c>
      <c r="K29" s="88"/>
      <c r="L29" s="88"/>
      <c r="M29" s="88"/>
      <c r="N29" s="88">
        <f>SUM(O22:R22)</f>
        <v>0</v>
      </c>
      <c r="O29" s="88"/>
      <c r="P29" s="88"/>
      <c r="Q29" s="88"/>
      <c r="R29" s="88">
        <f>SUM(S22:V22)</f>
        <v>0</v>
      </c>
      <c r="S29" s="88"/>
      <c r="T29" s="88"/>
      <c r="U29" s="88"/>
      <c r="V29" s="88">
        <f>SUM(W22:Z22)</f>
        <v>0</v>
      </c>
    </row>
    <row r="30" spans="2:26" s="96" customFormat="1" x14ac:dyDescent="0.25">
      <c r="B30" s="276" t="str">
        <f>B23</f>
        <v>Premixes - Institutions</v>
      </c>
      <c r="C30" s="88"/>
      <c r="D30" s="88"/>
      <c r="E30" s="88"/>
      <c r="F30" s="88">
        <f>SUM(C23:F23)</f>
        <v>25608800</v>
      </c>
      <c r="G30" s="88"/>
      <c r="H30" s="88"/>
      <c r="I30" s="88"/>
      <c r="J30" s="88">
        <f>SUM(G23:J23)</f>
        <v>88975801.875</v>
      </c>
      <c r="K30" s="88"/>
      <c r="L30" s="88"/>
      <c r="M30" s="88"/>
      <c r="N30" s="88">
        <f>SUM(K23:N23)</f>
        <v>136003140.97074375</v>
      </c>
      <c r="O30" s="88"/>
      <c r="P30" s="88"/>
      <c r="Q30" s="88"/>
      <c r="R30" s="88">
        <f>SUM(O23:R23)</f>
        <v>190305474.03156662</v>
      </c>
      <c r="S30" s="88"/>
      <c r="T30" s="88"/>
      <c r="U30" s="88"/>
      <c r="V30" s="88">
        <f>SUM(S23:V23)</f>
        <v>241233467.96769011</v>
      </c>
    </row>
    <row r="31" spans="2:26" s="96" customFormat="1" x14ac:dyDescent="0.25">
      <c r="B31" s="276" t="str">
        <f>B24</f>
        <v>Export Sales</v>
      </c>
      <c r="C31" s="88"/>
      <c r="D31" s="88"/>
      <c r="E31" s="88"/>
      <c r="F31" s="88">
        <f>SUM(C24:F24)</f>
        <v>0</v>
      </c>
      <c r="G31" s="88"/>
      <c r="H31" s="88"/>
      <c r="I31" s="88"/>
      <c r="J31" s="88">
        <f>SUM(G24:J24)</f>
        <v>13830000</v>
      </c>
      <c r="K31" s="88"/>
      <c r="L31" s="88"/>
      <c r="M31" s="88"/>
      <c r="N31" s="88">
        <f>SUM(K24:N24)</f>
        <v>35958000</v>
      </c>
      <c r="O31" s="88"/>
      <c r="P31" s="88"/>
      <c r="Q31" s="88"/>
      <c r="R31" s="88">
        <f>SUM(O24:R24)</f>
        <v>49788000</v>
      </c>
      <c r="S31" s="88"/>
      <c r="T31" s="88"/>
      <c r="U31" s="88"/>
      <c r="V31" s="88">
        <f>SUM(S24:V24)</f>
        <v>71916000</v>
      </c>
    </row>
    <row r="32" spans="2:26" s="96" customFormat="1" x14ac:dyDescent="0.25">
      <c r="B32" s="276"/>
      <c r="C32" s="88"/>
      <c r="D32" s="88"/>
      <c r="E32" s="88"/>
      <c r="F32" s="90">
        <f>SUM(F28:F31)</f>
        <v>30516841.600000001</v>
      </c>
      <c r="G32" s="88"/>
      <c r="H32" s="88"/>
      <c r="I32" s="88"/>
      <c r="J32" s="90">
        <f>SUM(J28:J31)</f>
        <v>123206802.495</v>
      </c>
      <c r="K32" s="88"/>
      <c r="L32" s="88"/>
      <c r="M32" s="88"/>
      <c r="N32" s="90">
        <f>SUM(N28:N31)</f>
        <v>200434827.1091187</v>
      </c>
      <c r="O32" s="88"/>
      <c r="P32" s="88"/>
      <c r="Q32" s="88"/>
      <c r="R32" s="90">
        <f>SUM(R28:R31)</f>
        <v>276117491.34222502</v>
      </c>
      <c r="S32" s="88"/>
      <c r="T32" s="88"/>
      <c r="U32" s="88"/>
      <c r="V32" s="90">
        <f>SUM(V28:V31)</f>
        <v>354842200.1705631</v>
      </c>
    </row>
    <row r="33" spans="2:22" s="96" customFormat="1" x14ac:dyDescent="0.25">
      <c r="B33" s="288" t="s">
        <v>431</v>
      </c>
      <c r="C33" s="88"/>
      <c r="D33" s="88"/>
      <c r="E33" s="88"/>
      <c r="F33" s="88">
        <f>F32*1%</f>
        <v>305168.41600000003</v>
      </c>
      <c r="G33" s="88"/>
      <c r="H33" s="88"/>
      <c r="I33" s="88"/>
      <c r="J33" s="88">
        <f>J32*1%</f>
        <v>1232068.02495</v>
      </c>
      <c r="K33" s="88"/>
      <c r="L33" s="88"/>
      <c r="M33" s="88"/>
      <c r="N33" s="88">
        <f>N32*1%</f>
        <v>2004348.2710911871</v>
      </c>
      <c r="O33" s="88"/>
      <c r="P33" s="88"/>
      <c r="Q33" s="88"/>
      <c r="R33" s="88">
        <f>R32*1%</f>
        <v>2761174.9134222502</v>
      </c>
      <c r="S33" s="88"/>
      <c r="T33" s="88"/>
      <c r="U33" s="88"/>
      <c r="V33" s="88">
        <f>V32*1%</f>
        <v>3548422.0017056311</v>
      </c>
    </row>
    <row r="34" spans="2:22" ht="15.75" thickBot="1" x14ac:dyDescent="0.3">
      <c r="B34" s="220" t="s">
        <v>123</v>
      </c>
      <c r="C34" s="88"/>
      <c r="D34" s="88"/>
      <c r="E34" s="88"/>
      <c r="F34" s="295">
        <f>F32-F33</f>
        <v>30211673.184</v>
      </c>
      <c r="G34" s="88"/>
      <c r="H34" s="88"/>
      <c r="I34" s="88"/>
      <c r="J34" s="295">
        <f>J32-J33</f>
        <v>121974734.47005001</v>
      </c>
      <c r="K34" s="88"/>
      <c r="L34" s="88"/>
      <c r="M34" s="88"/>
      <c r="N34" s="295">
        <f>N32-N33</f>
        <v>198430478.83802751</v>
      </c>
      <c r="O34" s="88"/>
      <c r="P34" s="88"/>
      <c r="Q34" s="88"/>
      <c r="R34" s="295">
        <f>R32-R33</f>
        <v>273356316.42880279</v>
      </c>
      <c r="S34" s="88"/>
      <c r="T34" s="88"/>
      <c r="U34" s="88"/>
      <c r="V34" s="295">
        <f>V32-V33</f>
        <v>351293778.16885746</v>
      </c>
    </row>
    <row r="35" spans="2:22" ht="15.75" thickTop="1" x14ac:dyDescent="0.25">
      <c r="B35" s="218" t="s">
        <v>382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2:22" x14ac:dyDescent="0.25">
      <c r="B36" s="276" t="str">
        <f>B21</f>
        <v>Ready to Eat - Institutions</v>
      </c>
      <c r="C36" s="277"/>
      <c r="D36" s="277">
        <f t="shared" ref="D36:E39" si="2">D21/D7</f>
        <v>0.51392656747603072</v>
      </c>
      <c r="E36" s="277">
        <f t="shared" si="2"/>
        <v>0.5191639203647691</v>
      </c>
      <c r="F36" s="277">
        <f t="shared" ref="F36:T36" si="3">F21/F7</f>
        <v>0.51997404039377282</v>
      </c>
      <c r="G36" s="277">
        <f t="shared" si="3"/>
        <v>0.51505544192402752</v>
      </c>
      <c r="H36" s="277">
        <f t="shared" si="3"/>
        <v>0.51505544192402752</v>
      </c>
      <c r="I36" s="277">
        <f t="shared" si="3"/>
        <v>0.51505544192402752</v>
      </c>
      <c r="J36" s="277">
        <f t="shared" si="3"/>
        <v>0.51505544192402752</v>
      </c>
      <c r="K36" s="277">
        <f t="shared" si="3"/>
        <v>0.51505544192402741</v>
      </c>
      <c r="L36" s="277">
        <f t="shared" si="3"/>
        <v>0.51505544192402752</v>
      </c>
      <c r="M36" s="277">
        <f t="shared" si="3"/>
        <v>0.51505544192402763</v>
      </c>
      <c r="N36" s="277">
        <f t="shared" si="3"/>
        <v>0.51505544192402752</v>
      </c>
      <c r="O36" s="277">
        <f t="shared" si="3"/>
        <v>0.51505544192402763</v>
      </c>
      <c r="P36" s="277">
        <f t="shared" si="3"/>
        <v>0.51505544192402752</v>
      </c>
      <c r="Q36" s="277">
        <f t="shared" si="3"/>
        <v>0.51505544192402752</v>
      </c>
      <c r="R36" s="277">
        <f t="shared" si="3"/>
        <v>0.51505544192402763</v>
      </c>
      <c r="S36" s="277">
        <f t="shared" si="3"/>
        <v>0.51505544192402763</v>
      </c>
      <c r="T36" s="277">
        <f t="shared" si="3"/>
        <v>0.51505544192402741</v>
      </c>
      <c r="U36" s="277">
        <f>U21/U7</f>
        <v>0.51505544192402763</v>
      </c>
      <c r="V36" s="277">
        <f>V21/V7</f>
        <v>0.51505544192402752</v>
      </c>
    </row>
    <row r="37" spans="2:22" hidden="1" x14ac:dyDescent="0.25">
      <c r="B37" s="276" t="str">
        <f>B22</f>
        <v>Ready to Eat - Retail</v>
      </c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</row>
    <row r="38" spans="2:22" x14ac:dyDescent="0.25">
      <c r="B38" s="276" t="str">
        <f>B23</f>
        <v>Premixes - Institutions</v>
      </c>
      <c r="C38" s="277"/>
      <c r="D38" s="277">
        <f t="shared" si="2"/>
        <v>0.75864659825243719</v>
      </c>
      <c r="E38" s="277">
        <f t="shared" si="2"/>
        <v>0.75839886401531853</v>
      </c>
      <c r="F38" s="277">
        <f t="shared" ref="F38:T39" si="4">F23/F9</f>
        <v>0.73947483755967425</v>
      </c>
      <c r="G38" s="277">
        <f t="shared" si="4"/>
        <v>0.72542552788202741</v>
      </c>
      <c r="H38" s="277">
        <f t="shared" si="4"/>
        <v>0.72074138227599049</v>
      </c>
      <c r="I38" s="277">
        <f t="shared" si="4"/>
        <v>0.71946546371750097</v>
      </c>
      <c r="J38" s="277">
        <f t="shared" si="4"/>
        <v>0.71840743877694024</v>
      </c>
      <c r="K38" s="277">
        <f t="shared" si="4"/>
        <v>0.71604391276522428</v>
      </c>
      <c r="L38" s="277">
        <f t="shared" si="4"/>
        <v>0.71472071175301333</v>
      </c>
      <c r="M38" s="277">
        <f t="shared" si="4"/>
        <v>0.71283942664362099</v>
      </c>
      <c r="N38" s="277">
        <f t="shared" si="4"/>
        <v>0.71175112721282474</v>
      </c>
      <c r="O38" s="277">
        <f t="shared" si="4"/>
        <v>0.71043867190542154</v>
      </c>
      <c r="P38" s="277">
        <f t="shared" si="4"/>
        <v>0.70909908209870021</v>
      </c>
      <c r="Q38" s="277">
        <f t="shared" si="4"/>
        <v>0.70579775389533284</v>
      </c>
      <c r="R38" s="277">
        <f t="shared" si="4"/>
        <v>0.70140973062631329</v>
      </c>
      <c r="S38" s="277">
        <f t="shared" si="4"/>
        <v>0.70009144859599093</v>
      </c>
      <c r="T38" s="277">
        <f t="shared" si="4"/>
        <v>0.6976123404908936</v>
      </c>
      <c r="U38" s="277">
        <f>U23/U9</f>
        <v>0.6976123404908936</v>
      </c>
      <c r="V38" s="277">
        <f>V23/V9</f>
        <v>0.6976123404908936</v>
      </c>
    </row>
    <row r="39" spans="2:22" x14ac:dyDescent="0.25">
      <c r="B39" s="276" t="str">
        <f>B24</f>
        <v>Export Sales</v>
      </c>
      <c r="C39" s="277"/>
      <c r="D39" s="277" t="e">
        <f t="shared" si="2"/>
        <v>#DIV/0!</v>
      </c>
      <c r="E39" s="277" t="e">
        <f t="shared" si="2"/>
        <v>#DIV/0!</v>
      </c>
      <c r="F39" s="277" t="e">
        <f t="shared" si="4"/>
        <v>#DIV/0!</v>
      </c>
      <c r="G39" s="277">
        <f t="shared" si="4"/>
        <v>0.54619049901233618</v>
      </c>
      <c r="H39" s="277">
        <f t="shared" si="4"/>
        <v>0.54619049901233618</v>
      </c>
      <c r="I39" s="277">
        <f t="shared" si="4"/>
        <v>0.54619049901233618</v>
      </c>
      <c r="J39" s="277">
        <f t="shared" si="4"/>
        <v>0.54619049901233618</v>
      </c>
      <c r="K39" s="277">
        <f t="shared" si="4"/>
        <v>0.54619049901233618</v>
      </c>
      <c r="L39" s="277">
        <f t="shared" si="4"/>
        <v>0.54619049901233618</v>
      </c>
      <c r="M39" s="277">
        <f t="shared" si="4"/>
        <v>0.54619049901233618</v>
      </c>
      <c r="N39" s="277">
        <f t="shared" si="4"/>
        <v>0.54619049901233618</v>
      </c>
      <c r="O39" s="277">
        <f t="shared" si="4"/>
        <v>0.54619049901233618</v>
      </c>
      <c r="P39" s="277">
        <f t="shared" si="4"/>
        <v>0.54619049901233618</v>
      </c>
      <c r="Q39" s="277">
        <f t="shared" si="4"/>
        <v>0.54619049901233618</v>
      </c>
      <c r="R39" s="277">
        <f t="shared" si="4"/>
        <v>0.54619049901233618</v>
      </c>
      <c r="S39" s="277">
        <f t="shared" si="4"/>
        <v>0.54619049901233618</v>
      </c>
      <c r="T39" s="277">
        <f t="shared" si="4"/>
        <v>0.54619049901233618</v>
      </c>
      <c r="U39" s="277">
        <f>U24/U10</f>
        <v>0.54619049901233618</v>
      </c>
      <c r="V39" s="277">
        <f>V24/V10</f>
        <v>0.54619049901233618</v>
      </c>
    </row>
    <row r="40" spans="2:22" x14ac:dyDescent="0.25">
      <c r="B40" s="219" t="s">
        <v>588</v>
      </c>
      <c r="C40" s="278"/>
      <c r="D40" s="278" t="e">
        <f>AVERAGE(D36:D39)</f>
        <v>#DIV/0!</v>
      </c>
      <c r="E40" s="278" t="e">
        <f t="shared" ref="E40:V40" si="5">AVERAGE(E36:E39)</f>
        <v>#DIV/0!</v>
      </c>
      <c r="F40" s="278" t="e">
        <f t="shared" si="5"/>
        <v>#DIV/0!</v>
      </c>
      <c r="G40" s="278">
        <f t="shared" si="5"/>
        <v>0.59555715627279693</v>
      </c>
      <c r="H40" s="278">
        <f t="shared" si="5"/>
        <v>0.5939957744041181</v>
      </c>
      <c r="I40" s="278">
        <f t="shared" si="5"/>
        <v>0.59357046821795489</v>
      </c>
      <c r="J40" s="278">
        <f t="shared" si="5"/>
        <v>0.59321779323776802</v>
      </c>
      <c r="K40" s="278">
        <f t="shared" si="5"/>
        <v>0.59242995123386255</v>
      </c>
      <c r="L40" s="278">
        <f t="shared" si="5"/>
        <v>0.59198888422979234</v>
      </c>
      <c r="M40" s="278">
        <f t="shared" si="5"/>
        <v>0.59136178919332816</v>
      </c>
      <c r="N40" s="278">
        <f t="shared" si="5"/>
        <v>0.59099902271639604</v>
      </c>
      <c r="O40" s="278">
        <f t="shared" si="5"/>
        <v>0.59056153761392849</v>
      </c>
      <c r="P40" s="278">
        <f t="shared" si="5"/>
        <v>0.59011500767835467</v>
      </c>
      <c r="Q40" s="278">
        <f t="shared" si="5"/>
        <v>0.58901456494389881</v>
      </c>
      <c r="R40" s="278">
        <f t="shared" si="5"/>
        <v>0.58755189052089241</v>
      </c>
      <c r="S40" s="278">
        <f t="shared" si="5"/>
        <v>0.58711246317745147</v>
      </c>
      <c r="T40" s="278">
        <f t="shared" si="5"/>
        <v>0.5862860938090857</v>
      </c>
      <c r="U40" s="278">
        <f t="shared" si="5"/>
        <v>0.58628609380908581</v>
      </c>
      <c r="V40" s="278">
        <f t="shared" si="5"/>
        <v>0.5862860938090857</v>
      </c>
    </row>
    <row r="42" spans="2:22" ht="18" hidden="1" x14ac:dyDescent="0.25">
      <c r="B42" s="217" t="s">
        <v>319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</row>
    <row r="43" spans="2:22" hidden="1" x14ac:dyDescent="0.25">
      <c r="B43" s="100" t="s">
        <v>117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</row>
    <row r="44" spans="2:22" ht="45" hidden="1" x14ac:dyDescent="0.25">
      <c r="B44" s="216" t="s">
        <v>320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</row>
    <row r="45" spans="2:22" hidden="1" x14ac:dyDescent="0.25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2:22" x14ac:dyDescent="0.2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</row>
    <row r="47" spans="2:22" x14ac:dyDescent="0.25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</row>
    <row r="48" spans="2:22" x14ac:dyDescent="0.25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8"/>
      <c r="N48" s="98"/>
    </row>
  </sheetData>
  <mergeCells count="5">
    <mergeCell ref="S4:V4"/>
    <mergeCell ref="K4:N4"/>
    <mergeCell ref="O4:R4"/>
    <mergeCell ref="C4:F4"/>
    <mergeCell ref="G4:J4"/>
  </mergeCells>
  <pageMargins left="0.7" right="0.7" top="0.75" bottom="0.75" header="0.3" footer="0.3"/>
  <pageSetup scale="49" orientation="portrait" r:id="rId1"/>
  <colBreaks count="2" manualBreakCount="2">
    <brk id="10" max="39" man="1"/>
    <brk id="2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1"/>
  <sheetViews>
    <sheetView showGridLines="0" view="pageBreakPreview" zoomScale="70" zoomScaleNormal="90" zoomScaleSheetLayoutView="7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" style="94" customWidth="1"/>
    <col min="2" max="2" width="46" style="96" customWidth="1"/>
    <col min="3" max="3" width="12.140625" style="283" customWidth="1"/>
    <col min="4" max="6" width="12.140625" style="94" bestFit="1" customWidth="1"/>
    <col min="7" max="7" width="12.7109375" style="94" bestFit="1" customWidth="1"/>
    <col min="8" max="10" width="12.140625" style="94" bestFit="1" customWidth="1"/>
    <col min="11" max="13" width="12.7109375" style="94" bestFit="1" customWidth="1"/>
    <col min="14" max="14" width="12.5703125" style="94" bestFit="1" customWidth="1"/>
    <col min="15" max="15" width="13.28515625" style="94" bestFit="1" customWidth="1"/>
    <col min="16" max="17" width="12.5703125" style="94" bestFit="1" customWidth="1"/>
    <col min="18" max="21" width="15.28515625" style="94" bestFit="1" customWidth="1"/>
    <col min="22" max="23" width="16.28515625" style="94" bestFit="1" customWidth="1"/>
    <col min="24" max="16384" width="9.140625" style="94"/>
  </cols>
  <sheetData>
    <row r="1" spans="1:23" s="495" customFormat="1" x14ac:dyDescent="0.25">
      <c r="A1" s="542" t="str">
        <f>Summary!A1</f>
        <v>ABC Nutri foods</v>
      </c>
      <c r="B1" s="494"/>
    </row>
    <row r="2" spans="1:23" s="497" customFormat="1" x14ac:dyDescent="0.25">
      <c r="A2" s="493" t="s">
        <v>647</v>
      </c>
      <c r="B2" s="496"/>
    </row>
    <row r="4" spans="1:23" x14ac:dyDescent="0.25">
      <c r="B4" s="115"/>
      <c r="C4" s="279"/>
      <c r="D4" s="632" t="s">
        <v>104</v>
      </c>
      <c r="E4" s="633"/>
      <c r="F4" s="633"/>
      <c r="G4" s="634"/>
      <c r="H4" s="632" t="s">
        <v>105</v>
      </c>
      <c r="I4" s="633"/>
      <c r="J4" s="633"/>
      <c r="K4" s="634"/>
      <c r="L4" s="632" t="s">
        <v>139</v>
      </c>
      <c r="M4" s="633"/>
      <c r="N4" s="633"/>
      <c r="O4" s="634"/>
      <c r="P4" s="632" t="s">
        <v>140</v>
      </c>
      <c r="Q4" s="633"/>
      <c r="R4" s="633"/>
      <c r="S4" s="634"/>
      <c r="T4" s="632" t="s">
        <v>407</v>
      </c>
      <c r="U4" s="633"/>
      <c r="V4" s="633"/>
      <c r="W4" s="634"/>
    </row>
    <row r="5" spans="1:23" s="118" customFormat="1" x14ac:dyDescent="0.25">
      <c r="B5" s="117" t="s">
        <v>2</v>
      </c>
      <c r="C5" s="280" t="s">
        <v>374</v>
      </c>
      <c r="D5" s="117" t="s">
        <v>106</v>
      </c>
      <c r="E5" s="117" t="s">
        <v>107</v>
      </c>
      <c r="F5" s="117" t="s">
        <v>108</v>
      </c>
      <c r="G5" s="117" t="s">
        <v>109</v>
      </c>
      <c r="H5" s="117" t="s">
        <v>110</v>
      </c>
      <c r="I5" s="117" t="s">
        <v>111</v>
      </c>
      <c r="J5" s="117" t="s">
        <v>112</v>
      </c>
      <c r="K5" s="117" t="s">
        <v>113</v>
      </c>
      <c r="L5" s="117" t="s">
        <v>141</v>
      </c>
      <c r="M5" s="117" t="s">
        <v>142</v>
      </c>
      <c r="N5" s="117" t="s">
        <v>143</v>
      </c>
      <c r="O5" s="117" t="s">
        <v>144</v>
      </c>
      <c r="P5" s="117" t="s">
        <v>183</v>
      </c>
      <c r="Q5" s="117" t="s">
        <v>184</v>
      </c>
      <c r="R5" s="117" t="s">
        <v>185</v>
      </c>
      <c r="S5" s="117" t="s">
        <v>186</v>
      </c>
      <c r="T5" s="117" t="s">
        <v>408</v>
      </c>
      <c r="U5" s="117" t="s">
        <v>409</v>
      </c>
      <c r="V5" s="117" t="s">
        <v>410</v>
      </c>
      <c r="W5" s="117" t="s">
        <v>411</v>
      </c>
    </row>
    <row r="6" spans="1:23" s="96" customFormat="1" x14ac:dyDescent="0.25">
      <c r="B6" s="219" t="s">
        <v>369</v>
      </c>
      <c r="C6" s="281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3" s="96" customFormat="1" x14ac:dyDescent="0.25">
      <c r="B7" s="276" t="str">
        <f>'Products (Export)'!C6</f>
        <v>GF, Lf COOKIE (VANILLA / CHOCOLATE)</v>
      </c>
      <c r="C7" s="419">
        <f>'Products (Export)'!H6</f>
        <v>386.99751999999995</v>
      </c>
      <c r="D7" s="293"/>
      <c r="E7" s="293"/>
      <c r="F7" s="293"/>
      <c r="G7" s="293"/>
      <c r="H7" s="293">
        <v>1000</v>
      </c>
      <c r="I7" s="293">
        <v>1000</v>
      </c>
      <c r="J7" s="293">
        <f>$H7*150%</f>
        <v>1500</v>
      </c>
      <c r="K7" s="293">
        <f>J7</f>
        <v>1500</v>
      </c>
      <c r="L7" s="293">
        <f>$H7*300%</f>
        <v>3000</v>
      </c>
      <c r="M7" s="293">
        <f>L7</f>
        <v>3000</v>
      </c>
      <c r="N7" s="293">
        <f>$H7*350%</f>
        <v>3500</v>
      </c>
      <c r="O7" s="293">
        <f>N7</f>
        <v>3500</v>
      </c>
      <c r="P7" s="293">
        <f>$H7*400%</f>
        <v>4000</v>
      </c>
      <c r="Q7" s="293">
        <f>P7</f>
        <v>4000</v>
      </c>
      <c r="R7" s="293">
        <f>$H7*500%</f>
        <v>5000</v>
      </c>
      <c r="S7" s="293">
        <f>R7</f>
        <v>5000</v>
      </c>
      <c r="T7" s="293">
        <f>$H7*600%</f>
        <v>6000</v>
      </c>
      <c r="U7" s="293">
        <f>T7</f>
        <v>6000</v>
      </c>
      <c r="V7" s="293">
        <f>$H7*700%</f>
        <v>7000</v>
      </c>
      <c r="W7" s="293">
        <f>V7</f>
        <v>7000</v>
      </c>
    </row>
    <row r="8" spans="1:23" s="96" customFormat="1" x14ac:dyDescent="0.25">
      <c r="B8" s="276" t="str">
        <f>'Products (Export)'!C7</f>
        <v>MULTIGRAIN JAGGERY COOKIE</v>
      </c>
      <c r="C8" s="419">
        <f>'Products (Export)'!H7</f>
        <v>364.88337599999994</v>
      </c>
      <c r="D8" s="293"/>
      <c r="E8" s="293"/>
      <c r="F8" s="293"/>
      <c r="G8" s="293"/>
      <c r="H8" s="293">
        <v>1000</v>
      </c>
      <c r="I8" s="293">
        <v>1000</v>
      </c>
      <c r="J8" s="293">
        <f t="shared" ref="J8:J15" si="0">$H8*150%</f>
        <v>1500</v>
      </c>
      <c r="K8" s="293">
        <f t="shared" ref="K8:K15" si="1">J8</f>
        <v>1500</v>
      </c>
      <c r="L8" s="293">
        <f t="shared" ref="L8:L15" si="2">$H8*300%</f>
        <v>3000</v>
      </c>
      <c r="M8" s="293">
        <f t="shared" ref="M8:M15" si="3">L8</f>
        <v>3000</v>
      </c>
      <c r="N8" s="293">
        <f t="shared" ref="N8:N15" si="4">$H8*350%</f>
        <v>3500</v>
      </c>
      <c r="O8" s="293">
        <f t="shared" ref="O8:O15" si="5">N8</f>
        <v>3500</v>
      </c>
      <c r="P8" s="293">
        <f t="shared" ref="P8:P15" si="6">$H8*400%</f>
        <v>4000</v>
      </c>
      <c r="Q8" s="293">
        <f t="shared" ref="Q8:Q15" si="7">P8</f>
        <v>4000</v>
      </c>
      <c r="R8" s="293">
        <f t="shared" ref="R8:R15" si="8">$H8*500%</f>
        <v>5000</v>
      </c>
      <c r="S8" s="293">
        <f t="shared" ref="S8:S15" si="9">R8</f>
        <v>5000</v>
      </c>
      <c r="T8" s="293">
        <f t="shared" ref="T8:T15" si="10">$H8*600%</f>
        <v>6000</v>
      </c>
      <c r="U8" s="293">
        <f t="shared" ref="U8:U15" si="11">T8</f>
        <v>6000</v>
      </c>
      <c r="V8" s="293">
        <f t="shared" ref="V8:V15" si="12">$H8*700%</f>
        <v>7000</v>
      </c>
      <c r="W8" s="293">
        <f t="shared" ref="W8:W15" si="13">V8</f>
        <v>7000</v>
      </c>
    </row>
    <row r="9" spans="1:23" s="96" customFormat="1" x14ac:dyDescent="0.25">
      <c r="B9" s="276" t="str">
        <f>'Products (Export)'!C8</f>
        <v>PASTA PREMIX</v>
      </c>
      <c r="C9" s="419">
        <f>'Products (Export)'!H8</f>
        <v>265</v>
      </c>
      <c r="D9" s="293"/>
      <c r="E9" s="293"/>
      <c r="F9" s="293"/>
      <c r="G9" s="293"/>
      <c r="H9" s="293">
        <v>5000</v>
      </c>
      <c r="I9" s="293">
        <v>5000</v>
      </c>
      <c r="J9" s="293">
        <f t="shared" si="0"/>
        <v>7500</v>
      </c>
      <c r="K9" s="293">
        <f t="shared" si="1"/>
        <v>7500</v>
      </c>
      <c r="L9" s="293">
        <f t="shared" si="2"/>
        <v>15000</v>
      </c>
      <c r="M9" s="293">
        <f t="shared" si="3"/>
        <v>15000</v>
      </c>
      <c r="N9" s="293">
        <f t="shared" si="4"/>
        <v>17500</v>
      </c>
      <c r="O9" s="293">
        <f t="shared" si="5"/>
        <v>17500</v>
      </c>
      <c r="P9" s="293">
        <f t="shared" si="6"/>
        <v>20000</v>
      </c>
      <c r="Q9" s="293">
        <f t="shared" si="7"/>
        <v>20000</v>
      </c>
      <c r="R9" s="293">
        <f t="shared" si="8"/>
        <v>25000</v>
      </c>
      <c r="S9" s="293">
        <f t="shared" si="9"/>
        <v>25000</v>
      </c>
      <c r="T9" s="293">
        <f t="shared" si="10"/>
        <v>30000</v>
      </c>
      <c r="U9" s="293">
        <f t="shared" si="11"/>
        <v>30000</v>
      </c>
      <c r="V9" s="293">
        <f t="shared" si="12"/>
        <v>35000</v>
      </c>
      <c r="W9" s="293">
        <f t="shared" si="13"/>
        <v>35000</v>
      </c>
    </row>
    <row r="10" spans="1:23" s="96" customFormat="1" x14ac:dyDescent="0.25">
      <c r="B10" s="276" t="str">
        <f>'Products (Export)'!C9</f>
        <v>PASTA</v>
      </c>
      <c r="C10" s="419">
        <f>'Products (Export)'!H9</f>
        <v>352.62689280000001</v>
      </c>
      <c r="D10" s="293"/>
      <c r="E10" s="293"/>
      <c r="F10" s="293"/>
      <c r="G10" s="293"/>
      <c r="H10" s="293">
        <v>2000</v>
      </c>
      <c r="I10" s="293">
        <v>2000</v>
      </c>
      <c r="J10" s="293">
        <f t="shared" si="0"/>
        <v>3000</v>
      </c>
      <c r="K10" s="293">
        <f t="shared" si="1"/>
        <v>3000</v>
      </c>
      <c r="L10" s="293">
        <f t="shared" si="2"/>
        <v>6000</v>
      </c>
      <c r="M10" s="293">
        <f t="shared" si="3"/>
        <v>6000</v>
      </c>
      <c r="N10" s="293">
        <f t="shared" si="4"/>
        <v>7000</v>
      </c>
      <c r="O10" s="293">
        <f t="shared" si="5"/>
        <v>7000</v>
      </c>
      <c r="P10" s="293">
        <f t="shared" si="6"/>
        <v>8000</v>
      </c>
      <c r="Q10" s="293">
        <f t="shared" si="7"/>
        <v>8000</v>
      </c>
      <c r="R10" s="293">
        <f t="shared" si="8"/>
        <v>10000</v>
      </c>
      <c r="S10" s="293">
        <f t="shared" si="9"/>
        <v>10000</v>
      </c>
      <c r="T10" s="293">
        <f t="shared" si="10"/>
        <v>12000</v>
      </c>
      <c r="U10" s="293">
        <f t="shared" si="11"/>
        <v>12000</v>
      </c>
      <c r="V10" s="293">
        <f t="shared" si="12"/>
        <v>14000</v>
      </c>
      <c r="W10" s="293">
        <f t="shared" si="13"/>
        <v>14000</v>
      </c>
    </row>
    <row r="11" spans="1:23" s="96" customFormat="1" x14ac:dyDescent="0.25">
      <c r="B11" s="276" t="str">
        <f>'Products (Export)'!C10</f>
        <v>Cake Premix - GF</v>
      </c>
      <c r="C11" s="419">
        <f>'Products (Export)'!H10</f>
        <v>358.42874999999998</v>
      </c>
      <c r="D11" s="293"/>
      <c r="E11" s="293"/>
      <c r="F11" s="293"/>
      <c r="G11" s="293"/>
      <c r="H11" s="293">
        <v>1000</v>
      </c>
      <c r="I11" s="293">
        <v>1000</v>
      </c>
      <c r="J11" s="293">
        <f t="shared" si="0"/>
        <v>1500</v>
      </c>
      <c r="K11" s="293">
        <f t="shared" si="1"/>
        <v>1500</v>
      </c>
      <c r="L11" s="293">
        <f t="shared" si="2"/>
        <v>3000</v>
      </c>
      <c r="M11" s="293">
        <f t="shared" si="3"/>
        <v>3000</v>
      </c>
      <c r="N11" s="293">
        <f t="shared" si="4"/>
        <v>3500</v>
      </c>
      <c r="O11" s="293">
        <f t="shared" si="5"/>
        <v>3500</v>
      </c>
      <c r="P11" s="293">
        <f t="shared" si="6"/>
        <v>4000</v>
      </c>
      <c r="Q11" s="293">
        <f t="shared" si="7"/>
        <v>4000</v>
      </c>
      <c r="R11" s="293">
        <f t="shared" si="8"/>
        <v>5000</v>
      </c>
      <c r="S11" s="293">
        <f t="shared" si="9"/>
        <v>5000</v>
      </c>
      <c r="T11" s="293">
        <f t="shared" si="10"/>
        <v>6000</v>
      </c>
      <c r="U11" s="293">
        <f t="shared" si="11"/>
        <v>6000</v>
      </c>
      <c r="V11" s="293">
        <f t="shared" si="12"/>
        <v>7000</v>
      </c>
      <c r="W11" s="293">
        <f t="shared" si="13"/>
        <v>7000</v>
      </c>
    </row>
    <row r="12" spans="1:23" s="96" customFormat="1" x14ac:dyDescent="0.25">
      <c r="B12" s="276" t="str">
        <f>'Products (Export)'!C11</f>
        <v>Cake Premix - NAS</v>
      </c>
      <c r="C12" s="419">
        <f>'Products (Export)'!H11</f>
        <v>468.67875000000009</v>
      </c>
      <c r="D12" s="293"/>
      <c r="E12" s="293"/>
      <c r="F12" s="293"/>
      <c r="G12" s="293"/>
      <c r="H12" s="293">
        <v>1000</v>
      </c>
      <c r="I12" s="293">
        <v>1000</v>
      </c>
      <c r="J12" s="293">
        <f t="shared" si="0"/>
        <v>1500</v>
      </c>
      <c r="K12" s="293">
        <f t="shared" si="1"/>
        <v>1500</v>
      </c>
      <c r="L12" s="293">
        <f t="shared" si="2"/>
        <v>3000</v>
      </c>
      <c r="M12" s="293">
        <f t="shared" si="3"/>
        <v>3000</v>
      </c>
      <c r="N12" s="293">
        <f t="shared" si="4"/>
        <v>3500</v>
      </c>
      <c r="O12" s="293">
        <f t="shared" si="5"/>
        <v>3500</v>
      </c>
      <c r="P12" s="293">
        <f t="shared" si="6"/>
        <v>4000</v>
      </c>
      <c r="Q12" s="293">
        <f t="shared" si="7"/>
        <v>4000</v>
      </c>
      <c r="R12" s="293">
        <f t="shared" si="8"/>
        <v>5000</v>
      </c>
      <c r="S12" s="293">
        <f t="shared" si="9"/>
        <v>5000</v>
      </c>
      <c r="T12" s="293">
        <f t="shared" si="10"/>
        <v>6000</v>
      </c>
      <c r="U12" s="293">
        <f t="shared" si="11"/>
        <v>6000</v>
      </c>
      <c r="V12" s="293">
        <f t="shared" si="12"/>
        <v>7000</v>
      </c>
      <c r="W12" s="293">
        <f t="shared" si="13"/>
        <v>7000</v>
      </c>
    </row>
    <row r="13" spans="1:23" s="96" customFormat="1" x14ac:dyDescent="0.25">
      <c r="B13" s="276" t="str">
        <f>'Products (Export)'!C12</f>
        <v>Bread - GF</v>
      </c>
      <c r="C13" s="419">
        <f>'Products (Export)'!H12</f>
        <v>384.33750000000003</v>
      </c>
      <c r="D13" s="293"/>
      <c r="E13" s="293"/>
      <c r="F13" s="293"/>
      <c r="G13" s="293"/>
      <c r="H13" s="293">
        <v>1000</v>
      </c>
      <c r="I13" s="293">
        <v>1000</v>
      </c>
      <c r="J13" s="293">
        <f t="shared" si="0"/>
        <v>1500</v>
      </c>
      <c r="K13" s="293">
        <f t="shared" si="1"/>
        <v>1500</v>
      </c>
      <c r="L13" s="293">
        <f t="shared" si="2"/>
        <v>3000</v>
      </c>
      <c r="M13" s="293">
        <f t="shared" si="3"/>
        <v>3000</v>
      </c>
      <c r="N13" s="293">
        <f t="shared" si="4"/>
        <v>3500</v>
      </c>
      <c r="O13" s="293">
        <f t="shared" si="5"/>
        <v>3500</v>
      </c>
      <c r="P13" s="293">
        <f t="shared" si="6"/>
        <v>4000</v>
      </c>
      <c r="Q13" s="293">
        <f t="shared" si="7"/>
        <v>4000</v>
      </c>
      <c r="R13" s="293">
        <f t="shared" si="8"/>
        <v>5000</v>
      </c>
      <c r="S13" s="293">
        <f t="shared" si="9"/>
        <v>5000</v>
      </c>
      <c r="T13" s="293">
        <f t="shared" si="10"/>
        <v>6000</v>
      </c>
      <c r="U13" s="293">
        <f t="shared" si="11"/>
        <v>6000</v>
      </c>
      <c r="V13" s="293">
        <f t="shared" si="12"/>
        <v>7000</v>
      </c>
      <c r="W13" s="293">
        <f t="shared" si="13"/>
        <v>7000</v>
      </c>
    </row>
    <row r="14" spans="1:23" s="96" customFormat="1" x14ac:dyDescent="0.25">
      <c r="B14" s="276" t="str">
        <f>'Products (Export)'!C13</f>
        <v>Bread Premix - 6 G</v>
      </c>
      <c r="C14" s="419">
        <f>'Products (Export)'!H13</f>
        <v>108.71250000000001</v>
      </c>
      <c r="D14" s="293"/>
      <c r="E14" s="293"/>
      <c r="F14" s="293"/>
      <c r="G14" s="293"/>
      <c r="H14" s="293">
        <v>5000</v>
      </c>
      <c r="I14" s="293">
        <v>5000</v>
      </c>
      <c r="J14" s="293">
        <f t="shared" si="0"/>
        <v>7500</v>
      </c>
      <c r="K14" s="293">
        <f t="shared" si="1"/>
        <v>7500</v>
      </c>
      <c r="L14" s="293">
        <f t="shared" si="2"/>
        <v>15000</v>
      </c>
      <c r="M14" s="293">
        <f t="shared" si="3"/>
        <v>15000</v>
      </c>
      <c r="N14" s="293">
        <f t="shared" si="4"/>
        <v>17500</v>
      </c>
      <c r="O14" s="293">
        <f t="shared" si="5"/>
        <v>17500</v>
      </c>
      <c r="P14" s="293">
        <f t="shared" si="6"/>
        <v>20000</v>
      </c>
      <c r="Q14" s="293">
        <f t="shared" si="7"/>
        <v>20000</v>
      </c>
      <c r="R14" s="293">
        <f t="shared" si="8"/>
        <v>25000</v>
      </c>
      <c r="S14" s="293">
        <f t="shared" si="9"/>
        <v>25000</v>
      </c>
      <c r="T14" s="293">
        <f t="shared" si="10"/>
        <v>30000</v>
      </c>
      <c r="U14" s="293">
        <f t="shared" si="11"/>
        <v>30000</v>
      </c>
      <c r="V14" s="293">
        <f t="shared" si="12"/>
        <v>35000</v>
      </c>
      <c r="W14" s="293">
        <f t="shared" si="13"/>
        <v>35000</v>
      </c>
    </row>
    <row r="15" spans="1:23" s="96" customFormat="1" x14ac:dyDescent="0.25">
      <c r="B15" s="276" t="str">
        <f>'Products (Export)'!C14</f>
        <v>Bread Premix- W 100</v>
      </c>
      <c r="C15" s="419">
        <f>'Products (Export)'!H14</f>
        <v>105.40500000000002</v>
      </c>
      <c r="D15" s="293"/>
      <c r="E15" s="293"/>
      <c r="F15" s="293"/>
      <c r="G15" s="293"/>
      <c r="H15" s="293">
        <v>5000</v>
      </c>
      <c r="I15" s="293">
        <v>5000</v>
      </c>
      <c r="J15" s="293">
        <f t="shared" si="0"/>
        <v>7500</v>
      </c>
      <c r="K15" s="293">
        <f t="shared" si="1"/>
        <v>7500</v>
      </c>
      <c r="L15" s="293">
        <f t="shared" si="2"/>
        <v>15000</v>
      </c>
      <c r="M15" s="293">
        <f t="shared" si="3"/>
        <v>15000</v>
      </c>
      <c r="N15" s="293">
        <f t="shared" si="4"/>
        <v>17500</v>
      </c>
      <c r="O15" s="293">
        <f t="shared" si="5"/>
        <v>17500</v>
      </c>
      <c r="P15" s="293">
        <f t="shared" si="6"/>
        <v>20000</v>
      </c>
      <c r="Q15" s="293">
        <f t="shared" si="7"/>
        <v>20000</v>
      </c>
      <c r="R15" s="293">
        <f t="shared" si="8"/>
        <v>25000</v>
      </c>
      <c r="S15" s="293">
        <f t="shared" si="9"/>
        <v>25000</v>
      </c>
      <c r="T15" s="293">
        <f t="shared" si="10"/>
        <v>30000</v>
      </c>
      <c r="U15" s="293">
        <f t="shared" si="11"/>
        <v>30000</v>
      </c>
      <c r="V15" s="293">
        <f t="shared" si="12"/>
        <v>35000</v>
      </c>
      <c r="W15" s="293">
        <f t="shared" si="13"/>
        <v>35000</v>
      </c>
    </row>
    <row r="16" spans="1:23" s="96" customFormat="1" x14ac:dyDescent="0.25">
      <c r="B16" s="276"/>
      <c r="C16" s="281"/>
      <c r="D16" s="78"/>
      <c r="E16" s="78">
        <f>SUM(E7:E15)</f>
        <v>0</v>
      </c>
      <c r="F16" s="78">
        <f t="shared" ref="F16:W16" si="14">SUM(F7:F15)</f>
        <v>0</v>
      </c>
      <c r="G16" s="78">
        <f t="shared" si="14"/>
        <v>0</v>
      </c>
      <c r="H16" s="78">
        <f t="shared" si="14"/>
        <v>22000</v>
      </c>
      <c r="I16" s="78">
        <f t="shared" si="14"/>
        <v>22000</v>
      </c>
      <c r="J16" s="78">
        <f t="shared" si="14"/>
        <v>33000</v>
      </c>
      <c r="K16" s="78">
        <f t="shared" si="14"/>
        <v>33000</v>
      </c>
      <c r="L16" s="78">
        <f t="shared" si="14"/>
        <v>66000</v>
      </c>
      <c r="M16" s="78">
        <f t="shared" si="14"/>
        <v>66000</v>
      </c>
      <c r="N16" s="78">
        <f t="shared" si="14"/>
        <v>77000</v>
      </c>
      <c r="O16" s="78">
        <f t="shared" si="14"/>
        <v>77000</v>
      </c>
      <c r="P16" s="78">
        <f t="shared" si="14"/>
        <v>88000</v>
      </c>
      <c r="Q16" s="78">
        <f t="shared" si="14"/>
        <v>88000</v>
      </c>
      <c r="R16" s="78">
        <f t="shared" si="14"/>
        <v>110000</v>
      </c>
      <c r="S16" s="78">
        <f t="shared" si="14"/>
        <v>110000</v>
      </c>
      <c r="T16" s="78">
        <f t="shared" si="14"/>
        <v>132000</v>
      </c>
      <c r="U16" s="78">
        <f t="shared" si="14"/>
        <v>132000</v>
      </c>
      <c r="V16" s="78">
        <f t="shared" si="14"/>
        <v>154000</v>
      </c>
      <c r="W16" s="78">
        <f t="shared" si="14"/>
        <v>154000</v>
      </c>
    </row>
    <row r="17" spans="2:23" s="96" customFormat="1" x14ac:dyDescent="0.25">
      <c r="B17" s="276"/>
      <c r="C17" s="281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</row>
    <row r="18" spans="2:23" s="96" customFormat="1" x14ac:dyDescent="0.25">
      <c r="B18" s="219" t="s">
        <v>370</v>
      </c>
      <c r="C18" s="281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</row>
    <row r="19" spans="2:23" s="96" customFormat="1" x14ac:dyDescent="0.25">
      <c r="B19" s="276" t="str">
        <f>'Products (Export)'!C6</f>
        <v>GF, Lf COOKIE (VANILLA / CHOCOLATE)</v>
      </c>
      <c r="C19" s="281"/>
      <c r="D19" s="88">
        <f t="shared" ref="D19:W19" si="15">$C7*D7</f>
        <v>0</v>
      </c>
      <c r="E19" s="88">
        <f t="shared" si="15"/>
        <v>0</v>
      </c>
      <c r="F19" s="88">
        <f t="shared" si="15"/>
        <v>0</v>
      </c>
      <c r="G19" s="88">
        <f t="shared" si="15"/>
        <v>0</v>
      </c>
      <c r="H19" s="88">
        <f t="shared" si="15"/>
        <v>386997.51999999996</v>
      </c>
      <c r="I19" s="88">
        <f t="shared" si="15"/>
        <v>386997.51999999996</v>
      </c>
      <c r="J19" s="88">
        <f t="shared" si="15"/>
        <v>580496.27999999991</v>
      </c>
      <c r="K19" s="88">
        <f t="shared" si="15"/>
        <v>580496.27999999991</v>
      </c>
      <c r="L19" s="88">
        <f t="shared" si="15"/>
        <v>1160992.5599999998</v>
      </c>
      <c r="M19" s="88">
        <f t="shared" si="15"/>
        <v>1160992.5599999998</v>
      </c>
      <c r="N19" s="88">
        <f t="shared" si="15"/>
        <v>1354491.3199999998</v>
      </c>
      <c r="O19" s="88">
        <f t="shared" si="15"/>
        <v>1354491.3199999998</v>
      </c>
      <c r="P19" s="88">
        <f t="shared" si="15"/>
        <v>1547990.0799999998</v>
      </c>
      <c r="Q19" s="88">
        <f t="shared" si="15"/>
        <v>1547990.0799999998</v>
      </c>
      <c r="R19" s="88">
        <f t="shared" si="15"/>
        <v>1934987.5999999999</v>
      </c>
      <c r="S19" s="88">
        <f t="shared" si="15"/>
        <v>1934987.5999999999</v>
      </c>
      <c r="T19" s="88">
        <f t="shared" si="15"/>
        <v>2321985.1199999996</v>
      </c>
      <c r="U19" s="88">
        <f t="shared" si="15"/>
        <v>2321985.1199999996</v>
      </c>
      <c r="V19" s="88">
        <f t="shared" si="15"/>
        <v>2708982.6399999997</v>
      </c>
      <c r="W19" s="88">
        <f t="shared" si="15"/>
        <v>2708982.6399999997</v>
      </c>
    </row>
    <row r="20" spans="2:23" s="96" customFormat="1" x14ac:dyDescent="0.25">
      <c r="B20" s="276" t="str">
        <f>'Products (Export)'!C7</f>
        <v>MULTIGRAIN JAGGERY COOKIE</v>
      </c>
      <c r="C20" s="281"/>
      <c r="D20" s="88">
        <f t="shared" ref="D20:W20" si="16">$C8*D8</f>
        <v>0</v>
      </c>
      <c r="E20" s="88">
        <f t="shared" si="16"/>
        <v>0</v>
      </c>
      <c r="F20" s="88">
        <f t="shared" si="16"/>
        <v>0</v>
      </c>
      <c r="G20" s="88">
        <f t="shared" si="16"/>
        <v>0</v>
      </c>
      <c r="H20" s="88">
        <f t="shared" si="16"/>
        <v>364883.37599999993</v>
      </c>
      <c r="I20" s="88">
        <f t="shared" si="16"/>
        <v>364883.37599999993</v>
      </c>
      <c r="J20" s="88">
        <f t="shared" si="16"/>
        <v>547325.0639999999</v>
      </c>
      <c r="K20" s="88">
        <f t="shared" si="16"/>
        <v>547325.0639999999</v>
      </c>
      <c r="L20" s="88">
        <f t="shared" si="16"/>
        <v>1094650.1279999998</v>
      </c>
      <c r="M20" s="88">
        <f t="shared" si="16"/>
        <v>1094650.1279999998</v>
      </c>
      <c r="N20" s="88">
        <f t="shared" si="16"/>
        <v>1277091.8159999999</v>
      </c>
      <c r="O20" s="88">
        <f t="shared" si="16"/>
        <v>1277091.8159999999</v>
      </c>
      <c r="P20" s="88">
        <f t="shared" si="16"/>
        <v>1459533.5039999997</v>
      </c>
      <c r="Q20" s="88">
        <f t="shared" si="16"/>
        <v>1459533.5039999997</v>
      </c>
      <c r="R20" s="88">
        <f t="shared" si="16"/>
        <v>1824416.8799999997</v>
      </c>
      <c r="S20" s="88">
        <f t="shared" si="16"/>
        <v>1824416.8799999997</v>
      </c>
      <c r="T20" s="88">
        <f t="shared" si="16"/>
        <v>2189300.2559999996</v>
      </c>
      <c r="U20" s="88">
        <f t="shared" si="16"/>
        <v>2189300.2559999996</v>
      </c>
      <c r="V20" s="88">
        <f t="shared" si="16"/>
        <v>2554183.6319999998</v>
      </c>
      <c r="W20" s="88">
        <f t="shared" si="16"/>
        <v>2554183.6319999998</v>
      </c>
    </row>
    <row r="21" spans="2:23" s="96" customFormat="1" x14ac:dyDescent="0.25">
      <c r="B21" s="276" t="str">
        <f>'Products (Export)'!C8</f>
        <v>PASTA PREMIX</v>
      </c>
      <c r="C21" s="281"/>
      <c r="D21" s="88">
        <f t="shared" ref="D21:W21" si="17">$C9*D9</f>
        <v>0</v>
      </c>
      <c r="E21" s="88">
        <f t="shared" si="17"/>
        <v>0</v>
      </c>
      <c r="F21" s="88">
        <f t="shared" si="17"/>
        <v>0</v>
      </c>
      <c r="G21" s="88">
        <f t="shared" si="17"/>
        <v>0</v>
      </c>
      <c r="H21" s="88">
        <f t="shared" si="17"/>
        <v>1325000</v>
      </c>
      <c r="I21" s="88">
        <f t="shared" si="17"/>
        <v>1325000</v>
      </c>
      <c r="J21" s="88">
        <f t="shared" si="17"/>
        <v>1987500</v>
      </c>
      <c r="K21" s="88">
        <f t="shared" si="17"/>
        <v>1987500</v>
      </c>
      <c r="L21" s="88">
        <f t="shared" si="17"/>
        <v>3975000</v>
      </c>
      <c r="M21" s="88">
        <f t="shared" si="17"/>
        <v>3975000</v>
      </c>
      <c r="N21" s="88">
        <f t="shared" si="17"/>
        <v>4637500</v>
      </c>
      <c r="O21" s="88">
        <f t="shared" si="17"/>
        <v>4637500</v>
      </c>
      <c r="P21" s="88">
        <f t="shared" si="17"/>
        <v>5300000</v>
      </c>
      <c r="Q21" s="88">
        <f t="shared" si="17"/>
        <v>5300000</v>
      </c>
      <c r="R21" s="88">
        <f t="shared" si="17"/>
        <v>6625000</v>
      </c>
      <c r="S21" s="88">
        <f t="shared" si="17"/>
        <v>6625000</v>
      </c>
      <c r="T21" s="88">
        <f t="shared" si="17"/>
        <v>7950000</v>
      </c>
      <c r="U21" s="88">
        <f t="shared" si="17"/>
        <v>7950000</v>
      </c>
      <c r="V21" s="88">
        <f t="shared" si="17"/>
        <v>9275000</v>
      </c>
      <c r="W21" s="88">
        <f t="shared" si="17"/>
        <v>9275000</v>
      </c>
    </row>
    <row r="22" spans="2:23" s="96" customFormat="1" x14ac:dyDescent="0.25">
      <c r="B22" s="276" t="str">
        <f>'Products (Export)'!C9</f>
        <v>PASTA</v>
      </c>
      <c r="C22" s="281"/>
      <c r="D22" s="88">
        <f t="shared" ref="D22:W22" si="18">$C10*D10</f>
        <v>0</v>
      </c>
      <c r="E22" s="88">
        <f t="shared" si="18"/>
        <v>0</v>
      </c>
      <c r="F22" s="88">
        <f t="shared" si="18"/>
        <v>0</v>
      </c>
      <c r="G22" s="88">
        <f t="shared" si="18"/>
        <v>0</v>
      </c>
      <c r="H22" s="88">
        <f t="shared" si="18"/>
        <v>705253.78560000006</v>
      </c>
      <c r="I22" s="88">
        <f t="shared" si="18"/>
        <v>705253.78560000006</v>
      </c>
      <c r="J22" s="88">
        <f t="shared" si="18"/>
        <v>1057880.6784000001</v>
      </c>
      <c r="K22" s="88">
        <f t="shared" si="18"/>
        <v>1057880.6784000001</v>
      </c>
      <c r="L22" s="88">
        <f t="shared" si="18"/>
        <v>2115761.3568000002</v>
      </c>
      <c r="M22" s="88">
        <f t="shared" si="18"/>
        <v>2115761.3568000002</v>
      </c>
      <c r="N22" s="88">
        <f t="shared" si="18"/>
        <v>2468388.2496000002</v>
      </c>
      <c r="O22" s="88">
        <f t="shared" si="18"/>
        <v>2468388.2496000002</v>
      </c>
      <c r="P22" s="88">
        <f t="shared" si="18"/>
        <v>2821015.1424000002</v>
      </c>
      <c r="Q22" s="88">
        <f t="shared" si="18"/>
        <v>2821015.1424000002</v>
      </c>
      <c r="R22" s="88">
        <f t="shared" si="18"/>
        <v>3526268.9280000003</v>
      </c>
      <c r="S22" s="88">
        <f t="shared" si="18"/>
        <v>3526268.9280000003</v>
      </c>
      <c r="T22" s="88">
        <f t="shared" si="18"/>
        <v>4231522.7136000004</v>
      </c>
      <c r="U22" s="88">
        <f t="shared" si="18"/>
        <v>4231522.7136000004</v>
      </c>
      <c r="V22" s="88">
        <f t="shared" si="18"/>
        <v>4936776.4992000004</v>
      </c>
      <c r="W22" s="88">
        <f t="shared" si="18"/>
        <v>4936776.4992000004</v>
      </c>
    </row>
    <row r="23" spans="2:23" s="96" customFormat="1" x14ac:dyDescent="0.25">
      <c r="B23" s="276" t="str">
        <f>'Products (Export)'!C10</f>
        <v>Cake Premix - GF</v>
      </c>
      <c r="C23" s="281"/>
      <c r="D23" s="88">
        <f t="shared" ref="D23:W23" si="19">$C11*D11</f>
        <v>0</v>
      </c>
      <c r="E23" s="88">
        <f t="shared" si="19"/>
        <v>0</v>
      </c>
      <c r="F23" s="88">
        <f t="shared" si="19"/>
        <v>0</v>
      </c>
      <c r="G23" s="88">
        <f t="shared" si="19"/>
        <v>0</v>
      </c>
      <c r="H23" s="88">
        <f t="shared" si="19"/>
        <v>358428.75</v>
      </c>
      <c r="I23" s="88">
        <f t="shared" si="19"/>
        <v>358428.75</v>
      </c>
      <c r="J23" s="88">
        <f t="shared" si="19"/>
        <v>537643.125</v>
      </c>
      <c r="K23" s="88">
        <f t="shared" si="19"/>
        <v>537643.125</v>
      </c>
      <c r="L23" s="88">
        <f t="shared" si="19"/>
        <v>1075286.25</v>
      </c>
      <c r="M23" s="88">
        <f t="shared" si="19"/>
        <v>1075286.25</v>
      </c>
      <c r="N23" s="88">
        <f t="shared" si="19"/>
        <v>1254500.625</v>
      </c>
      <c r="O23" s="88">
        <f t="shared" si="19"/>
        <v>1254500.625</v>
      </c>
      <c r="P23" s="88">
        <f t="shared" si="19"/>
        <v>1433715</v>
      </c>
      <c r="Q23" s="88">
        <f t="shared" si="19"/>
        <v>1433715</v>
      </c>
      <c r="R23" s="88">
        <f t="shared" si="19"/>
        <v>1792143.75</v>
      </c>
      <c r="S23" s="88">
        <f t="shared" si="19"/>
        <v>1792143.75</v>
      </c>
      <c r="T23" s="88">
        <f t="shared" si="19"/>
        <v>2150572.5</v>
      </c>
      <c r="U23" s="88">
        <f t="shared" si="19"/>
        <v>2150572.5</v>
      </c>
      <c r="V23" s="88">
        <f t="shared" si="19"/>
        <v>2509001.25</v>
      </c>
      <c r="W23" s="88">
        <f t="shared" si="19"/>
        <v>2509001.25</v>
      </c>
    </row>
    <row r="24" spans="2:23" s="96" customFormat="1" x14ac:dyDescent="0.25">
      <c r="B24" s="276" t="str">
        <f>'Products (Export)'!C11</f>
        <v>Cake Premix - NAS</v>
      </c>
      <c r="C24" s="281"/>
      <c r="D24" s="88">
        <f t="shared" ref="D24:W24" si="20">$C12*D12</f>
        <v>0</v>
      </c>
      <c r="E24" s="88">
        <f t="shared" si="20"/>
        <v>0</v>
      </c>
      <c r="F24" s="88">
        <f t="shared" si="20"/>
        <v>0</v>
      </c>
      <c r="G24" s="88">
        <f t="shared" si="20"/>
        <v>0</v>
      </c>
      <c r="H24" s="88">
        <f t="shared" si="20"/>
        <v>468678.75000000012</v>
      </c>
      <c r="I24" s="88">
        <f t="shared" si="20"/>
        <v>468678.75000000012</v>
      </c>
      <c r="J24" s="88">
        <f t="shared" si="20"/>
        <v>703018.12500000012</v>
      </c>
      <c r="K24" s="88">
        <f t="shared" si="20"/>
        <v>703018.12500000012</v>
      </c>
      <c r="L24" s="88">
        <f t="shared" si="20"/>
        <v>1406036.2500000002</v>
      </c>
      <c r="M24" s="88">
        <f t="shared" si="20"/>
        <v>1406036.2500000002</v>
      </c>
      <c r="N24" s="88">
        <f t="shared" si="20"/>
        <v>1640375.6250000002</v>
      </c>
      <c r="O24" s="88">
        <f t="shared" si="20"/>
        <v>1640375.6250000002</v>
      </c>
      <c r="P24" s="88">
        <f t="shared" si="20"/>
        <v>1874715.0000000005</v>
      </c>
      <c r="Q24" s="88">
        <f t="shared" si="20"/>
        <v>1874715.0000000005</v>
      </c>
      <c r="R24" s="88">
        <f t="shared" si="20"/>
        <v>2343393.7500000005</v>
      </c>
      <c r="S24" s="88">
        <f t="shared" si="20"/>
        <v>2343393.7500000005</v>
      </c>
      <c r="T24" s="88">
        <f t="shared" si="20"/>
        <v>2812072.5000000005</v>
      </c>
      <c r="U24" s="88">
        <f t="shared" si="20"/>
        <v>2812072.5000000005</v>
      </c>
      <c r="V24" s="88">
        <f t="shared" si="20"/>
        <v>3280751.2500000005</v>
      </c>
      <c r="W24" s="88">
        <f t="shared" si="20"/>
        <v>3280751.2500000005</v>
      </c>
    </row>
    <row r="25" spans="2:23" s="96" customFormat="1" x14ac:dyDescent="0.25">
      <c r="B25" s="276" t="str">
        <f>'Products (Export)'!C12</f>
        <v>Bread - GF</v>
      </c>
      <c r="C25" s="281"/>
      <c r="D25" s="88">
        <f t="shared" ref="D25:W25" si="21">$C13*D13</f>
        <v>0</v>
      </c>
      <c r="E25" s="88">
        <f t="shared" si="21"/>
        <v>0</v>
      </c>
      <c r="F25" s="88">
        <f t="shared" si="21"/>
        <v>0</v>
      </c>
      <c r="G25" s="88">
        <f t="shared" si="21"/>
        <v>0</v>
      </c>
      <c r="H25" s="88">
        <f t="shared" si="21"/>
        <v>384337.50000000006</v>
      </c>
      <c r="I25" s="88">
        <f t="shared" si="21"/>
        <v>384337.50000000006</v>
      </c>
      <c r="J25" s="88">
        <f t="shared" si="21"/>
        <v>576506.25</v>
      </c>
      <c r="K25" s="88">
        <f t="shared" si="21"/>
        <v>576506.25</v>
      </c>
      <c r="L25" s="88">
        <f t="shared" si="21"/>
        <v>1153012.5</v>
      </c>
      <c r="M25" s="88">
        <f t="shared" si="21"/>
        <v>1153012.5</v>
      </c>
      <c r="N25" s="88">
        <f t="shared" si="21"/>
        <v>1345181.2500000002</v>
      </c>
      <c r="O25" s="88">
        <f t="shared" si="21"/>
        <v>1345181.2500000002</v>
      </c>
      <c r="P25" s="88">
        <f t="shared" si="21"/>
        <v>1537350.0000000002</v>
      </c>
      <c r="Q25" s="88">
        <f t="shared" si="21"/>
        <v>1537350.0000000002</v>
      </c>
      <c r="R25" s="88">
        <f t="shared" si="21"/>
        <v>1921687.5000000002</v>
      </c>
      <c r="S25" s="88">
        <f t="shared" si="21"/>
        <v>1921687.5000000002</v>
      </c>
      <c r="T25" s="88">
        <f t="shared" si="21"/>
        <v>2306025</v>
      </c>
      <c r="U25" s="88">
        <f t="shared" si="21"/>
        <v>2306025</v>
      </c>
      <c r="V25" s="88">
        <f t="shared" si="21"/>
        <v>2690362.5000000005</v>
      </c>
      <c r="W25" s="88">
        <f t="shared" si="21"/>
        <v>2690362.5000000005</v>
      </c>
    </row>
    <row r="26" spans="2:23" s="96" customFormat="1" x14ac:dyDescent="0.25">
      <c r="B26" s="276" t="str">
        <f>'Products (Export)'!C13</f>
        <v>Bread Premix - 6 G</v>
      </c>
      <c r="C26" s="281"/>
      <c r="D26" s="88">
        <f t="shared" ref="D26:W26" si="22">$C14*D14</f>
        <v>0</v>
      </c>
      <c r="E26" s="88">
        <f t="shared" si="22"/>
        <v>0</v>
      </c>
      <c r="F26" s="88">
        <f t="shared" si="22"/>
        <v>0</v>
      </c>
      <c r="G26" s="88">
        <f t="shared" si="22"/>
        <v>0</v>
      </c>
      <c r="H26" s="88">
        <f t="shared" si="22"/>
        <v>543562.5</v>
      </c>
      <c r="I26" s="88">
        <f t="shared" si="22"/>
        <v>543562.5</v>
      </c>
      <c r="J26" s="88">
        <f t="shared" si="22"/>
        <v>815343.75</v>
      </c>
      <c r="K26" s="88">
        <f t="shared" si="22"/>
        <v>815343.75</v>
      </c>
      <c r="L26" s="88">
        <f t="shared" si="22"/>
        <v>1630687.5</v>
      </c>
      <c r="M26" s="88">
        <f t="shared" si="22"/>
        <v>1630687.5</v>
      </c>
      <c r="N26" s="88">
        <f t="shared" si="22"/>
        <v>1902468.75</v>
      </c>
      <c r="O26" s="88">
        <f t="shared" si="22"/>
        <v>1902468.75</v>
      </c>
      <c r="P26" s="88">
        <f t="shared" si="22"/>
        <v>2174250</v>
      </c>
      <c r="Q26" s="88">
        <f t="shared" si="22"/>
        <v>2174250</v>
      </c>
      <c r="R26" s="88">
        <f t="shared" si="22"/>
        <v>2717812.5</v>
      </c>
      <c r="S26" s="88">
        <f t="shared" si="22"/>
        <v>2717812.5</v>
      </c>
      <c r="T26" s="88">
        <f t="shared" si="22"/>
        <v>3261375</v>
      </c>
      <c r="U26" s="88">
        <f t="shared" si="22"/>
        <v>3261375</v>
      </c>
      <c r="V26" s="88">
        <f t="shared" si="22"/>
        <v>3804937.5</v>
      </c>
      <c r="W26" s="88">
        <f t="shared" si="22"/>
        <v>3804937.5</v>
      </c>
    </row>
    <row r="27" spans="2:23" s="96" customFormat="1" x14ac:dyDescent="0.25">
      <c r="B27" s="276" t="str">
        <f>'Products (Export)'!C14</f>
        <v>Bread Premix- W 100</v>
      </c>
      <c r="C27" s="281"/>
      <c r="D27" s="88">
        <f t="shared" ref="D27:W27" si="23">$C15*D15</f>
        <v>0</v>
      </c>
      <c r="E27" s="88">
        <f t="shared" si="23"/>
        <v>0</v>
      </c>
      <c r="F27" s="88">
        <f t="shared" si="23"/>
        <v>0</v>
      </c>
      <c r="G27" s="88">
        <f t="shared" si="23"/>
        <v>0</v>
      </c>
      <c r="H27" s="88">
        <f t="shared" si="23"/>
        <v>527025.00000000012</v>
      </c>
      <c r="I27" s="88">
        <f t="shared" si="23"/>
        <v>527025.00000000012</v>
      </c>
      <c r="J27" s="88">
        <f t="shared" si="23"/>
        <v>790537.50000000012</v>
      </c>
      <c r="K27" s="88">
        <f t="shared" si="23"/>
        <v>790537.50000000012</v>
      </c>
      <c r="L27" s="88">
        <f t="shared" si="23"/>
        <v>1581075.0000000002</v>
      </c>
      <c r="M27" s="88">
        <f t="shared" si="23"/>
        <v>1581075.0000000002</v>
      </c>
      <c r="N27" s="88">
        <f t="shared" si="23"/>
        <v>1844587.5000000002</v>
      </c>
      <c r="O27" s="88">
        <f t="shared" si="23"/>
        <v>1844587.5000000002</v>
      </c>
      <c r="P27" s="88">
        <f t="shared" si="23"/>
        <v>2108100.0000000005</v>
      </c>
      <c r="Q27" s="88">
        <f t="shared" si="23"/>
        <v>2108100.0000000005</v>
      </c>
      <c r="R27" s="88">
        <f t="shared" si="23"/>
        <v>2635125.0000000005</v>
      </c>
      <c r="S27" s="88">
        <f t="shared" si="23"/>
        <v>2635125.0000000005</v>
      </c>
      <c r="T27" s="88">
        <f t="shared" si="23"/>
        <v>3162150.0000000005</v>
      </c>
      <c r="U27" s="88">
        <f t="shared" si="23"/>
        <v>3162150.0000000005</v>
      </c>
      <c r="V27" s="88">
        <f t="shared" si="23"/>
        <v>3689175.0000000005</v>
      </c>
      <c r="W27" s="88">
        <f t="shared" si="23"/>
        <v>3689175.0000000005</v>
      </c>
    </row>
    <row r="28" spans="2:23" s="96" customFormat="1" x14ac:dyDescent="0.25">
      <c r="B28" s="288" t="s">
        <v>138</v>
      </c>
      <c r="C28" s="281"/>
      <c r="D28" s="78">
        <f t="shared" ref="D28:E28" si="24">SUM(D19:D27)</f>
        <v>0</v>
      </c>
      <c r="E28" s="78">
        <f t="shared" si="24"/>
        <v>0</v>
      </c>
      <c r="F28" s="78">
        <f>SUM(F19:F27)</f>
        <v>0</v>
      </c>
      <c r="G28" s="78">
        <f t="shared" ref="G28:W28" si="25">SUM(G19:G27)</f>
        <v>0</v>
      </c>
      <c r="H28" s="78">
        <f t="shared" si="25"/>
        <v>5064167.1815999998</v>
      </c>
      <c r="I28" s="78">
        <f t="shared" si="25"/>
        <v>5064167.1815999998</v>
      </c>
      <c r="J28" s="78">
        <f t="shared" si="25"/>
        <v>7596250.7723999992</v>
      </c>
      <c r="K28" s="78">
        <f t="shared" si="25"/>
        <v>7596250.7723999992</v>
      </c>
      <c r="L28" s="78">
        <f t="shared" si="25"/>
        <v>15192501.544799998</v>
      </c>
      <c r="M28" s="78">
        <f t="shared" si="25"/>
        <v>15192501.544799998</v>
      </c>
      <c r="N28" s="78">
        <f t="shared" si="25"/>
        <v>17724585.135600001</v>
      </c>
      <c r="O28" s="78">
        <f t="shared" si="25"/>
        <v>17724585.135600001</v>
      </c>
      <c r="P28" s="78">
        <f t="shared" si="25"/>
        <v>20256668.726399999</v>
      </c>
      <c r="Q28" s="78">
        <f t="shared" si="25"/>
        <v>20256668.726399999</v>
      </c>
      <c r="R28" s="78">
        <f t="shared" si="25"/>
        <v>25320835.908</v>
      </c>
      <c r="S28" s="78">
        <f t="shared" si="25"/>
        <v>25320835.908</v>
      </c>
      <c r="T28" s="78">
        <f t="shared" si="25"/>
        <v>30385003.089599997</v>
      </c>
      <c r="U28" s="78">
        <f t="shared" si="25"/>
        <v>30385003.089599997</v>
      </c>
      <c r="V28" s="78">
        <f t="shared" si="25"/>
        <v>35449170.271200001</v>
      </c>
      <c r="W28" s="78">
        <f t="shared" si="25"/>
        <v>35449170.271200001</v>
      </c>
    </row>
    <row r="29" spans="2:23" s="96" customFormat="1" x14ac:dyDescent="0.25">
      <c r="B29" s="289" t="s">
        <v>135</v>
      </c>
      <c r="C29" s="281"/>
      <c r="D29" s="88"/>
      <c r="E29" s="277"/>
      <c r="F29" s="277"/>
      <c r="G29" s="277"/>
      <c r="H29" s="277"/>
      <c r="I29" s="277">
        <f t="shared" ref="I29:W29" si="26">I28/H28-1</f>
        <v>0</v>
      </c>
      <c r="J29" s="277">
        <f t="shared" si="26"/>
        <v>0.5</v>
      </c>
      <c r="K29" s="277">
        <f t="shared" si="26"/>
        <v>0</v>
      </c>
      <c r="L29" s="277">
        <f t="shared" si="26"/>
        <v>1</v>
      </c>
      <c r="M29" s="277">
        <f t="shared" si="26"/>
        <v>0</v>
      </c>
      <c r="N29" s="277">
        <f t="shared" si="26"/>
        <v>0.16666666666666674</v>
      </c>
      <c r="O29" s="277">
        <f t="shared" si="26"/>
        <v>0</v>
      </c>
      <c r="P29" s="277">
        <f t="shared" si="26"/>
        <v>0.14285714285714279</v>
      </c>
      <c r="Q29" s="277">
        <f t="shared" si="26"/>
        <v>0</v>
      </c>
      <c r="R29" s="277">
        <f t="shared" si="26"/>
        <v>0.25</v>
      </c>
      <c r="S29" s="277">
        <f t="shared" si="26"/>
        <v>0</v>
      </c>
      <c r="T29" s="277">
        <f t="shared" si="26"/>
        <v>0.19999999999999996</v>
      </c>
      <c r="U29" s="277">
        <f t="shared" si="26"/>
        <v>0</v>
      </c>
      <c r="V29" s="277">
        <f t="shared" si="26"/>
        <v>0.16666666666666674</v>
      </c>
      <c r="W29" s="277">
        <f t="shared" si="26"/>
        <v>0</v>
      </c>
    </row>
    <row r="30" spans="2:23" s="96" customFormat="1" x14ac:dyDescent="0.25">
      <c r="B30" s="289"/>
      <c r="C30" s="281"/>
      <c r="D30" s="88"/>
      <c r="E30" s="277"/>
      <c r="F30" s="88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</row>
    <row r="31" spans="2:23" s="96" customFormat="1" x14ac:dyDescent="0.25">
      <c r="B31" s="219" t="s">
        <v>371</v>
      </c>
      <c r="C31" s="281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2:23" s="96" customFormat="1" x14ac:dyDescent="0.25">
      <c r="B32" s="276" t="str">
        <f>B19</f>
        <v>GF, Lf COOKIE (VANILLA / CHOCOLATE)</v>
      </c>
      <c r="C32" s="281">
        <f>'Products (Export)'!F6</f>
        <v>290</v>
      </c>
      <c r="D32" s="88"/>
      <c r="E32" s="88">
        <f t="shared" ref="E32:W32" si="27">$C32*E7</f>
        <v>0</v>
      </c>
      <c r="F32" s="88">
        <f t="shared" si="27"/>
        <v>0</v>
      </c>
      <c r="G32" s="88">
        <f t="shared" si="27"/>
        <v>0</v>
      </c>
      <c r="H32" s="88">
        <f t="shared" si="27"/>
        <v>290000</v>
      </c>
      <c r="I32" s="88">
        <f t="shared" si="27"/>
        <v>290000</v>
      </c>
      <c r="J32" s="88">
        <f t="shared" si="27"/>
        <v>435000</v>
      </c>
      <c r="K32" s="88">
        <f t="shared" si="27"/>
        <v>435000</v>
      </c>
      <c r="L32" s="88">
        <f t="shared" si="27"/>
        <v>870000</v>
      </c>
      <c r="M32" s="88">
        <f t="shared" si="27"/>
        <v>870000</v>
      </c>
      <c r="N32" s="88">
        <f t="shared" si="27"/>
        <v>1015000</v>
      </c>
      <c r="O32" s="88">
        <f t="shared" si="27"/>
        <v>1015000</v>
      </c>
      <c r="P32" s="88">
        <f t="shared" si="27"/>
        <v>1160000</v>
      </c>
      <c r="Q32" s="88">
        <f t="shared" si="27"/>
        <v>1160000</v>
      </c>
      <c r="R32" s="88">
        <f t="shared" si="27"/>
        <v>1450000</v>
      </c>
      <c r="S32" s="88">
        <f t="shared" si="27"/>
        <v>1450000</v>
      </c>
      <c r="T32" s="88">
        <f t="shared" si="27"/>
        <v>1740000</v>
      </c>
      <c r="U32" s="88">
        <f t="shared" si="27"/>
        <v>1740000</v>
      </c>
      <c r="V32" s="88">
        <f t="shared" si="27"/>
        <v>2030000</v>
      </c>
      <c r="W32" s="88">
        <f t="shared" si="27"/>
        <v>2030000</v>
      </c>
    </row>
    <row r="33" spans="2:23" s="96" customFormat="1" x14ac:dyDescent="0.25">
      <c r="B33" s="276" t="str">
        <f t="shared" ref="B33:B40" si="28">B20</f>
        <v>MULTIGRAIN JAGGERY COOKIE</v>
      </c>
      <c r="C33" s="281">
        <f>'Products (Export)'!F7</f>
        <v>290</v>
      </c>
      <c r="D33" s="88"/>
      <c r="E33" s="88">
        <f t="shared" ref="E33:W33" si="29">$C33*E8</f>
        <v>0</v>
      </c>
      <c r="F33" s="88">
        <f t="shared" si="29"/>
        <v>0</v>
      </c>
      <c r="G33" s="88">
        <f t="shared" si="29"/>
        <v>0</v>
      </c>
      <c r="H33" s="88">
        <f t="shared" si="29"/>
        <v>290000</v>
      </c>
      <c r="I33" s="88">
        <f t="shared" si="29"/>
        <v>290000</v>
      </c>
      <c r="J33" s="88">
        <f t="shared" si="29"/>
        <v>435000</v>
      </c>
      <c r="K33" s="88">
        <f t="shared" si="29"/>
        <v>435000</v>
      </c>
      <c r="L33" s="88">
        <f t="shared" si="29"/>
        <v>870000</v>
      </c>
      <c r="M33" s="88">
        <f t="shared" si="29"/>
        <v>870000</v>
      </c>
      <c r="N33" s="88">
        <f t="shared" si="29"/>
        <v>1015000</v>
      </c>
      <c r="O33" s="88">
        <f t="shared" si="29"/>
        <v>1015000</v>
      </c>
      <c r="P33" s="88">
        <f t="shared" si="29"/>
        <v>1160000</v>
      </c>
      <c r="Q33" s="88">
        <f t="shared" si="29"/>
        <v>1160000</v>
      </c>
      <c r="R33" s="88">
        <f t="shared" si="29"/>
        <v>1450000</v>
      </c>
      <c r="S33" s="88">
        <f t="shared" si="29"/>
        <v>1450000</v>
      </c>
      <c r="T33" s="88">
        <f t="shared" si="29"/>
        <v>1740000</v>
      </c>
      <c r="U33" s="88">
        <f t="shared" si="29"/>
        <v>1740000</v>
      </c>
      <c r="V33" s="88">
        <f t="shared" si="29"/>
        <v>2030000</v>
      </c>
      <c r="W33" s="88">
        <f t="shared" si="29"/>
        <v>2030000</v>
      </c>
    </row>
    <row r="34" spans="2:23" s="96" customFormat="1" x14ac:dyDescent="0.25">
      <c r="B34" s="276" t="str">
        <f t="shared" si="28"/>
        <v>PASTA PREMIX</v>
      </c>
      <c r="C34" s="281">
        <f>'Products (Export)'!F8</f>
        <v>125</v>
      </c>
      <c r="D34" s="88"/>
      <c r="E34" s="88">
        <f t="shared" ref="E34:W34" si="30">$C34*E9</f>
        <v>0</v>
      </c>
      <c r="F34" s="88">
        <f t="shared" si="30"/>
        <v>0</v>
      </c>
      <c r="G34" s="88">
        <f t="shared" si="30"/>
        <v>0</v>
      </c>
      <c r="H34" s="88">
        <f t="shared" si="30"/>
        <v>625000</v>
      </c>
      <c r="I34" s="88">
        <f t="shared" si="30"/>
        <v>625000</v>
      </c>
      <c r="J34" s="88">
        <f t="shared" si="30"/>
        <v>937500</v>
      </c>
      <c r="K34" s="88">
        <f t="shared" si="30"/>
        <v>937500</v>
      </c>
      <c r="L34" s="88">
        <f t="shared" si="30"/>
        <v>1875000</v>
      </c>
      <c r="M34" s="88">
        <f t="shared" si="30"/>
        <v>1875000</v>
      </c>
      <c r="N34" s="88">
        <f t="shared" si="30"/>
        <v>2187500</v>
      </c>
      <c r="O34" s="88">
        <f t="shared" si="30"/>
        <v>2187500</v>
      </c>
      <c r="P34" s="88">
        <f t="shared" si="30"/>
        <v>2500000</v>
      </c>
      <c r="Q34" s="88">
        <f t="shared" si="30"/>
        <v>2500000</v>
      </c>
      <c r="R34" s="88">
        <f t="shared" si="30"/>
        <v>3125000</v>
      </c>
      <c r="S34" s="88">
        <f t="shared" si="30"/>
        <v>3125000</v>
      </c>
      <c r="T34" s="88">
        <f t="shared" si="30"/>
        <v>3750000</v>
      </c>
      <c r="U34" s="88">
        <f t="shared" si="30"/>
        <v>3750000</v>
      </c>
      <c r="V34" s="88">
        <f t="shared" si="30"/>
        <v>4375000</v>
      </c>
      <c r="W34" s="88">
        <f t="shared" si="30"/>
        <v>4375000</v>
      </c>
    </row>
    <row r="35" spans="2:23" s="96" customFormat="1" x14ac:dyDescent="0.25">
      <c r="B35" s="276" t="str">
        <f t="shared" si="28"/>
        <v>PASTA</v>
      </c>
      <c r="C35" s="281">
        <f>'Products (Export)'!F9</f>
        <v>168</v>
      </c>
      <c r="D35" s="88"/>
      <c r="E35" s="88">
        <f t="shared" ref="E35:W35" si="31">$C35*E10</f>
        <v>0</v>
      </c>
      <c r="F35" s="88">
        <f t="shared" si="31"/>
        <v>0</v>
      </c>
      <c r="G35" s="88">
        <f t="shared" si="31"/>
        <v>0</v>
      </c>
      <c r="H35" s="88">
        <f t="shared" si="31"/>
        <v>336000</v>
      </c>
      <c r="I35" s="88">
        <f t="shared" si="31"/>
        <v>336000</v>
      </c>
      <c r="J35" s="88">
        <f t="shared" si="31"/>
        <v>504000</v>
      </c>
      <c r="K35" s="88">
        <f t="shared" si="31"/>
        <v>504000</v>
      </c>
      <c r="L35" s="88">
        <f t="shared" si="31"/>
        <v>1008000</v>
      </c>
      <c r="M35" s="88">
        <f t="shared" si="31"/>
        <v>1008000</v>
      </c>
      <c r="N35" s="88">
        <f t="shared" si="31"/>
        <v>1176000</v>
      </c>
      <c r="O35" s="88">
        <f t="shared" si="31"/>
        <v>1176000</v>
      </c>
      <c r="P35" s="88">
        <f t="shared" si="31"/>
        <v>1344000</v>
      </c>
      <c r="Q35" s="88">
        <f t="shared" si="31"/>
        <v>1344000</v>
      </c>
      <c r="R35" s="88">
        <f t="shared" si="31"/>
        <v>1680000</v>
      </c>
      <c r="S35" s="88">
        <f t="shared" si="31"/>
        <v>1680000</v>
      </c>
      <c r="T35" s="88">
        <f t="shared" si="31"/>
        <v>2016000</v>
      </c>
      <c r="U35" s="88">
        <f t="shared" si="31"/>
        <v>2016000</v>
      </c>
      <c r="V35" s="88">
        <f t="shared" si="31"/>
        <v>2352000</v>
      </c>
      <c r="W35" s="88">
        <f t="shared" si="31"/>
        <v>2352000</v>
      </c>
    </row>
    <row r="36" spans="2:23" s="96" customFormat="1" x14ac:dyDescent="0.25">
      <c r="B36" s="276" t="str">
        <f t="shared" si="28"/>
        <v>Cake Premix - GF</v>
      </c>
      <c r="C36" s="281">
        <f>'Products (Export)'!F10</f>
        <v>190</v>
      </c>
      <c r="D36" s="88"/>
      <c r="E36" s="88">
        <f t="shared" ref="E36:W36" si="32">$C36*E11</f>
        <v>0</v>
      </c>
      <c r="F36" s="88">
        <f t="shared" si="32"/>
        <v>0</v>
      </c>
      <c r="G36" s="88">
        <f t="shared" si="32"/>
        <v>0</v>
      </c>
      <c r="H36" s="88">
        <f t="shared" si="32"/>
        <v>190000</v>
      </c>
      <c r="I36" s="88">
        <f t="shared" si="32"/>
        <v>190000</v>
      </c>
      <c r="J36" s="88">
        <f t="shared" si="32"/>
        <v>285000</v>
      </c>
      <c r="K36" s="88">
        <f t="shared" si="32"/>
        <v>285000</v>
      </c>
      <c r="L36" s="88">
        <f t="shared" si="32"/>
        <v>570000</v>
      </c>
      <c r="M36" s="88">
        <f t="shared" si="32"/>
        <v>570000</v>
      </c>
      <c r="N36" s="88">
        <f t="shared" si="32"/>
        <v>665000</v>
      </c>
      <c r="O36" s="88">
        <f t="shared" si="32"/>
        <v>665000</v>
      </c>
      <c r="P36" s="88">
        <f t="shared" si="32"/>
        <v>760000</v>
      </c>
      <c r="Q36" s="88">
        <f t="shared" si="32"/>
        <v>760000</v>
      </c>
      <c r="R36" s="88">
        <f t="shared" si="32"/>
        <v>950000</v>
      </c>
      <c r="S36" s="88">
        <f t="shared" si="32"/>
        <v>950000</v>
      </c>
      <c r="T36" s="88">
        <f t="shared" si="32"/>
        <v>1140000</v>
      </c>
      <c r="U36" s="88">
        <f t="shared" si="32"/>
        <v>1140000</v>
      </c>
      <c r="V36" s="88">
        <f t="shared" si="32"/>
        <v>1330000</v>
      </c>
      <c r="W36" s="88">
        <f t="shared" si="32"/>
        <v>1330000</v>
      </c>
    </row>
    <row r="37" spans="2:23" s="96" customFormat="1" x14ac:dyDescent="0.25">
      <c r="B37" s="276" t="str">
        <f t="shared" si="28"/>
        <v>Cake Premix - NAS</v>
      </c>
      <c r="C37" s="281">
        <f>'Products (Export)'!F11</f>
        <v>290</v>
      </c>
      <c r="D37" s="88"/>
      <c r="E37" s="88">
        <f t="shared" ref="E37:W37" si="33">$C37*E12</f>
        <v>0</v>
      </c>
      <c r="F37" s="88">
        <f t="shared" si="33"/>
        <v>0</v>
      </c>
      <c r="G37" s="88">
        <f t="shared" si="33"/>
        <v>0</v>
      </c>
      <c r="H37" s="88">
        <f t="shared" si="33"/>
        <v>290000</v>
      </c>
      <c r="I37" s="88">
        <f t="shared" si="33"/>
        <v>290000</v>
      </c>
      <c r="J37" s="88">
        <f t="shared" si="33"/>
        <v>435000</v>
      </c>
      <c r="K37" s="88">
        <f t="shared" si="33"/>
        <v>435000</v>
      </c>
      <c r="L37" s="88">
        <f t="shared" si="33"/>
        <v>870000</v>
      </c>
      <c r="M37" s="88">
        <f t="shared" si="33"/>
        <v>870000</v>
      </c>
      <c r="N37" s="88">
        <f t="shared" si="33"/>
        <v>1015000</v>
      </c>
      <c r="O37" s="88">
        <f t="shared" si="33"/>
        <v>1015000</v>
      </c>
      <c r="P37" s="88">
        <f t="shared" si="33"/>
        <v>1160000</v>
      </c>
      <c r="Q37" s="88">
        <f t="shared" si="33"/>
        <v>1160000</v>
      </c>
      <c r="R37" s="88">
        <f t="shared" si="33"/>
        <v>1450000</v>
      </c>
      <c r="S37" s="88">
        <f t="shared" si="33"/>
        <v>1450000</v>
      </c>
      <c r="T37" s="88">
        <f t="shared" si="33"/>
        <v>1740000</v>
      </c>
      <c r="U37" s="88">
        <f t="shared" si="33"/>
        <v>1740000</v>
      </c>
      <c r="V37" s="88">
        <f t="shared" si="33"/>
        <v>2030000</v>
      </c>
      <c r="W37" s="88">
        <f t="shared" si="33"/>
        <v>2030000</v>
      </c>
    </row>
    <row r="38" spans="2:23" s="96" customFormat="1" x14ac:dyDescent="0.25">
      <c r="B38" s="276" t="str">
        <f t="shared" si="28"/>
        <v>Bread - GF</v>
      </c>
      <c r="C38" s="281">
        <f>'Products (Export)'!F12</f>
        <v>215</v>
      </c>
      <c r="D38" s="88"/>
      <c r="E38" s="88">
        <f t="shared" ref="E38:W38" si="34">$C38*E13</f>
        <v>0</v>
      </c>
      <c r="F38" s="88">
        <f t="shared" si="34"/>
        <v>0</v>
      </c>
      <c r="G38" s="88">
        <f t="shared" si="34"/>
        <v>0</v>
      </c>
      <c r="H38" s="88">
        <f t="shared" si="34"/>
        <v>215000</v>
      </c>
      <c r="I38" s="88">
        <f t="shared" si="34"/>
        <v>215000</v>
      </c>
      <c r="J38" s="88">
        <f t="shared" si="34"/>
        <v>322500</v>
      </c>
      <c r="K38" s="88">
        <f t="shared" si="34"/>
        <v>322500</v>
      </c>
      <c r="L38" s="88">
        <f t="shared" si="34"/>
        <v>645000</v>
      </c>
      <c r="M38" s="88">
        <f t="shared" si="34"/>
        <v>645000</v>
      </c>
      <c r="N38" s="88">
        <f t="shared" si="34"/>
        <v>752500</v>
      </c>
      <c r="O38" s="88">
        <f t="shared" si="34"/>
        <v>752500</v>
      </c>
      <c r="P38" s="88">
        <f t="shared" si="34"/>
        <v>860000</v>
      </c>
      <c r="Q38" s="88">
        <f t="shared" si="34"/>
        <v>860000</v>
      </c>
      <c r="R38" s="88">
        <f t="shared" si="34"/>
        <v>1075000</v>
      </c>
      <c r="S38" s="88">
        <f t="shared" si="34"/>
        <v>1075000</v>
      </c>
      <c r="T38" s="88">
        <f t="shared" si="34"/>
        <v>1290000</v>
      </c>
      <c r="U38" s="88">
        <f t="shared" si="34"/>
        <v>1290000</v>
      </c>
      <c r="V38" s="88">
        <f t="shared" si="34"/>
        <v>1505000</v>
      </c>
      <c r="W38" s="88">
        <f t="shared" si="34"/>
        <v>1505000</v>
      </c>
    </row>
    <row r="39" spans="2:23" s="96" customFormat="1" x14ac:dyDescent="0.25">
      <c r="B39" s="276" t="str">
        <f t="shared" si="28"/>
        <v>Bread Premix - 6 G</v>
      </c>
      <c r="C39" s="281">
        <f>'Products (Export)'!F13</f>
        <v>54</v>
      </c>
      <c r="D39" s="88"/>
      <c r="E39" s="88">
        <f t="shared" ref="E39:W39" si="35">$C39*E14</f>
        <v>0</v>
      </c>
      <c r="F39" s="88">
        <f t="shared" si="35"/>
        <v>0</v>
      </c>
      <c r="G39" s="88">
        <f t="shared" si="35"/>
        <v>0</v>
      </c>
      <c r="H39" s="88">
        <f t="shared" si="35"/>
        <v>270000</v>
      </c>
      <c r="I39" s="88">
        <f t="shared" si="35"/>
        <v>270000</v>
      </c>
      <c r="J39" s="88">
        <f t="shared" si="35"/>
        <v>405000</v>
      </c>
      <c r="K39" s="88">
        <f t="shared" si="35"/>
        <v>405000</v>
      </c>
      <c r="L39" s="88">
        <f t="shared" si="35"/>
        <v>810000</v>
      </c>
      <c r="M39" s="88">
        <f t="shared" si="35"/>
        <v>810000</v>
      </c>
      <c r="N39" s="88">
        <f t="shared" si="35"/>
        <v>945000</v>
      </c>
      <c r="O39" s="88">
        <f t="shared" si="35"/>
        <v>945000</v>
      </c>
      <c r="P39" s="88">
        <f t="shared" si="35"/>
        <v>1080000</v>
      </c>
      <c r="Q39" s="88">
        <f t="shared" si="35"/>
        <v>1080000</v>
      </c>
      <c r="R39" s="88">
        <f t="shared" si="35"/>
        <v>1350000</v>
      </c>
      <c r="S39" s="88">
        <f t="shared" si="35"/>
        <v>1350000</v>
      </c>
      <c r="T39" s="88">
        <f t="shared" si="35"/>
        <v>1620000</v>
      </c>
      <c r="U39" s="88">
        <f t="shared" si="35"/>
        <v>1620000</v>
      </c>
      <c r="V39" s="88">
        <f t="shared" si="35"/>
        <v>1890000</v>
      </c>
      <c r="W39" s="88">
        <f t="shared" si="35"/>
        <v>1890000</v>
      </c>
    </row>
    <row r="40" spans="2:23" s="96" customFormat="1" x14ac:dyDescent="0.25">
      <c r="B40" s="276" t="str">
        <f t="shared" si="28"/>
        <v>Bread Premix- W 100</v>
      </c>
      <c r="C40" s="281">
        <f>'Products (Export)'!F14</f>
        <v>52</v>
      </c>
      <c r="D40" s="88"/>
      <c r="E40" s="88">
        <f t="shared" ref="E40:W40" si="36">$C40*E15</f>
        <v>0</v>
      </c>
      <c r="F40" s="88">
        <f t="shared" si="36"/>
        <v>0</v>
      </c>
      <c r="G40" s="88">
        <f t="shared" si="36"/>
        <v>0</v>
      </c>
      <c r="H40" s="88">
        <f t="shared" si="36"/>
        <v>260000</v>
      </c>
      <c r="I40" s="88">
        <f t="shared" si="36"/>
        <v>260000</v>
      </c>
      <c r="J40" s="88">
        <f t="shared" si="36"/>
        <v>390000</v>
      </c>
      <c r="K40" s="88">
        <f t="shared" si="36"/>
        <v>390000</v>
      </c>
      <c r="L40" s="88">
        <f t="shared" si="36"/>
        <v>780000</v>
      </c>
      <c r="M40" s="88">
        <f t="shared" si="36"/>
        <v>780000</v>
      </c>
      <c r="N40" s="88">
        <f t="shared" si="36"/>
        <v>910000</v>
      </c>
      <c r="O40" s="88">
        <f t="shared" si="36"/>
        <v>910000</v>
      </c>
      <c r="P40" s="88">
        <f t="shared" si="36"/>
        <v>1040000</v>
      </c>
      <c r="Q40" s="88">
        <f t="shared" si="36"/>
        <v>1040000</v>
      </c>
      <c r="R40" s="88">
        <f t="shared" si="36"/>
        <v>1300000</v>
      </c>
      <c r="S40" s="88">
        <f t="shared" si="36"/>
        <v>1300000</v>
      </c>
      <c r="T40" s="88">
        <f t="shared" si="36"/>
        <v>1560000</v>
      </c>
      <c r="U40" s="88">
        <f t="shared" si="36"/>
        <v>1560000</v>
      </c>
      <c r="V40" s="88">
        <f t="shared" si="36"/>
        <v>1820000</v>
      </c>
      <c r="W40" s="88">
        <f t="shared" si="36"/>
        <v>1820000</v>
      </c>
    </row>
    <row r="41" spans="2:23" s="96" customFormat="1" x14ac:dyDescent="0.25">
      <c r="B41" s="288" t="s">
        <v>372</v>
      </c>
      <c r="C41" s="281"/>
      <c r="D41" s="78"/>
      <c r="E41" s="78">
        <f>SUM(E32:E40)</f>
        <v>0</v>
      </c>
      <c r="F41" s="78">
        <f t="shared" ref="F41:W41" si="37">SUM(F32:F40)</f>
        <v>0</v>
      </c>
      <c r="G41" s="78">
        <f t="shared" si="37"/>
        <v>0</v>
      </c>
      <c r="H41" s="78">
        <f t="shared" si="37"/>
        <v>2766000</v>
      </c>
      <c r="I41" s="78">
        <f t="shared" si="37"/>
        <v>2766000</v>
      </c>
      <c r="J41" s="78">
        <f t="shared" si="37"/>
        <v>4149000</v>
      </c>
      <c r="K41" s="78">
        <f t="shared" si="37"/>
        <v>4149000</v>
      </c>
      <c r="L41" s="78">
        <f t="shared" si="37"/>
        <v>8298000</v>
      </c>
      <c r="M41" s="78">
        <f t="shared" si="37"/>
        <v>8298000</v>
      </c>
      <c r="N41" s="78">
        <f t="shared" si="37"/>
        <v>9681000</v>
      </c>
      <c r="O41" s="78">
        <f t="shared" si="37"/>
        <v>9681000</v>
      </c>
      <c r="P41" s="78">
        <f t="shared" si="37"/>
        <v>11064000</v>
      </c>
      <c r="Q41" s="78">
        <f t="shared" si="37"/>
        <v>11064000</v>
      </c>
      <c r="R41" s="78">
        <f t="shared" si="37"/>
        <v>13830000</v>
      </c>
      <c r="S41" s="78">
        <f t="shared" si="37"/>
        <v>13830000</v>
      </c>
      <c r="T41" s="78">
        <f t="shared" si="37"/>
        <v>16596000</v>
      </c>
      <c r="U41" s="78">
        <f t="shared" si="37"/>
        <v>16596000</v>
      </c>
      <c r="V41" s="78">
        <f t="shared" si="37"/>
        <v>19362000</v>
      </c>
      <c r="W41" s="78">
        <f t="shared" si="37"/>
        <v>19362000</v>
      </c>
    </row>
    <row r="42" spans="2:23" s="96" customFormat="1" x14ac:dyDescent="0.25">
      <c r="B42" s="289" t="str">
        <f>B29</f>
        <v>Growth %</v>
      </c>
      <c r="C42" s="281"/>
      <c r="D42" s="88"/>
      <c r="E42" s="277"/>
      <c r="F42" s="277"/>
      <c r="G42" s="277"/>
      <c r="H42" s="277"/>
      <c r="I42" s="277">
        <f t="shared" ref="I42:W42" si="38">I41/H41-1</f>
        <v>0</v>
      </c>
      <c r="J42" s="277">
        <f t="shared" si="38"/>
        <v>0.5</v>
      </c>
      <c r="K42" s="277">
        <f t="shared" si="38"/>
        <v>0</v>
      </c>
      <c r="L42" s="277">
        <f t="shared" si="38"/>
        <v>1</v>
      </c>
      <c r="M42" s="277">
        <f t="shared" si="38"/>
        <v>0</v>
      </c>
      <c r="N42" s="277">
        <f t="shared" si="38"/>
        <v>0.16666666666666674</v>
      </c>
      <c r="O42" s="277">
        <f t="shared" si="38"/>
        <v>0</v>
      </c>
      <c r="P42" s="277">
        <f t="shared" si="38"/>
        <v>0.14285714285714279</v>
      </c>
      <c r="Q42" s="277">
        <f t="shared" si="38"/>
        <v>0</v>
      </c>
      <c r="R42" s="277">
        <f t="shared" si="38"/>
        <v>0.25</v>
      </c>
      <c r="S42" s="277">
        <f t="shared" si="38"/>
        <v>0</v>
      </c>
      <c r="T42" s="277">
        <f t="shared" si="38"/>
        <v>0.19999999999999996</v>
      </c>
      <c r="U42" s="277">
        <f t="shared" si="38"/>
        <v>0</v>
      </c>
      <c r="V42" s="277">
        <f t="shared" si="38"/>
        <v>0.16666666666666674</v>
      </c>
      <c r="W42" s="277">
        <f t="shared" si="38"/>
        <v>0</v>
      </c>
    </row>
    <row r="43" spans="2:23" s="96" customFormat="1" x14ac:dyDescent="0.25">
      <c r="B43" s="289"/>
      <c r="C43" s="281"/>
      <c r="D43" s="88"/>
      <c r="E43" s="277"/>
      <c r="F43" s="88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</row>
    <row r="44" spans="2:23" x14ac:dyDescent="0.25">
      <c r="B44" s="219" t="s">
        <v>321</v>
      </c>
      <c r="C44" s="281"/>
      <c r="D44" s="88">
        <f>D16</f>
        <v>0</v>
      </c>
      <c r="E44" s="88">
        <f>E16</f>
        <v>0</v>
      </c>
      <c r="F44" s="88">
        <f>F16</f>
        <v>0</v>
      </c>
      <c r="G44" s="88">
        <f>G16</f>
        <v>0</v>
      </c>
      <c r="H44" s="88">
        <f t="shared" ref="H44:W44" si="39">H16</f>
        <v>22000</v>
      </c>
      <c r="I44" s="88">
        <f t="shared" si="39"/>
        <v>22000</v>
      </c>
      <c r="J44" s="88">
        <f t="shared" si="39"/>
        <v>33000</v>
      </c>
      <c r="K44" s="88">
        <f t="shared" si="39"/>
        <v>33000</v>
      </c>
      <c r="L44" s="88">
        <f t="shared" si="39"/>
        <v>66000</v>
      </c>
      <c r="M44" s="88">
        <f t="shared" si="39"/>
        <v>66000</v>
      </c>
      <c r="N44" s="88">
        <f t="shared" si="39"/>
        <v>77000</v>
      </c>
      <c r="O44" s="88">
        <f t="shared" si="39"/>
        <v>77000</v>
      </c>
      <c r="P44" s="88">
        <f t="shared" si="39"/>
        <v>88000</v>
      </c>
      <c r="Q44" s="88">
        <f t="shared" si="39"/>
        <v>88000</v>
      </c>
      <c r="R44" s="88">
        <f t="shared" si="39"/>
        <v>110000</v>
      </c>
      <c r="S44" s="88">
        <f t="shared" si="39"/>
        <v>110000</v>
      </c>
      <c r="T44" s="88">
        <f t="shared" si="39"/>
        <v>132000</v>
      </c>
      <c r="U44" s="88">
        <f t="shared" si="39"/>
        <v>132000</v>
      </c>
      <c r="V44" s="88">
        <f t="shared" si="39"/>
        <v>154000</v>
      </c>
      <c r="W44" s="88">
        <f t="shared" si="39"/>
        <v>154000</v>
      </c>
    </row>
    <row r="45" spans="2:23" x14ac:dyDescent="0.25">
      <c r="B45" s="219" t="s">
        <v>114</v>
      </c>
      <c r="C45" s="281"/>
      <c r="D45" s="88">
        <f>D28</f>
        <v>0</v>
      </c>
      <c r="E45" s="88">
        <f>E28</f>
        <v>0</v>
      </c>
      <c r="F45" s="88">
        <f>F28</f>
        <v>0</v>
      </c>
      <c r="G45" s="88">
        <f>G28</f>
        <v>0</v>
      </c>
      <c r="H45" s="88">
        <f t="shared" ref="H45:W45" si="40">H28</f>
        <v>5064167.1815999998</v>
      </c>
      <c r="I45" s="88">
        <f t="shared" si="40"/>
        <v>5064167.1815999998</v>
      </c>
      <c r="J45" s="88">
        <f t="shared" si="40"/>
        <v>7596250.7723999992</v>
      </c>
      <c r="K45" s="88">
        <f t="shared" si="40"/>
        <v>7596250.7723999992</v>
      </c>
      <c r="L45" s="88">
        <f t="shared" si="40"/>
        <v>15192501.544799998</v>
      </c>
      <c r="M45" s="88">
        <f t="shared" si="40"/>
        <v>15192501.544799998</v>
      </c>
      <c r="N45" s="88">
        <f t="shared" si="40"/>
        <v>17724585.135600001</v>
      </c>
      <c r="O45" s="88">
        <f t="shared" si="40"/>
        <v>17724585.135600001</v>
      </c>
      <c r="P45" s="88">
        <f t="shared" si="40"/>
        <v>20256668.726399999</v>
      </c>
      <c r="Q45" s="88">
        <f t="shared" si="40"/>
        <v>20256668.726399999</v>
      </c>
      <c r="R45" s="88">
        <f t="shared" si="40"/>
        <v>25320835.908</v>
      </c>
      <c r="S45" s="88">
        <f t="shared" si="40"/>
        <v>25320835.908</v>
      </c>
      <c r="T45" s="88">
        <f t="shared" si="40"/>
        <v>30385003.089599997</v>
      </c>
      <c r="U45" s="88">
        <f t="shared" si="40"/>
        <v>30385003.089599997</v>
      </c>
      <c r="V45" s="88">
        <f t="shared" si="40"/>
        <v>35449170.271200001</v>
      </c>
      <c r="W45" s="88">
        <f t="shared" si="40"/>
        <v>35449170.271200001</v>
      </c>
    </row>
    <row r="46" spans="2:23" x14ac:dyDescent="0.25">
      <c r="B46" s="219" t="s">
        <v>115</v>
      </c>
      <c r="C46" s="281"/>
      <c r="D46" s="88">
        <f t="shared" ref="D46:W46" si="41">D45/3</f>
        <v>0</v>
      </c>
      <c r="E46" s="88">
        <f t="shared" si="41"/>
        <v>0</v>
      </c>
      <c r="F46" s="88">
        <f t="shared" si="41"/>
        <v>0</v>
      </c>
      <c r="G46" s="88">
        <f t="shared" si="41"/>
        <v>0</v>
      </c>
      <c r="H46" s="88">
        <f t="shared" si="41"/>
        <v>1688055.7271999998</v>
      </c>
      <c r="I46" s="88">
        <f t="shared" si="41"/>
        <v>1688055.7271999998</v>
      </c>
      <c r="J46" s="88">
        <f t="shared" si="41"/>
        <v>2532083.5907999999</v>
      </c>
      <c r="K46" s="88">
        <f t="shared" si="41"/>
        <v>2532083.5907999999</v>
      </c>
      <c r="L46" s="88">
        <f t="shared" si="41"/>
        <v>5064167.1815999998</v>
      </c>
      <c r="M46" s="88">
        <f t="shared" si="41"/>
        <v>5064167.1815999998</v>
      </c>
      <c r="N46" s="88">
        <f t="shared" si="41"/>
        <v>5908195.0452000005</v>
      </c>
      <c r="O46" s="88">
        <f t="shared" si="41"/>
        <v>5908195.0452000005</v>
      </c>
      <c r="P46" s="88">
        <f t="shared" si="41"/>
        <v>6752222.9087999994</v>
      </c>
      <c r="Q46" s="88">
        <f t="shared" si="41"/>
        <v>6752222.9087999994</v>
      </c>
      <c r="R46" s="88">
        <f t="shared" si="41"/>
        <v>8440278.6359999999</v>
      </c>
      <c r="S46" s="88">
        <f t="shared" si="41"/>
        <v>8440278.6359999999</v>
      </c>
      <c r="T46" s="88">
        <f t="shared" si="41"/>
        <v>10128334.3632</v>
      </c>
      <c r="U46" s="88">
        <f t="shared" si="41"/>
        <v>10128334.3632</v>
      </c>
      <c r="V46" s="88">
        <f t="shared" si="41"/>
        <v>11816390.090400001</v>
      </c>
      <c r="W46" s="88">
        <f t="shared" si="41"/>
        <v>11816390.090400001</v>
      </c>
    </row>
    <row r="47" spans="2:23" x14ac:dyDescent="0.25">
      <c r="B47" s="219"/>
      <c r="C47" s="281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 spans="2:23" x14ac:dyDescent="0.25">
      <c r="B48" s="220" t="s">
        <v>383</v>
      </c>
      <c r="C48" s="281"/>
      <c r="D48" s="88"/>
      <c r="E48" s="88"/>
      <c r="F48" s="88"/>
      <c r="G48" s="88">
        <f>SUM(D45:G45)</f>
        <v>0</v>
      </c>
      <c r="H48" s="88"/>
      <c r="I48" s="88"/>
      <c r="J48" s="88"/>
      <c r="K48" s="88">
        <f>SUM(H45:K45)</f>
        <v>25320835.908</v>
      </c>
      <c r="L48" s="88"/>
      <c r="M48" s="88"/>
      <c r="N48" s="88"/>
      <c r="O48" s="88">
        <f>SUM(L45:O45)</f>
        <v>65834173.360799998</v>
      </c>
      <c r="P48" s="88"/>
      <c r="Q48" s="88"/>
      <c r="R48" s="88"/>
      <c r="S48" s="88">
        <f>SUM(P45:S45)</f>
        <v>91155009.26879999</v>
      </c>
      <c r="T48" s="88"/>
      <c r="U48" s="88"/>
      <c r="V48" s="88"/>
      <c r="W48" s="88">
        <f>SUM(T45:W45)</f>
        <v>131668346.7216</v>
      </c>
    </row>
    <row r="49" spans="2:23" x14ac:dyDescent="0.25">
      <c r="B49" s="220" t="s">
        <v>584</v>
      </c>
      <c r="C49" s="281"/>
      <c r="D49" s="88">
        <f>D41</f>
        <v>0</v>
      </c>
      <c r="E49" s="88">
        <f t="shared" ref="E49:W49" si="42">E41</f>
        <v>0</v>
      </c>
      <c r="F49" s="88">
        <f t="shared" si="42"/>
        <v>0</v>
      </c>
      <c r="G49" s="88">
        <f t="shared" si="42"/>
        <v>0</v>
      </c>
      <c r="H49" s="88">
        <f t="shared" si="42"/>
        <v>2766000</v>
      </c>
      <c r="I49" s="88">
        <f t="shared" si="42"/>
        <v>2766000</v>
      </c>
      <c r="J49" s="88">
        <f t="shared" si="42"/>
        <v>4149000</v>
      </c>
      <c r="K49" s="88">
        <f t="shared" si="42"/>
        <v>4149000</v>
      </c>
      <c r="L49" s="88">
        <f t="shared" si="42"/>
        <v>8298000</v>
      </c>
      <c r="M49" s="88">
        <f t="shared" si="42"/>
        <v>8298000</v>
      </c>
      <c r="N49" s="88">
        <f t="shared" si="42"/>
        <v>9681000</v>
      </c>
      <c r="O49" s="88">
        <f t="shared" si="42"/>
        <v>9681000</v>
      </c>
      <c r="P49" s="88">
        <f t="shared" si="42"/>
        <v>11064000</v>
      </c>
      <c r="Q49" s="88">
        <f t="shared" si="42"/>
        <v>11064000</v>
      </c>
      <c r="R49" s="88">
        <f t="shared" si="42"/>
        <v>13830000</v>
      </c>
      <c r="S49" s="88">
        <f t="shared" si="42"/>
        <v>13830000</v>
      </c>
      <c r="T49" s="88">
        <f t="shared" si="42"/>
        <v>16596000</v>
      </c>
      <c r="U49" s="88">
        <f t="shared" si="42"/>
        <v>16596000</v>
      </c>
      <c r="V49" s="88">
        <f t="shared" si="42"/>
        <v>19362000</v>
      </c>
      <c r="W49" s="88">
        <f t="shared" si="42"/>
        <v>19362000</v>
      </c>
    </row>
    <row r="50" spans="2:23" x14ac:dyDescent="0.25">
      <c r="B50" s="220" t="s">
        <v>583</v>
      </c>
      <c r="C50" s="281"/>
      <c r="D50" s="88"/>
      <c r="E50" s="88"/>
      <c r="F50" s="88"/>
      <c r="G50" s="88">
        <f>SUM(D49:G49)</f>
        <v>0</v>
      </c>
      <c r="H50" s="88"/>
      <c r="I50" s="88"/>
      <c r="J50" s="88"/>
      <c r="K50" s="88">
        <f>SUM(H49:K49)</f>
        <v>13830000</v>
      </c>
      <c r="L50" s="88"/>
      <c r="M50" s="88"/>
      <c r="N50" s="88"/>
      <c r="O50" s="88">
        <f>SUM(L49:O49)</f>
        <v>35958000</v>
      </c>
      <c r="P50" s="88"/>
      <c r="Q50" s="88"/>
      <c r="R50" s="88"/>
      <c r="S50" s="88">
        <f>SUM(P49:S49)</f>
        <v>49788000</v>
      </c>
      <c r="T50" s="88"/>
      <c r="U50" s="88"/>
      <c r="V50" s="88"/>
      <c r="W50" s="88">
        <f>SUM(T49:W49)</f>
        <v>71916000</v>
      </c>
    </row>
    <row r="51" spans="2:23" x14ac:dyDescent="0.25">
      <c r="B51" s="222" t="s">
        <v>585</v>
      </c>
      <c r="C51" s="282"/>
      <c r="D51" s="223"/>
      <c r="E51" s="223"/>
      <c r="F51" s="223"/>
      <c r="G51" s="223"/>
      <c r="H51" s="223"/>
      <c r="I51" s="223"/>
      <c r="J51" s="223"/>
      <c r="K51" s="223">
        <f>K50/K48</f>
        <v>0.54619049901233618</v>
      </c>
      <c r="L51" s="223"/>
      <c r="M51" s="223"/>
      <c r="N51" s="223"/>
      <c r="O51" s="223">
        <f>O50/O48</f>
        <v>0.54619049901233618</v>
      </c>
      <c r="P51" s="223"/>
      <c r="Q51" s="223"/>
      <c r="R51" s="223"/>
      <c r="S51" s="223">
        <f>S50/S48</f>
        <v>0.54619049901233618</v>
      </c>
      <c r="T51" s="223"/>
      <c r="U51" s="223"/>
      <c r="V51" s="223"/>
      <c r="W51" s="223">
        <f>W50/W48</f>
        <v>0.54619049901233618</v>
      </c>
    </row>
  </sheetData>
  <mergeCells count="5">
    <mergeCell ref="D4:G4"/>
    <mergeCell ref="H4:K4"/>
    <mergeCell ref="L4:O4"/>
    <mergeCell ref="P4:S4"/>
    <mergeCell ref="T4:W4"/>
  </mergeCells>
  <pageMargins left="0.7" right="0.7" top="0.75" bottom="0.75" header="0.3" footer="0.3"/>
  <pageSetup scale="42" orientation="portrait" r:id="rId1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66"/>
  <sheetViews>
    <sheetView showGridLines="0" zoomScaleNormal="10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" style="94" customWidth="1"/>
    <col min="2" max="2" width="46" style="96" customWidth="1"/>
    <col min="3" max="3" width="12.140625" style="283" customWidth="1"/>
    <col min="4" max="6" width="12.140625" style="94" bestFit="1" customWidth="1"/>
    <col min="7" max="14" width="12.7109375" style="94" bestFit="1" customWidth="1"/>
    <col min="15" max="15" width="13.85546875" style="94" bestFit="1" customWidth="1"/>
    <col min="16" max="18" width="12.7109375" style="94" bestFit="1" customWidth="1"/>
    <col min="19" max="19" width="13.28515625" style="94" bestFit="1" customWidth="1"/>
    <col min="20" max="20" width="12.7109375" style="94" bestFit="1" customWidth="1"/>
    <col min="21" max="24" width="13.28515625" style="94" bestFit="1" customWidth="1"/>
    <col min="25" max="16384" width="9.140625" style="94"/>
  </cols>
  <sheetData>
    <row r="1" spans="1:23" s="495" customFormat="1" x14ac:dyDescent="0.25">
      <c r="A1" s="542" t="str">
        <f>Summary!A1</f>
        <v>ABC Nutri foods</v>
      </c>
      <c r="B1" s="494"/>
    </row>
    <row r="2" spans="1:23" s="497" customFormat="1" x14ac:dyDescent="0.25">
      <c r="A2" s="493" t="s">
        <v>459</v>
      </c>
      <c r="B2" s="496"/>
    </row>
    <row r="4" spans="1:23" x14ac:dyDescent="0.25">
      <c r="B4" s="115"/>
      <c r="C4" s="279"/>
      <c r="D4" s="632" t="s">
        <v>104</v>
      </c>
      <c r="E4" s="633"/>
      <c r="F4" s="633"/>
      <c r="G4" s="634"/>
      <c r="H4" s="632" t="s">
        <v>105</v>
      </c>
      <c r="I4" s="633"/>
      <c r="J4" s="633"/>
      <c r="K4" s="634"/>
      <c r="L4" s="632" t="s">
        <v>139</v>
      </c>
      <c r="M4" s="633"/>
      <c r="N4" s="633"/>
      <c r="O4" s="634"/>
      <c r="P4" s="632" t="s">
        <v>140</v>
      </c>
      <c r="Q4" s="633"/>
      <c r="R4" s="633"/>
      <c r="S4" s="634"/>
      <c r="T4" s="632" t="s">
        <v>407</v>
      </c>
      <c r="U4" s="633"/>
      <c r="V4" s="633"/>
      <c r="W4" s="634"/>
    </row>
    <row r="5" spans="1:23" s="118" customFormat="1" x14ac:dyDescent="0.25">
      <c r="B5" s="117" t="s">
        <v>2</v>
      </c>
      <c r="C5" s="280" t="s">
        <v>374</v>
      </c>
      <c r="D5" s="117" t="s">
        <v>106</v>
      </c>
      <c r="E5" s="117" t="s">
        <v>107</v>
      </c>
      <c r="F5" s="117" t="s">
        <v>108</v>
      </c>
      <c r="G5" s="117" t="s">
        <v>109</v>
      </c>
      <c r="H5" s="117" t="s">
        <v>110</v>
      </c>
      <c r="I5" s="117" t="s">
        <v>111</v>
      </c>
      <c r="J5" s="117" t="s">
        <v>112</v>
      </c>
      <c r="K5" s="117" t="s">
        <v>113</v>
      </c>
      <c r="L5" s="117" t="s">
        <v>141</v>
      </c>
      <c r="M5" s="117" t="s">
        <v>142</v>
      </c>
      <c r="N5" s="117" t="s">
        <v>143</v>
      </c>
      <c r="O5" s="117" t="s">
        <v>144</v>
      </c>
      <c r="P5" s="117" t="s">
        <v>183</v>
      </c>
      <c r="Q5" s="117" t="s">
        <v>184</v>
      </c>
      <c r="R5" s="117" t="s">
        <v>185</v>
      </c>
      <c r="S5" s="117" t="s">
        <v>186</v>
      </c>
      <c r="T5" s="117" t="s">
        <v>408</v>
      </c>
      <c r="U5" s="117" t="s">
        <v>409</v>
      </c>
      <c r="V5" s="117" t="s">
        <v>410</v>
      </c>
      <c r="W5" s="117" t="s">
        <v>411</v>
      </c>
    </row>
    <row r="6" spans="1:23" s="96" customFormat="1" x14ac:dyDescent="0.25">
      <c r="B6" s="219" t="s">
        <v>369</v>
      </c>
      <c r="C6" s="281"/>
      <c r="D6" s="88"/>
      <c r="E6" s="88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</row>
    <row r="7" spans="1:23" s="96" customFormat="1" x14ac:dyDescent="0.25">
      <c r="B7" s="276" t="str">
        <f>'Products (RTE) - Inst.'!C6</f>
        <v>GF, Lf COOKIE (VANILLA / CHOCOLATE)</v>
      </c>
      <c r="C7" s="419">
        <f>'Products (RTE) - Inst.'!H6</f>
        <v>386.99751999999995</v>
      </c>
      <c r="D7" s="293">
        <v>2000</v>
      </c>
      <c r="E7" s="293">
        <f>D7</f>
        <v>2000</v>
      </c>
      <c r="F7" s="293">
        <v>2000</v>
      </c>
      <c r="G7" s="293">
        <v>2000</v>
      </c>
      <c r="H7" s="293">
        <v>2500</v>
      </c>
      <c r="I7" s="536">
        <f t="shared" ref="I7:W7" si="0">H7*(1+I14)</f>
        <v>2750</v>
      </c>
      <c r="J7" s="536">
        <f t="shared" si="0"/>
        <v>3025.0000000000005</v>
      </c>
      <c r="K7" s="536">
        <f t="shared" si="0"/>
        <v>3327.5000000000009</v>
      </c>
      <c r="L7" s="536">
        <f t="shared" si="0"/>
        <v>3593.7000000000012</v>
      </c>
      <c r="M7" s="536">
        <f t="shared" si="0"/>
        <v>3881.1960000000017</v>
      </c>
      <c r="N7" s="536">
        <f t="shared" si="0"/>
        <v>4191.6916800000017</v>
      </c>
      <c r="O7" s="536">
        <f t="shared" si="0"/>
        <v>4527.0270144000024</v>
      </c>
      <c r="P7" s="536">
        <f t="shared" si="0"/>
        <v>4753.3783651200029</v>
      </c>
      <c r="Q7" s="536">
        <f t="shared" si="0"/>
        <v>4991.0472833760032</v>
      </c>
      <c r="R7" s="536">
        <f t="shared" si="0"/>
        <v>5240.5996475448037</v>
      </c>
      <c r="S7" s="536">
        <f t="shared" si="0"/>
        <v>5502.6296299220439</v>
      </c>
      <c r="T7" s="536">
        <f t="shared" si="0"/>
        <v>5667.7085188197052</v>
      </c>
      <c r="U7" s="536">
        <f t="shared" si="0"/>
        <v>5837.7397743842967</v>
      </c>
      <c r="V7" s="536">
        <f t="shared" si="0"/>
        <v>6012.8719676158253</v>
      </c>
      <c r="W7" s="536">
        <f t="shared" si="0"/>
        <v>6193.2581266443003</v>
      </c>
    </row>
    <row r="8" spans="1:23" s="96" customFormat="1" x14ac:dyDescent="0.25">
      <c r="B8" s="276" t="str">
        <f>'Products (RTE) - Inst.'!C7</f>
        <v>GF COOKIE  (VANILLA / CHOCOLATE) NAS</v>
      </c>
      <c r="C8" s="419">
        <f>'Products (RTE) - Inst.'!H7</f>
        <v>453.33995199999993</v>
      </c>
      <c r="D8" s="293"/>
      <c r="E8" s="293"/>
      <c r="F8" s="293"/>
      <c r="G8" s="536"/>
      <c r="H8" s="293">
        <v>1000</v>
      </c>
      <c r="I8" s="536">
        <f t="shared" ref="I8:W8" si="1">H8*(1+I15)</f>
        <v>1100</v>
      </c>
      <c r="J8" s="536">
        <f t="shared" si="1"/>
        <v>1210</v>
      </c>
      <c r="K8" s="536">
        <f t="shared" si="1"/>
        <v>1331</v>
      </c>
      <c r="L8" s="536">
        <f t="shared" si="1"/>
        <v>1437.48</v>
      </c>
      <c r="M8" s="536">
        <f t="shared" si="1"/>
        <v>1552.4784000000002</v>
      </c>
      <c r="N8" s="536">
        <f t="shared" si="1"/>
        <v>1676.6766720000003</v>
      </c>
      <c r="O8" s="536">
        <f t="shared" si="1"/>
        <v>1810.8108057600004</v>
      </c>
      <c r="P8" s="536">
        <f t="shared" si="1"/>
        <v>1901.3513460480006</v>
      </c>
      <c r="Q8" s="536">
        <f t="shared" si="1"/>
        <v>1996.4189133504008</v>
      </c>
      <c r="R8" s="536">
        <f t="shared" si="1"/>
        <v>2096.2398590179209</v>
      </c>
      <c r="S8" s="536">
        <f t="shared" si="1"/>
        <v>2201.0518519688171</v>
      </c>
      <c r="T8" s="536">
        <f t="shared" si="1"/>
        <v>2267.0834075278817</v>
      </c>
      <c r="U8" s="536">
        <f t="shared" si="1"/>
        <v>2335.0959097537184</v>
      </c>
      <c r="V8" s="536">
        <f t="shared" si="1"/>
        <v>2405.1487870463302</v>
      </c>
      <c r="W8" s="536">
        <f t="shared" si="1"/>
        <v>2477.3032506577201</v>
      </c>
    </row>
    <row r="9" spans="1:23" s="96" customFormat="1" x14ac:dyDescent="0.25">
      <c r="B9" s="276" t="str">
        <f>'Products (RTE) - Inst.'!C8</f>
        <v>Multigrain Cookie</v>
      </c>
      <c r="C9" s="419">
        <f>'Products (RTE) - Inst.'!H8</f>
        <v>364.88337599999994</v>
      </c>
      <c r="D9" s="293"/>
      <c r="E9" s="293"/>
      <c r="F9" s="293"/>
      <c r="G9" s="537"/>
      <c r="H9" s="293">
        <v>2500</v>
      </c>
      <c r="I9" s="536">
        <f t="shared" ref="I9:W9" si="2">H9*(1+I16)</f>
        <v>2750</v>
      </c>
      <c r="J9" s="536">
        <f t="shared" si="2"/>
        <v>3025.0000000000005</v>
      </c>
      <c r="K9" s="536">
        <f t="shared" si="2"/>
        <v>3327.5000000000009</v>
      </c>
      <c r="L9" s="536">
        <f t="shared" si="2"/>
        <v>3593.7000000000012</v>
      </c>
      <c r="M9" s="536">
        <f t="shared" si="2"/>
        <v>3881.1960000000017</v>
      </c>
      <c r="N9" s="536">
        <f t="shared" si="2"/>
        <v>4191.6916800000017</v>
      </c>
      <c r="O9" s="536">
        <f t="shared" si="2"/>
        <v>4527.0270144000024</v>
      </c>
      <c r="P9" s="536">
        <f t="shared" si="2"/>
        <v>4753.3783651200029</v>
      </c>
      <c r="Q9" s="536">
        <f t="shared" si="2"/>
        <v>4991.0472833760032</v>
      </c>
      <c r="R9" s="536">
        <f t="shared" si="2"/>
        <v>5240.5996475448037</v>
      </c>
      <c r="S9" s="536">
        <f t="shared" si="2"/>
        <v>5502.6296299220439</v>
      </c>
      <c r="T9" s="536">
        <f t="shared" si="2"/>
        <v>5667.7085188197052</v>
      </c>
      <c r="U9" s="536">
        <f t="shared" si="2"/>
        <v>5837.7397743842967</v>
      </c>
      <c r="V9" s="536">
        <f t="shared" si="2"/>
        <v>6012.8719676158253</v>
      </c>
      <c r="W9" s="536">
        <f t="shared" si="2"/>
        <v>6193.2581266443003</v>
      </c>
    </row>
    <row r="10" spans="1:23" s="96" customFormat="1" x14ac:dyDescent="0.25">
      <c r="B10" s="276" t="str">
        <f>'Products (RTE) - Inst.'!C9</f>
        <v>Multigran Jaggery Cookie</v>
      </c>
      <c r="C10" s="419">
        <f>'Products (RTE) - Inst.'!H9</f>
        <v>364.88337599999994</v>
      </c>
      <c r="D10" s="293"/>
      <c r="E10" s="293"/>
      <c r="F10" s="293"/>
      <c r="G10" s="537"/>
      <c r="H10" s="293">
        <v>2500</v>
      </c>
      <c r="I10" s="536">
        <f t="shared" ref="I10:W10" si="3">H10*(1+I17)</f>
        <v>2750</v>
      </c>
      <c r="J10" s="536">
        <f t="shared" si="3"/>
        <v>3025.0000000000005</v>
      </c>
      <c r="K10" s="536">
        <f t="shared" si="3"/>
        <v>3327.5000000000009</v>
      </c>
      <c r="L10" s="536">
        <f t="shared" si="3"/>
        <v>3593.7000000000012</v>
      </c>
      <c r="M10" s="536">
        <f t="shared" si="3"/>
        <v>3881.1960000000017</v>
      </c>
      <c r="N10" s="536">
        <f t="shared" si="3"/>
        <v>4191.6916800000017</v>
      </c>
      <c r="O10" s="536">
        <f t="shared" si="3"/>
        <v>4527.0270144000024</v>
      </c>
      <c r="P10" s="536">
        <f t="shared" si="3"/>
        <v>4753.3783651200029</v>
      </c>
      <c r="Q10" s="536">
        <f t="shared" si="3"/>
        <v>4991.0472833760032</v>
      </c>
      <c r="R10" s="536">
        <f t="shared" si="3"/>
        <v>5240.5996475448037</v>
      </c>
      <c r="S10" s="536">
        <f t="shared" si="3"/>
        <v>5502.6296299220439</v>
      </c>
      <c r="T10" s="536">
        <f t="shared" si="3"/>
        <v>5667.7085188197052</v>
      </c>
      <c r="U10" s="536">
        <f t="shared" si="3"/>
        <v>5837.7397743842967</v>
      </c>
      <c r="V10" s="536">
        <f t="shared" si="3"/>
        <v>6012.8719676158253</v>
      </c>
      <c r="W10" s="536">
        <f t="shared" si="3"/>
        <v>6193.2581266443003</v>
      </c>
    </row>
    <row r="11" spans="1:23" s="96" customFormat="1" x14ac:dyDescent="0.25">
      <c r="B11" s="276" t="str">
        <f>'Products (RTE) - Inst.'!C10</f>
        <v>Pasta</v>
      </c>
      <c r="C11" s="419">
        <f>'Products (RTE) - Inst.'!H10</f>
        <v>352.62689280000001</v>
      </c>
      <c r="D11" s="293">
        <v>6000</v>
      </c>
      <c r="E11" s="293">
        <v>3000</v>
      </c>
      <c r="F11" s="293">
        <v>7500</v>
      </c>
      <c r="G11" s="293">
        <v>9000</v>
      </c>
      <c r="H11" s="293">
        <v>15000</v>
      </c>
      <c r="I11" s="536">
        <f t="shared" ref="I11:W11" si="4">H11*(1+I18)</f>
        <v>16500</v>
      </c>
      <c r="J11" s="536">
        <f t="shared" si="4"/>
        <v>18150</v>
      </c>
      <c r="K11" s="536">
        <f t="shared" si="4"/>
        <v>19965</v>
      </c>
      <c r="L11" s="536">
        <f t="shared" si="4"/>
        <v>21562.2</v>
      </c>
      <c r="M11" s="536">
        <f t="shared" si="4"/>
        <v>23287.176000000003</v>
      </c>
      <c r="N11" s="536">
        <f t="shared" si="4"/>
        <v>25150.150080000007</v>
      </c>
      <c r="O11" s="536">
        <f t="shared" si="4"/>
        <v>27162.162086400011</v>
      </c>
      <c r="P11" s="536">
        <f t="shared" si="4"/>
        <v>28520.270190720013</v>
      </c>
      <c r="Q11" s="536">
        <f t="shared" si="4"/>
        <v>29946.283700256015</v>
      </c>
      <c r="R11" s="536">
        <f t="shared" si="4"/>
        <v>31443.597885268817</v>
      </c>
      <c r="S11" s="536">
        <f t="shared" si="4"/>
        <v>33015.777779532262</v>
      </c>
      <c r="T11" s="536">
        <f t="shared" si="4"/>
        <v>34006.251112918231</v>
      </c>
      <c r="U11" s="536">
        <f t="shared" si="4"/>
        <v>35026.438646305782</v>
      </c>
      <c r="V11" s="536">
        <f t="shared" si="4"/>
        <v>36077.231805694959</v>
      </c>
      <c r="W11" s="536">
        <f t="shared" si="4"/>
        <v>37159.548759865807</v>
      </c>
    </row>
    <row r="12" spans="1:23" s="96" customFormat="1" x14ac:dyDescent="0.25">
      <c r="B12" s="276"/>
      <c r="C12" s="281"/>
      <c r="D12" s="78">
        <f t="shared" ref="D12:W12" si="5">SUM(D7:D11)</f>
        <v>8000</v>
      </c>
      <c r="E12" s="78">
        <f t="shared" si="5"/>
        <v>5000</v>
      </c>
      <c r="F12" s="78">
        <f t="shared" si="5"/>
        <v>9500</v>
      </c>
      <c r="G12" s="78">
        <f t="shared" si="5"/>
        <v>11000</v>
      </c>
      <c r="H12" s="78">
        <f t="shared" si="5"/>
        <v>23500</v>
      </c>
      <c r="I12" s="78">
        <f t="shared" si="5"/>
        <v>25850</v>
      </c>
      <c r="J12" s="78">
        <f t="shared" si="5"/>
        <v>28435</v>
      </c>
      <c r="K12" s="78">
        <f t="shared" si="5"/>
        <v>31278.500000000004</v>
      </c>
      <c r="L12" s="78">
        <f t="shared" si="5"/>
        <v>33780.780000000006</v>
      </c>
      <c r="M12" s="78">
        <f t="shared" si="5"/>
        <v>36483.24240000001</v>
      </c>
      <c r="N12" s="78">
        <f t="shared" si="5"/>
        <v>39401.901792000011</v>
      </c>
      <c r="O12" s="78">
        <f t="shared" si="5"/>
        <v>42554.053935360018</v>
      </c>
      <c r="P12" s="78">
        <f t="shared" si="5"/>
        <v>44681.756632128025</v>
      </c>
      <c r="Q12" s="78">
        <f t="shared" si="5"/>
        <v>46915.844463734422</v>
      </c>
      <c r="R12" s="78">
        <f t="shared" si="5"/>
        <v>49261.636686921149</v>
      </c>
      <c r="S12" s="78">
        <f t="shared" si="5"/>
        <v>51724.718521267212</v>
      </c>
      <c r="T12" s="78">
        <f t="shared" si="5"/>
        <v>53276.460076905227</v>
      </c>
      <c r="U12" s="78">
        <f t="shared" si="5"/>
        <v>54874.753879212389</v>
      </c>
      <c r="V12" s="78">
        <f t="shared" si="5"/>
        <v>56520.996495588763</v>
      </c>
      <c r="W12" s="78">
        <f t="shared" si="5"/>
        <v>58216.626390456426</v>
      </c>
    </row>
    <row r="13" spans="1:23" s="96" customFormat="1" x14ac:dyDescent="0.25">
      <c r="B13" s="219" t="s">
        <v>379</v>
      </c>
      <c r="C13" s="281"/>
      <c r="D13" s="88"/>
      <c r="E13" s="88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</row>
    <row r="14" spans="1:23" s="96" customFormat="1" x14ac:dyDescent="0.25">
      <c r="B14" s="276" t="str">
        <f>B7</f>
        <v>GF, Lf COOKIE (VANILLA / CHOCOLATE)</v>
      </c>
      <c r="C14" s="281"/>
      <c r="D14" s="292"/>
      <c r="E14" s="291"/>
      <c r="F14" s="291"/>
      <c r="G14" s="291"/>
      <c r="H14" s="291"/>
      <c r="I14" s="291">
        <v>0.1</v>
      </c>
      <c r="J14" s="291">
        <v>0.1</v>
      </c>
      <c r="K14" s="291">
        <v>0.1</v>
      </c>
      <c r="L14" s="291">
        <v>0.08</v>
      </c>
      <c r="M14" s="291">
        <v>0.08</v>
      </c>
      <c r="N14" s="291">
        <v>0.08</v>
      </c>
      <c r="O14" s="291">
        <v>0.08</v>
      </c>
      <c r="P14" s="291">
        <v>0.05</v>
      </c>
      <c r="Q14" s="291">
        <v>0.05</v>
      </c>
      <c r="R14" s="291">
        <v>0.05</v>
      </c>
      <c r="S14" s="291">
        <v>0.05</v>
      </c>
      <c r="T14" s="291">
        <v>0.03</v>
      </c>
      <c r="U14" s="291">
        <v>0.03</v>
      </c>
      <c r="V14" s="291">
        <v>0.03</v>
      </c>
      <c r="W14" s="291">
        <v>0.03</v>
      </c>
    </row>
    <row r="15" spans="1:23" s="96" customFormat="1" x14ac:dyDescent="0.25">
      <c r="B15" s="276" t="str">
        <f>B8</f>
        <v>GF COOKIE  (VANILLA / CHOCOLATE) NAS</v>
      </c>
      <c r="C15" s="281"/>
      <c r="D15" s="292"/>
      <c r="E15" s="291"/>
      <c r="F15" s="291"/>
      <c r="G15" s="291"/>
      <c r="H15" s="291"/>
      <c r="I15" s="291">
        <v>0.1</v>
      </c>
      <c r="J15" s="291">
        <v>0.1</v>
      </c>
      <c r="K15" s="291">
        <v>0.1</v>
      </c>
      <c r="L15" s="291">
        <v>0.08</v>
      </c>
      <c r="M15" s="291">
        <v>0.08</v>
      </c>
      <c r="N15" s="291">
        <v>0.08</v>
      </c>
      <c r="O15" s="291">
        <v>0.08</v>
      </c>
      <c r="P15" s="291">
        <v>0.05</v>
      </c>
      <c r="Q15" s="291">
        <v>0.05</v>
      </c>
      <c r="R15" s="291">
        <v>0.05</v>
      </c>
      <c r="S15" s="291">
        <v>0.05</v>
      </c>
      <c r="T15" s="291">
        <v>0.03</v>
      </c>
      <c r="U15" s="291">
        <v>0.03</v>
      </c>
      <c r="V15" s="291">
        <v>0.03</v>
      </c>
      <c r="W15" s="291">
        <v>0.03</v>
      </c>
    </row>
    <row r="16" spans="1:23" s="96" customFormat="1" x14ac:dyDescent="0.25">
      <c r="B16" s="276" t="str">
        <f>B9</f>
        <v>Multigrain Cookie</v>
      </c>
      <c r="C16" s="281"/>
      <c r="D16" s="292"/>
      <c r="E16" s="291"/>
      <c r="F16" s="291"/>
      <c r="G16" s="291"/>
      <c r="H16" s="291"/>
      <c r="I16" s="291">
        <v>0.1</v>
      </c>
      <c r="J16" s="291">
        <v>0.1</v>
      </c>
      <c r="K16" s="291">
        <v>0.1</v>
      </c>
      <c r="L16" s="291">
        <v>0.08</v>
      </c>
      <c r="M16" s="291">
        <v>0.08</v>
      </c>
      <c r="N16" s="291">
        <v>0.08</v>
      </c>
      <c r="O16" s="291">
        <v>0.08</v>
      </c>
      <c r="P16" s="291">
        <v>0.05</v>
      </c>
      <c r="Q16" s="291">
        <v>0.05</v>
      </c>
      <c r="R16" s="291">
        <v>0.05</v>
      </c>
      <c r="S16" s="291">
        <v>0.05</v>
      </c>
      <c r="T16" s="291">
        <v>0.03</v>
      </c>
      <c r="U16" s="291">
        <v>0.03</v>
      </c>
      <c r="V16" s="291">
        <v>0.03</v>
      </c>
      <c r="W16" s="291">
        <v>0.03</v>
      </c>
    </row>
    <row r="17" spans="2:23" s="96" customFormat="1" x14ac:dyDescent="0.25">
      <c r="B17" s="276" t="str">
        <f>B10</f>
        <v>Multigran Jaggery Cookie</v>
      </c>
      <c r="C17" s="281"/>
      <c r="D17" s="292"/>
      <c r="E17" s="291"/>
      <c r="F17" s="291"/>
      <c r="G17" s="291"/>
      <c r="H17" s="291"/>
      <c r="I17" s="291">
        <v>0.1</v>
      </c>
      <c r="J17" s="291">
        <v>0.1</v>
      </c>
      <c r="K17" s="291">
        <v>0.1</v>
      </c>
      <c r="L17" s="291">
        <v>0.08</v>
      </c>
      <c r="M17" s="291">
        <v>0.08</v>
      </c>
      <c r="N17" s="291">
        <v>0.08</v>
      </c>
      <c r="O17" s="291">
        <v>0.08</v>
      </c>
      <c r="P17" s="291">
        <v>0.05</v>
      </c>
      <c r="Q17" s="291">
        <v>0.05</v>
      </c>
      <c r="R17" s="291">
        <v>0.05</v>
      </c>
      <c r="S17" s="291">
        <v>0.05</v>
      </c>
      <c r="T17" s="291">
        <v>0.03</v>
      </c>
      <c r="U17" s="291">
        <v>0.03</v>
      </c>
      <c r="V17" s="291">
        <v>0.03</v>
      </c>
      <c r="W17" s="291">
        <v>0.03</v>
      </c>
    </row>
    <row r="18" spans="2:23" s="96" customFormat="1" x14ac:dyDescent="0.25">
      <c r="B18" s="276" t="str">
        <f>B11</f>
        <v>Pasta</v>
      </c>
      <c r="C18" s="281"/>
      <c r="D18" s="292"/>
      <c r="E18" s="291"/>
      <c r="F18" s="291"/>
      <c r="G18" s="291"/>
      <c r="H18" s="291"/>
      <c r="I18" s="291">
        <v>0.1</v>
      </c>
      <c r="J18" s="291">
        <v>0.1</v>
      </c>
      <c r="K18" s="291">
        <v>0.1</v>
      </c>
      <c r="L18" s="291">
        <v>0.08</v>
      </c>
      <c r="M18" s="291">
        <v>0.08</v>
      </c>
      <c r="N18" s="291">
        <v>0.08</v>
      </c>
      <c r="O18" s="291">
        <v>0.08</v>
      </c>
      <c r="P18" s="291">
        <v>0.05</v>
      </c>
      <c r="Q18" s="291">
        <v>0.05</v>
      </c>
      <c r="R18" s="291">
        <v>0.05</v>
      </c>
      <c r="S18" s="291">
        <v>0.05</v>
      </c>
      <c r="T18" s="291">
        <v>0.03</v>
      </c>
      <c r="U18" s="291">
        <v>0.03</v>
      </c>
      <c r="V18" s="291">
        <v>0.03</v>
      </c>
      <c r="W18" s="291">
        <v>0.03</v>
      </c>
    </row>
    <row r="19" spans="2:23" s="96" customFormat="1" x14ac:dyDescent="0.25">
      <c r="B19" s="276"/>
      <c r="C19" s="281"/>
      <c r="D19" s="88"/>
      <c r="E19" s="88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</row>
    <row r="20" spans="2:23" s="96" customFormat="1" x14ac:dyDescent="0.25">
      <c r="B20" s="219" t="s">
        <v>370</v>
      </c>
      <c r="C20" s="281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spans="2:23" s="96" customFormat="1" x14ac:dyDescent="0.25">
      <c r="B21" s="276" t="str">
        <f>B14</f>
        <v>GF, Lf COOKIE (VANILLA / CHOCOLATE)</v>
      </c>
      <c r="C21" s="281"/>
      <c r="D21" s="88">
        <f t="shared" ref="D21:W21" si="6">$C7*D7</f>
        <v>773995.03999999992</v>
      </c>
      <c r="E21" s="88">
        <f t="shared" si="6"/>
        <v>773995.03999999992</v>
      </c>
      <c r="F21" s="88">
        <f t="shared" si="6"/>
        <v>773995.03999999992</v>
      </c>
      <c r="G21" s="88">
        <f t="shared" si="6"/>
        <v>773995.03999999992</v>
      </c>
      <c r="H21" s="88">
        <f t="shared" si="6"/>
        <v>967493.79999999993</v>
      </c>
      <c r="I21" s="88">
        <f t="shared" si="6"/>
        <v>1064243.18</v>
      </c>
      <c r="J21" s="88">
        <f t="shared" si="6"/>
        <v>1170667.4980000001</v>
      </c>
      <c r="K21" s="88">
        <f t="shared" si="6"/>
        <v>1287734.2478000002</v>
      </c>
      <c r="L21" s="88">
        <f t="shared" si="6"/>
        <v>1390752.9876240003</v>
      </c>
      <c r="M21" s="88">
        <f t="shared" si="6"/>
        <v>1502013.2266339206</v>
      </c>
      <c r="N21" s="88">
        <f t="shared" si="6"/>
        <v>1622174.284764634</v>
      </c>
      <c r="O21" s="88">
        <f t="shared" si="6"/>
        <v>1751948.227545805</v>
      </c>
      <c r="P21" s="88">
        <f t="shared" si="6"/>
        <v>1839545.6389230953</v>
      </c>
      <c r="Q21" s="88">
        <f t="shared" si="6"/>
        <v>1931522.9208692503</v>
      </c>
      <c r="R21" s="88">
        <f t="shared" si="6"/>
        <v>2028099.0669127128</v>
      </c>
      <c r="S21" s="88">
        <f t="shared" si="6"/>
        <v>2129504.0202583484</v>
      </c>
      <c r="T21" s="88">
        <f t="shared" si="6"/>
        <v>2193389.1408660989</v>
      </c>
      <c r="U21" s="88">
        <f t="shared" si="6"/>
        <v>2259190.8150920821</v>
      </c>
      <c r="V21" s="88">
        <f t="shared" si="6"/>
        <v>2326966.5395448445</v>
      </c>
      <c r="W21" s="88">
        <f t="shared" si="6"/>
        <v>2396775.5357311899</v>
      </c>
    </row>
    <row r="22" spans="2:23" s="96" customFormat="1" x14ac:dyDescent="0.25">
      <c r="B22" s="276" t="str">
        <f>B15</f>
        <v>GF COOKIE  (VANILLA / CHOCOLATE) NAS</v>
      </c>
      <c r="C22" s="281"/>
      <c r="D22" s="88">
        <f t="shared" ref="D22:W22" si="7">$C8*D8</f>
        <v>0</v>
      </c>
      <c r="E22" s="88">
        <f t="shared" si="7"/>
        <v>0</v>
      </c>
      <c r="F22" s="88">
        <f t="shared" si="7"/>
        <v>0</v>
      </c>
      <c r="G22" s="88">
        <f t="shared" si="7"/>
        <v>0</v>
      </c>
      <c r="H22" s="88">
        <f t="shared" si="7"/>
        <v>453339.95199999993</v>
      </c>
      <c r="I22" s="88">
        <f t="shared" si="7"/>
        <v>498673.94719999994</v>
      </c>
      <c r="J22" s="88">
        <f t="shared" si="7"/>
        <v>548541.34191999992</v>
      </c>
      <c r="K22" s="88">
        <f t="shared" si="7"/>
        <v>603395.47611199995</v>
      </c>
      <c r="L22" s="88">
        <f t="shared" si="7"/>
        <v>651667.11420095991</v>
      </c>
      <c r="M22" s="88">
        <f t="shared" si="7"/>
        <v>703800.4833370368</v>
      </c>
      <c r="N22" s="88">
        <f t="shared" si="7"/>
        <v>760104.52200399979</v>
      </c>
      <c r="O22" s="88">
        <f t="shared" si="7"/>
        <v>820912.88376431982</v>
      </c>
      <c r="P22" s="88">
        <f t="shared" si="7"/>
        <v>861958.52795253578</v>
      </c>
      <c r="Q22" s="88">
        <f t="shared" si="7"/>
        <v>905056.45435016265</v>
      </c>
      <c r="R22" s="88">
        <f t="shared" si="7"/>
        <v>950309.27706767083</v>
      </c>
      <c r="S22" s="88">
        <f t="shared" si="7"/>
        <v>997824.7409210545</v>
      </c>
      <c r="T22" s="88">
        <f t="shared" si="7"/>
        <v>1027759.4831486861</v>
      </c>
      <c r="U22" s="88">
        <f t="shared" si="7"/>
        <v>1058592.2676431469</v>
      </c>
      <c r="V22" s="88">
        <f t="shared" si="7"/>
        <v>1090350.0356724414</v>
      </c>
      <c r="W22" s="88">
        <f t="shared" si="7"/>
        <v>1123060.5367426146</v>
      </c>
    </row>
    <row r="23" spans="2:23" s="96" customFormat="1" x14ac:dyDescent="0.25">
      <c r="B23" s="276" t="str">
        <f>B16</f>
        <v>Multigrain Cookie</v>
      </c>
      <c r="C23" s="281"/>
      <c r="D23" s="88">
        <f t="shared" ref="D23:W23" si="8">$C9*D9</f>
        <v>0</v>
      </c>
      <c r="E23" s="88">
        <f t="shared" si="8"/>
        <v>0</v>
      </c>
      <c r="F23" s="88">
        <f t="shared" si="8"/>
        <v>0</v>
      </c>
      <c r="G23" s="88">
        <f t="shared" si="8"/>
        <v>0</v>
      </c>
      <c r="H23" s="88">
        <f t="shared" si="8"/>
        <v>912208.43999999983</v>
      </c>
      <c r="I23" s="88">
        <f t="shared" si="8"/>
        <v>1003429.2839999999</v>
      </c>
      <c r="J23" s="88">
        <f t="shared" si="8"/>
        <v>1103772.2124000001</v>
      </c>
      <c r="K23" s="88">
        <f t="shared" si="8"/>
        <v>1214149.4336400002</v>
      </c>
      <c r="L23" s="88">
        <f t="shared" si="8"/>
        <v>1311281.3883312002</v>
      </c>
      <c r="M23" s="88">
        <f t="shared" si="8"/>
        <v>1416183.8993976964</v>
      </c>
      <c r="N23" s="88">
        <f t="shared" si="8"/>
        <v>1529478.6113495121</v>
      </c>
      <c r="O23" s="88">
        <f t="shared" si="8"/>
        <v>1651836.9002574731</v>
      </c>
      <c r="P23" s="88">
        <f t="shared" si="8"/>
        <v>1734428.745270347</v>
      </c>
      <c r="Q23" s="88">
        <f t="shared" si="8"/>
        <v>1821150.1825338644</v>
      </c>
      <c r="R23" s="88">
        <f t="shared" si="8"/>
        <v>1912207.6916605579</v>
      </c>
      <c r="S23" s="88">
        <f t="shared" si="8"/>
        <v>2007818.0762435857</v>
      </c>
      <c r="T23" s="88">
        <f t="shared" si="8"/>
        <v>2068052.6185308932</v>
      </c>
      <c r="U23" s="88">
        <f t="shared" si="8"/>
        <v>2130094.1970868199</v>
      </c>
      <c r="V23" s="88">
        <f t="shared" si="8"/>
        <v>2193997.0229994245</v>
      </c>
      <c r="W23" s="88">
        <f t="shared" si="8"/>
        <v>2259816.9336894075</v>
      </c>
    </row>
    <row r="24" spans="2:23" s="96" customFormat="1" x14ac:dyDescent="0.25">
      <c r="B24" s="276" t="str">
        <f>B17</f>
        <v>Multigran Jaggery Cookie</v>
      </c>
      <c r="C24" s="281"/>
      <c r="D24" s="88">
        <f t="shared" ref="D24:W24" si="9">$C10*D10</f>
        <v>0</v>
      </c>
      <c r="E24" s="88">
        <f t="shared" si="9"/>
        <v>0</v>
      </c>
      <c r="F24" s="88">
        <f t="shared" si="9"/>
        <v>0</v>
      </c>
      <c r="G24" s="88">
        <f t="shared" si="9"/>
        <v>0</v>
      </c>
      <c r="H24" s="88">
        <f t="shared" si="9"/>
        <v>912208.43999999983</v>
      </c>
      <c r="I24" s="88">
        <f t="shared" si="9"/>
        <v>1003429.2839999999</v>
      </c>
      <c r="J24" s="88">
        <f t="shared" si="9"/>
        <v>1103772.2124000001</v>
      </c>
      <c r="K24" s="88">
        <f t="shared" si="9"/>
        <v>1214149.4336400002</v>
      </c>
      <c r="L24" s="88">
        <f t="shared" si="9"/>
        <v>1311281.3883312002</v>
      </c>
      <c r="M24" s="88">
        <f t="shared" si="9"/>
        <v>1416183.8993976964</v>
      </c>
      <c r="N24" s="88">
        <f t="shared" si="9"/>
        <v>1529478.6113495121</v>
      </c>
      <c r="O24" s="88">
        <f t="shared" si="9"/>
        <v>1651836.9002574731</v>
      </c>
      <c r="P24" s="88">
        <f t="shared" si="9"/>
        <v>1734428.745270347</v>
      </c>
      <c r="Q24" s="88">
        <f t="shared" si="9"/>
        <v>1821150.1825338644</v>
      </c>
      <c r="R24" s="88">
        <f t="shared" si="9"/>
        <v>1912207.6916605579</v>
      </c>
      <c r="S24" s="88">
        <f t="shared" si="9"/>
        <v>2007818.0762435857</v>
      </c>
      <c r="T24" s="88">
        <f t="shared" si="9"/>
        <v>2068052.6185308932</v>
      </c>
      <c r="U24" s="88">
        <f t="shared" si="9"/>
        <v>2130094.1970868199</v>
      </c>
      <c r="V24" s="88">
        <f t="shared" si="9"/>
        <v>2193997.0229994245</v>
      </c>
      <c r="W24" s="88">
        <f t="shared" si="9"/>
        <v>2259816.9336894075</v>
      </c>
    </row>
    <row r="25" spans="2:23" s="96" customFormat="1" x14ac:dyDescent="0.25">
      <c r="B25" s="276" t="str">
        <f>B18</f>
        <v>Pasta</v>
      </c>
      <c r="C25" s="281"/>
      <c r="D25" s="88">
        <f t="shared" ref="D25:W25" si="10">$C11*D11</f>
        <v>2115761.3568000002</v>
      </c>
      <c r="E25" s="88">
        <f t="shared" si="10"/>
        <v>1057880.6784000001</v>
      </c>
      <c r="F25" s="88">
        <f t="shared" si="10"/>
        <v>2644701.696</v>
      </c>
      <c r="G25" s="88">
        <f t="shared" si="10"/>
        <v>3173642.0352000003</v>
      </c>
      <c r="H25" s="88">
        <f t="shared" si="10"/>
        <v>5289403.392</v>
      </c>
      <c r="I25" s="88">
        <f t="shared" si="10"/>
        <v>5818343.7312000003</v>
      </c>
      <c r="J25" s="88">
        <f t="shared" si="10"/>
        <v>6400178.1043199999</v>
      </c>
      <c r="K25" s="88">
        <f t="shared" si="10"/>
        <v>7040195.914752</v>
      </c>
      <c r="L25" s="88">
        <f t="shared" si="10"/>
        <v>7603411.5879321601</v>
      </c>
      <c r="M25" s="88">
        <f t="shared" si="10"/>
        <v>8211684.5149667338</v>
      </c>
      <c r="N25" s="88">
        <f t="shared" si="10"/>
        <v>8868619.2761640735</v>
      </c>
      <c r="O25" s="88">
        <f t="shared" si="10"/>
        <v>9578108.8182572015</v>
      </c>
      <c r="P25" s="88">
        <f t="shared" si="10"/>
        <v>10057014.259170063</v>
      </c>
      <c r="Q25" s="88">
        <f t="shared" si="10"/>
        <v>10559864.972128566</v>
      </c>
      <c r="R25" s="88">
        <f t="shared" si="10"/>
        <v>11087858.220734995</v>
      </c>
      <c r="S25" s="88">
        <f t="shared" si="10"/>
        <v>11642251.131771745</v>
      </c>
      <c r="T25" s="88">
        <f t="shared" si="10"/>
        <v>11991518.665724898</v>
      </c>
      <c r="U25" s="88">
        <f t="shared" si="10"/>
        <v>12351264.225696646</v>
      </c>
      <c r="V25" s="88">
        <f t="shared" si="10"/>
        <v>12721802.152467547</v>
      </c>
      <c r="W25" s="88">
        <f t="shared" si="10"/>
        <v>13103456.217041573</v>
      </c>
    </row>
    <row r="26" spans="2:23" s="96" customFormat="1" x14ac:dyDescent="0.25">
      <c r="B26" s="288" t="s">
        <v>138</v>
      </c>
      <c r="C26" s="281"/>
      <c r="D26" s="78">
        <f t="shared" ref="D26:W26" si="11">SUM(D21:D25)</f>
        <v>2889756.3968000002</v>
      </c>
      <c r="E26" s="78">
        <f t="shared" si="11"/>
        <v>1831875.7184000001</v>
      </c>
      <c r="F26" s="78">
        <f t="shared" si="11"/>
        <v>3418696.736</v>
      </c>
      <c r="G26" s="78">
        <f t="shared" si="11"/>
        <v>3947637.0752000003</v>
      </c>
      <c r="H26" s="78">
        <f t="shared" si="11"/>
        <v>8534654.0240000002</v>
      </c>
      <c r="I26" s="78">
        <f t="shared" si="11"/>
        <v>9388119.4264000002</v>
      </c>
      <c r="J26" s="78">
        <f t="shared" si="11"/>
        <v>10326931.369040001</v>
      </c>
      <c r="K26" s="78">
        <f t="shared" si="11"/>
        <v>11359624.505944001</v>
      </c>
      <c r="L26" s="78">
        <f t="shared" si="11"/>
        <v>12268394.466419522</v>
      </c>
      <c r="M26" s="78">
        <f t="shared" si="11"/>
        <v>13249866.023733083</v>
      </c>
      <c r="N26" s="78">
        <f t="shared" si="11"/>
        <v>14309855.305631731</v>
      </c>
      <c r="O26" s="78">
        <f t="shared" si="11"/>
        <v>15454643.730082273</v>
      </c>
      <c r="P26" s="78">
        <f t="shared" si="11"/>
        <v>16227375.916586388</v>
      </c>
      <c r="Q26" s="78">
        <f t="shared" si="11"/>
        <v>17038744.71241571</v>
      </c>
      <c r="R26" s="78">
        <f t="shared" si="11"/>
        <v>17890681.948036496</v>
      </c>
      <c r="S26" s="78">
        <f t="shared" si="11"/>
        <v>18785216.045438319</v>
      </c>
      <c r="T26" s="78">
        <f t="shared" si="11"/>
        <v>19348772.526801467</v>
      </c>
      <c r="U26" s="78">
        <f t="shared" si="11"/>
        <v>19929235.702605516</v>
      </c>
      <c r="V26" s="78">
        <f t="shared" si="11"/>
        <v>20527112.773683682</v>
      </c>
      <c r="W26" s="78">
        <f t="shared" si="11"/>
        <v>21142926.156894192</v>
      </c>
    </row>
    <row r="27" spans="2:23" s="96" customFormat="1" x14ac:dyDescent="0.25">
      <c r="B27" s="289" t="s">
        <v>135</v>
      </c>
      <c r="C27" s="281"/>
      <c r="D27" s="88"/>
      <c r="E27" s="277" t="s">
        <v>593</v>
      </c>
      <c r="F27" s="277">
        <f>F26/E26-1</f>
        <v>0.86622744199369794</v>
      </c>
      <c r="G27" s="277">
        <f>G26/F26-1</f>
        <v>0.15471987720644664</v>
      </c>
      <c r="H27" s="277">
        <f t="shared" ref="H27:S27" si="12">H26/G26-1</f>
        <v>1.1619652114468013</v>
      </c>
      <c r="I27" s="277">
        <f t="shared" si="12"/>
        <v>0.10000000000000009</v>
      </c>
      <c r="J27" s="277">
        <f t="shared" si="12"/>
        <v>0.10000000000000009</v>
      </c>
      <c r="K27" s="277">
        <f t="shared" si="12"/>
        <v>9.9999999999999867E-2</v>
      </c>
      <c r="L27" s="277">
        <f t="shared" si="12"/>
        <v>8.0000000000000071E-2</v>
      </c>
      <c r="M27" s="277">
        <f t="shared" si="12"/>
        <v>8.0000000000000071E-2</v>
      </c>
      <c r="N27" s="277">
        <f t="shared" si="12"/>
        <v>8.0000000000000071E-2</v>
      </c>
      <c r="O27" s="277">
        <f t="shared" si="12"/>
        <v>8.0000000000000293E-2</v>
      </c>
      <c r="P27" s="277">
        <f t="shared" si="12"/>
        <v>5.0000000000000044E-2</v>
      </c>
      <c r="Q27" s="277">
        <f t="shared" si="12"/>
        <v>5.0000000000000266E-2</v>
      </c>
      <c r="R27" s="277">
        <f t="shared" si="12"/>
        <v>5.0000000000000044E-2</v>
      </c>
      <c r="S27" s="277">
        <f t="shared" si="12"/>
        <v>5.0000000000000044E-2</v>
      </c>
      <c r="T27" s="277">
        <f>T26/S26-1</f>
        <v>2.9999999999999805E-2</v>
      </c>
      <c r="U27" s="277">
        <f>U26/T26-1</f>
        <v>3.0000000000000249E-2</v>
      </c>
      <c r="V27" s="277">
        <f>V26/U26-1</f>
        <v>3.0000000000000027E-2</v>
      </c>
      <c r="W27" s="277">
        <f>W26/V26-1</f>
        <v>3.0000000000000027E-2</v>
      </c>
    </row>
    <row r="28" spans="2:23" s="96" customFormat="1" x14ac:dyDescent="0.25">
      <c r="B28" s="289"/>
      <c r="C28" s="281"/>
      <c r="D28" s="88"/>
      <c r="E28" s="277"/>
      <c r="F28" s="88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</row>
    <row r="29" spans="2:23" s="96" customFormat="1" x14ac:dyDescent="0.25">
      <c r="B29" s="219" t="s">
        <v>371</v>
      </c>
      <c r="C29" s="281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2:23" s="96" customFormat="1" x14ac:dyDescent="0.25">
      <c r="B30" s="276" t="str">
        <f>B21</f>
        <v>GF, Lf COOKIE (VANILLA / CHOCOLATE)</v>
      </c>
      <c r="C30" s="281">
        <f>'Products (RTE) - Inst.'!D23</f>
        <v>175</v>
      </c>
      <c r="D30" s="88"/>
      <c r="E30" s="88">
        <f t="shared" ref="E30:W30" si="13">$C30*E7</f>
        <v>350000</v>
      </c>
      <c r="F30" s="88">
        <f t="shared" si="13"/>
        <v>350000</v>
      </c>
      <c r="G30" s="88">
        <f t="shared" si="13"/>
        <v>350000</v>
      </c>
      <c r="H30" s="88">
        <f t="shared" si="13"/>
        <v>437500</v>
      </c>
      <c r="I30" s="88">
        <f t="shared" si="13"/>
        <v>481250</v>
      </c>
      <c r="J30" s="88">
        <f t="shared" si="13"/>
        <v>529375.00000000012</v>
      </c>
      <c r="K30" s="88">
        <f t="shared" si="13"/>
        <v>582312.50000000012</v>
      </c>
      <c r="L30" s="88">
        <f t="shared" si="13"/>
        <v>628897.50000000023</v>
      </c>
      <c r="M30" s="88">
        <f t="shared" si="13"/>
        <v>679209.30000000028</v>
      </c>
      <c r="N30" s="88">
        <f t="shared" si="13"/>
        <v>733546.04400000034</v>
      </c>
      <c r="O30" s="88">
        <f t="shared" si="13"/>
        <v>792229.72752000042</v>
      </c>
      <c r="P30" s="88">
        <f t="shared" si="13"/>
        <v>831841.21389600052</v>
      </c>
      <c r="Q30" s="88">
        <f t="shared" si="13"/>
        <v>873433.27459080052</v>
      </c>
      <c r="R30" s="88">
        <f t="shared" si="13"/>
        <v>917104.93832034071</v>
      </c>
      <c r="S30" s="88">
        <f t="shared" si="13"/>
        <v>962960.18523635773</v>
      </c>
      <c r="T30" s="88">
        <f t="shared" si="13"/>
        <v>991848.99079344841</v>
      </c>
      <c r="U30" s="88">
        <f t="shared" si="13"/>
        <v>1021604.4605172519</v>
      </c>
      <c r="V30" s="88">
        <f t="shared" si="13"/>
        <v>1052252.5943327695</v>
      </c>
      <c r="W30" s="88">
        <f t="shared" si="13"/>
        <v>1083820.1721627526</v>
      </c>
    </row>
    <row r="31" spans="2:23" s="96" customFormat="1" x14ac:dyDescent="0.25">
      <c r="B31" s="276" t="str">
        <f>B22</f>
        <v>GF COOKIE  (VANILLA / CHOCOLATE) NAS</v>
      </c>
      <c r="C31" s="281">
        <f>'Products (RTE) - Inst.'!E23</f>
        <v>205</v>
      </c>
      <c r="D31" s="88"/>
      <c r="E31" s="88">
        <f t="shared" ref="E31:W31" si="14">$C31*E8</f>
        <v>0</v>
      </c>
      <c r="F31" s="88">
        <f t="shared" si="14"/>
        <v>0</v>
      </c>
      <c r="G31" s="88">
        <f t="shared" si="14"/>
        <v>0</v>
      </c>
      <c r="H31" s="88">
        <f t="shared" si="14"/>
        <v>205000</v>
      </c>
      <c r="I31" s="88">
        <f t="shared" si="14"/>
        <v>225500</v>
      </c>
      <c r="J31" s="88">
        <f t="shared" si="14"/>
        <v>248050</v>
      </c>
      <c r="K31" s="88">
        <f t="shared" si="14"/>
        <v>272855</v>
      </c>
      <c r="L31" s="88">
        <f t="shared" si="14"/>
        <v>294683.40000000002</v>
      </c>
      <c r="M31" s="88">
        <f t="shared" si="14"/>
        <v>318258.07200000004</v>
      </c>
      <c r="N31" s="88">
        <f t="shared" si="14"/>
        <v>343718.71776000003</v>
      </c>
      <c r="O31" s="88">
        <f t="shared" si="14"/>
        <v>371216.21518080006</v>
      </c>
      <c r="P31" s="88">
        <f t="shared" si="14"/>
        <v>389777.02593984012</v>
      </c>
      <c r="Q31" s="88">
        <f t="shared" si="14"/>
        <v>409265.87723683217</v>
      </c>
      <c r="R31" s="88">
        <f t="shared" si="14"/>
        <v>429729.17109867377</v>
      </c>
      <c r="S31" s="88">
        <f t="shared" si="14"/>
        <v>451215.6296536075</v>
      </c>
      <c r="T31" s="88">
        <f t="shared" si="14"/>
        <v>464752.09854321578</v>
      </c>
      <c r="U31" s="88">
        <f t="shared" si="14"/>
        <v>478694.66149951227</v>
      </c>
      <c r="V31" s="88">
        <f t="shared" si="14"/>
        <v>493055.50134449766</v>
      </c>
      <c r="W31" s="88">
        <f t="shared" si="14"/>
        <v>507847.16638483264</v>
      </c>
    </row>
    <row r="32" spans="2:23" s="96" customFormat="1" x14ac:dyDescent="0.25">
      <c r="B32" s="276" t="str">
        <f>B23</f>
        <v>Multigrain Cookie</v>
      </c>
      <c r="C32" s="281">
        <f>'Products (RTE) - Inst.'!F23</f>
        <v>165</v>
      </c>
      <c r="D32" s="88"/>
      <c r="E32" s="88">
        <f t="shared" ref="E32:W32" si="15">$C32*E9</f>
        <v>0</v>
      </c>
      <c r="F32" s="88">
        <f t="shared" si="15"/>
        <v>0</v>
      </c>
      <c r="G32" s="88">
        <f t="shared" si="15"/>
        <v>0</v>
      </c>
      <c r="H32" s="88">
        <f t="shared" si="15"/>
        <v>412500</v>
      </c>
      <c r="I32" s="88">
        <f t="shared" si="15"/>
        <v>453750</v>
      </c>
      <c r="J32" s="88">
        <f t="shared" si="15"/>
        <v>499125.00000000006</v>
      </c>
      <c r="K32" s="88">
        <f t="shared" si="15"/>
        <v>549037.50000000012</v>
      </c>
      <c r="L32" s="88">
        <f t="shared" si="15"/>
        <v>592960.50000000023</v>
      </c>
      <c r="M32" s="88">
        <f t="shared" si="15"/>
        <v>640397.34000000032</v>
      </c>
      <c r="N32" s="88">
        <f t="shared" si="15"/>
        <v>691629.12720000034</v>
      </c>
      <c r="O32" s="88">
        <f t="shared" si="15"/>
        <v>746959.45737600035</v>
      </c>
      <c r="P32" s="88">
        <f t="shared" si="15"/>
        <v>784307.43024480052</v>
      </c>
      <c r="Q32" s="88">
        <f t="shared" si="15"/>
        <v>823522.80175704055</v>
      </c>
      <c r="R32" s="88">
        <f t="shared" si="15"/>
        <v>864698.94184489257</v>
      </c>
      <c r="S32" s="88">
        <f t="shared" si="15"/>
        <v>907933.88893713721</v>
      </c>
      <c r="T32" s="88">
        <f t="shared" si="15"/>
        <v>935171.90560525132</v>
      </c>
      <c r="U32" s="88">
        <f t="shared" si="15"/>
        <v>963227.06277340895</v>
      </c>
      <c r="V32" s="88">
        <f t="shared" si="15"/>
        <v>992123.87465661112</v>
      </c>
      <c r="W32" s="88">
        <f t="shared" si="15"/>
        <v>1021887.5908963096</v>
      </c>
    </row>
    <row r="33" spans="2:24" s="96" customFormat="1" x14ac:dyDescent="0.25">
      <c r="B33" s="276" t="str">
        <f>B24</f>
        <v>Multigran Jaggery Cookie</v>
      </c>
      <c r="C33" s="281">
        <f>'Products (RTE) - Inst.'!G23</f>
        <v>165</v>
      </c>
      <c r="D33" s="88"/>
      <c r="E33" s="88">
        <f t="shared" ref="E33:W33" si="16">$C33*E10</f>
        <v>0</v>
      </c>
      <c r="F33" s="88">
        <f t="shared" si="16"/>
        <v>0</v>
      </c>
      <c r="G33" s="88">
        <f t="shared" si="16"/>
        <v>0</v>
      </c>
      <c r="H33" s="88">
        <f t="shared" si="16"/>
        <v>412500</v>
      </c>
      <c r="I33" s="88">
        <f t="shared" si="16"/>
        <v>453750</v>
      </c>
      <c r="J33" s="88">
        <f t="shared" si="16"/>
        <v>499125.00000000006</v>
      </c>
      <c r="K33" s="88">
        <f t="shared" si="16"/>
        <v>549037.50000000012</v>
      </c>
      <c r="L33" s="88">
        <f t="shared" si="16"/>
        <v>592960.50000000023</v>
      </c>
      <c r="M33" s="88">
        <f t="shared" si="16"/>
        <v>640397.34000000032</v>
      </c>
      <c r="N33" s="88">
        <f t="shared" si="16"/>
        <v>691629.12720000034</v>
      </c>
      <c r="O33" s="88">
        <f t="shared" si="16"/>
        <v>746959.45737600035</v>
      </c>
      <c r="P33" s="88">
        <f t="shared" si="16"/>
        <v>784307.43024480052</v>
      </c>
      <c r="Q33" s="88">
        <f t="shared" si="16"/>
        <v>823522.80175704055</v>
      </c>
      <c r="R33" s="88">
        <f t="shared" si="16"/>
        <v>864698.94184489257</v>
      </c>
      <c r="S33" s="88">
        <f t="shared" si="16"/>
        <v>907933.88893713721</v>
      </c>
      <c r="T33" s="88">
        <f t="shared" si="16"/>
        <v>935171.90560525132</v>
      </c>
      <c r="U33" s="88">
        <f t="shared" si="16"/>
        <v>963227.06277340895</v>
      </c>
      <c r="V33" s="88">
        <f t="shared" si="16"/>
        <v>992123.87465661112</v>
      </c>
      <c r="W33" s="88">
        <f t="shared" si="16"/>
        <v>1021887.5908963096</v>
      </c>
    </row>
    <row r="34" spans="2:24" s="96" customFormat="1" x14ac:dyDescent="0.25">
      <c r="B34" s="276" t="str">
        <f>B25</f>
        <v>Pasta</v>
      </c>
      <c r="C34" s="281">
        <f>'Products (RTE) - Inst.'!H23</f>
        <v>168</v>
      </c>
      <c r="D34" s="88"/>
      <c r="E34" s="88">
        <f t="shared" ref="E34:W34" si="17">$C34*E11</f>
        <v>504000</v>
      </c>
      <c r="F34" s="88">
        <f t="shared" si="17"/>
        <v>1260000</v>
      </c>
      <c r="G34" s="88">
        <f t="shared" si="17"/>
        <v>1512000</v>
      </c>
      <c r="H34" s="88">
        <f t="shared" si="17"/>
        <v>2520000</v>
      </c>
      <c r="I34" s="88">
        <f t="shared" si="17"/>
        <v>2772000</v>
      </c>
      <c r="J34" s="88">
        <f t="shared" si="17"/>
        <v>3049200</v>
      </c>
      <c r="K34" s="88">
        <f t="shared" si="17"/>
        <v>3354120</v>
      </c>
      <c r="L34" s="88">
        <f t="shared" si="17"/>
        <v>3622449.6</v>
      </c>
      <c r="M34" s="88">
        <f t="shared" si="17"/>
        <v>3912245.5680000004</v>
      </c>
      <c r="N34" s="88">
        <f t="shared" si="17"/>
        <v>4225225.213440001</v>
      </c>
      <c r="O34" s="88">
        <f t="shared" si="17"/>
        <v>4563243.2305152016</v>
      </c>
      <c r="P34" s="88">
        <f t="shared" si="17"/>
        <v>4791405.3920409624</v>
      </c>
      <c r="Q34" s="88">
        <f t="shared" si="17"/>
        <v>5030975.6616430106</v>
      </c>
      <c r="R34" s="88">
        <f t="shared" si="17"/>
        <v>5282524.4447251614</v>
      </c>
      <c r="S34" s="88">
        <f t="shared" si="17"/>
        <v>5546650.6669614203</v>
      </c>
      <c r="T34" s="88">
        <f t="shared" si="17"/>
        <v>5713050.1869702628</v>
      </c>
      <c r="U34" s="88">
        <f t="shared" si="17"/>
        <v>5884441.6925793709</v>
      </c>
      <c r="V34" s="88">
        <f t="shared" si="17"/>
        <v>6060974.9433567533</v>
      </c>
      <c r="W34" s="88">
        <f t="shared" si="17"/>
        <v>6242804.1916574556</v>
      </c>
    </row>
    <row r="35" spans="2:24" s="96" customFormat="1" x14ac:dyDescent="0.25">
      <c r="B35" s="288" t="s">
        <v>372</v>
      </c>
      <c r="C35" s="281"/>
      <c r="D35" s="78"/>
      <c r="E35" s="78">
        <f t="shared" ref="E35:W35" si="18">SUM(E30:E34)</f>
        <v>854000</v>
      </c>
      <c r="F35" s="78">
        <f t="shared" si="18"/>
        <v>1610000</v>
      </c>
      <c r="G35" s="78">
        <f t="shared" si="18"/>
        <v>1862000</v>
      </c>
      <c r="H35" s="78">
        <f t="shared" si="18"/>
        <v>3987500</v>
      </c>
      <c r="I35" s="78">
        <f t="shared" si="18"/>
        <v>4386250</v>
      </c>
      <c r="J35" s="78">
        <f t="shared" si="18"/>
        <v>4824875</v>
      </c>
      <c r="K35" s="78">
        <f t="shared" si="18"/>
        <v>5307362.5</v>
      </c>
      <c r="L35" s="78">
        <f t="shared" si="18"/>
        <v>5731951.5</v>
      </c>
      <c r="M35" s="78">
        <f t="shared" si="18"/>
        <v>6190507.620000001</v>
      </c>
      <c r="N35" s="78">
        <f t="shared" si="18"/>
        <v>6685748.2296000021</v>
      </c>
      <c r="O35" s="78">
        <f t="shared" si="18"/>
        <v>7220608.087968003</v>
      </c>
      <c r="P35" s="78">
        <f t="shared" si="18"/>
        <v>7581638.4923664043</v>
      </c>
      <c r="Q35" s="78">
        <f t="shared" si="18"/>
        <v>7960720.4169847239</v>
      </c>
      <c r="R35" s="78">
        <f t="shared" si="18"/>
        <v>8358756.4378339611</v>
      </c>
      <c r="S35" s="78">
        <f t="shared" si="18"/>
        <v>8776694.2597256601</v>
      </c>
      <c r="T35" s="78">
        <f t="shared" si="18"/>
        <v>9039995.0875174291</v>
      </c>
      <c r="U35" s="78">
        <f t="shared" si="18"/>
        <v>9311194.9401429519</v>
      </c>
      <c r="V35" s="78">
        <f t="shared" si="18"/>
        <v>9590530.7883472424</v>
      </c>
      <c r="W35" s="78">
        <f t="shared" si="18"/>
        <v>9878246.7119976599</v>
      </c>
      <c r="X35" s="94"/>
    </row>
    <row r="36" spans="2:24" s="96" customFormat="1" x14ac:dyDescent="0.25">
      <c r="B36" s="289" t="str">
        <f>B27</f>
        <v>Growth %</v>
      </c>
      <c r="C36" s="281"/>
      <c r="D36" s="88"/>
      <c r="E36" s="277"/>
      <c r="F36" s="277">
        <f>F35/E35-1</f>
        <v>0.88524590163934436</v>
      </c>
      <c r="G36" s="277">
        <f t="shared" ref="G36:W36" si="19">G35/F35-1</f>
        <v>0.15652173913043477</v>
      </c>
      <c r="H36" s="277">
        <f t="shared" si="19"/>
        <v>1.1415145005370571</v>
      </c>
      <c r="I36" s="277">
        <f t="shared" si="19"/>
        <v>0.10000000000000009</v>
      </c>
      <c r="J36" s="277">
        <f t="shared" si="19"/>
        <v>0.10000000000000009</v>
      </c>
      <c r="K36" s="277">
        <f t="shared" si="19"/>
        <v>0.10000000000000009</v>
      </c>
      <c r="L36" s="277">
        <f t="shared" si="19"/>
        <v>8.0000000000000071E-2</v>
      </c>
      <c r="M36" s="277">
        <f t="shared" si="19"/>
        <v>8.0000000000000071E-2</v>
      </c>
      <c r="N36" s="277">
        <f t="shared" si="19"/>
        <v>8.0000000000000071E-2</v>
      </c>
      <c r="O36" s="277">
        <f t="shared" si="19"/>
        <v>8.0000000000000071E-2</v>
      </c>
      <c r="P36" s="277">
        <f t="shared" si="19"/>
        <v>5.0000000000000044E-2</v>
      </c>
      <c r="Q36" s="277">
        <f t="shared" si="19"/>
        <v>4.9999999999999822E-2</v>
      </c>
      <c r="R36" s="277">
        <f t="shared" si="19"/>
        <v>5.0000000000000044E-2</v>
      </c>
      <c r="S36" s="277">
        <f t="shared" si="19"/>
        <v>5.0000000000000044E-2</v>
      </c>
      <c r="T36" s="277">
        <f t="shared" si="19"/>
        <v>2.9999999999999805E-2</v>
      </c>
      <c r="U36" s="277">
        <f t="shared" si="19"/>
        <v>3.0000000000000027E-2</v>
      </c>
      <c r="V36" s="277">
        <f t="shared" si="19"/>
        <v>3.0000000000000249E-2</v>
      </c>
      <c r="W36" s="277">
        <f t="shared" si="19"/>
        <v>3.0000000000000027E-2</v>
      </c>
    </row>
    <row r="37" spans="2:24" s="96" customFormat="1" x14ac:dyDescent="0.25">
      <c r="B37" s="289"/>
      <c r="C37" s="281"/>
      <c r="D37" s="88"/>
      <c r="E37" s="277"/>
      <c r="F37" s="88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</row>
    <row r="38" spans="2:24" s="96" customFormat="1" x14ac:dyDescent="0.25">
      <c r="B38" s="289" t="s">
        <v>380</v>
      </c>
      <c r="C38" s="281"/>
      <c r="D38" s="277"/>
      <c r="E38" s="277">
        <f t="shared" ref="E38:W38" si="20">E35/E26</f>
        <v>0.4661888311647594</v>
      </c>
      <c r="F38" s="277">
        <f t="shared" si="20"/>
        <v>0.47093969554133625</v>
      </c>
      <c r="G38" s="277">
        <f t="shared" si="20"/>
        <v>0.47167456494355298</v>
      </c>
      <c r="H38" s="277">
        <f t="shared" si="20"/>
        <v>0.46721284644777533</v>
      </c>
      <c r="I38" s="277">
        <f t="shared" si="20"/>
        <v>0.46721284644777533</v>
      </c>
      <c r="J38" s="277">
        <f t="shared" si="20"/>
        <v>0.46721284644777528</v>
      </c>
      <c r="K38" s="277">
        <f t="shared" si="20"/>
        <v>0.46721284644777533</v>
      </c>
      <c r="L38" s="277">
        <f t="shared" si="20"/>
        <v>0.46721284644777528</v>
      </c>
      <c r="M38" s="277">
        <f t="shared" si="20"/>
        <v>0.46721284644777539</v>
      </c>
      <c r="N38" s="277">
        <f t="shared" si="20"/>
        <v>0.46721284644777539</v>
      </c>
      <c r="O38" s="277">
        <f t="shared" si="20"/>
        <v>0.46721284644777533</v>
      </c>
      <c r="P38" s="277">
        <f t="shared" si="20"/>
        <v>0.46721284644777539</v>
      </c>
      <c r="Q38" s="277">
        <f t="shared" si="20"/>
        <v>0.46721284644777528</v>
      </c>
      <c r="R38" s="277">
        <f t="shared" si="20"/>
        <v>0.46721284644777533</v>
      </c>
      <c r="S38" s="277">
        <f t="shared" si="20"/>
        <v>0.46721284644777539</v>
      </c>
      <c r="T38" s="277">
        <f t="shared" si="20"/>
        <v>0.46721284644777539</v>
      </c>
      <c r="U38" s="277">
        <f t="shared" si="20"/>
        <v>0.46721284644777528</v>
      </c>
      <c r="V38" s="277">
        <f t="shared" si="20"/>
        <v>0.46721284644777539</v>
      </c>
      <c r="W38" s="277">
        <f t="shared" si="20"/>
        <v>0.46721284644777539</v>
      </c>
    </row>
    <row r="39" spans="2:24" s="96" customFormat="1" x14ac:dyDescent="0.25">
      <c r="B39" s="276"/>
      <c r="C39" s="281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</row>
    <row r="40" spans="2:24" s="96" customFormat="1" x14ac:dyDescent="0.25">
      <c r="B40" s="219" t="s">
        <v>373</v>
      </c>
      <c r="C40" s="281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</row>
    <row r="41" spans="2:24" s="96" customFormat="1" x14ac:dyDescent="0.25">
      <c r="B41" s="276" t="str">
        <f>B30</f>
        <v>GF, Lf COOKIE (VANILLA / CHOCOLATE)</v>
      </c>
      <c r="C41" s="281">
        <f>'Products (RTE) - Inst.'!D24</f>
        <v>7</v>
      </c>
      <c r="D41" s="88">
        <f t="shared" ref="D41:W41" si="21">$C41*D7</f>
        <v>14000</v>
      </c>
      <c r="E41" s="88">
        <f t="shared" si="21"/>
        <v>14000</v>
      </c>
      <c r="F41" s="88">
        <f t="shared" si="21"/>
        <v>14000</v>
      </c>
      <c r="G41" s="88">
        <f t="shared" si="21"/>
        <v>14000</v>
      </c>
      <c r="H41" s="88">
        <f t="shared" si="21"/>
        <v>17500</v>
      </c>
      <c r="I41" s="88">
        <f t="shared" si="21"/>
        <v>19250</v>
      </c>
      <c r="J41" s="88">
        <f t="shared" si="21"/>
        <v>21175.000000000004</v>
      </c>
      <c r="K41" s="88">
        <f t="shared" si="21"/>
        <v>23292.500000000007</v>
      </c>
      <c r="L41" s="88">
        <f t="shared" si="21"/>
        <v>25155.900000000009</v>
      </c>
      <c r="M41" s="88">
        <f t="shared" si="21"/>
        <v>27168.37200000001</v>
      </c>
      <c r="N41" s="88">
        <f t="shared" si="21"/>
        <v>29341.84176000001</v>
      </c>
      <c r="O41" s="88">
        <f t="shared" si="21"/>
        <v>31689.189100800017</v>
      </c>
      <c r="P41" s="88">
        <f t="shared" si="21"/>
        <v>33273.648555840016</v>
      </c>
      <c r="Q41" s="88">
        <f t="shared" si="21"/>
        <v>34937.330983632026</v>
      </c>
      <c r="R41" s="88">
        <f t="shared" si="21"/>
        <v>36684.197532813625</v>
      </c>
      <c r="S41" s="88">
        <f t="shared" si="21"/>
        <v>38518.40740945431</v>
      </c>
      <c r="T41" s="88">
        <f t="shared" si="21"/>
        <v>39673.959631737933</v>
      </c>
      <c r="U41" s="88">
        <f t="shared" si="21"/>
        <v>40864.178420690077</v>
      </c>
      <c r="V41" s="88">
        <f t="shared" si="21"/>
        <v>42090.103773310781</v>
      </c>
      <c r="W41" s="88">
        <f t="shared" si="21"/>
        <v>43352.806886510101</v>
      </c>
    </row>
    <row r="42" spans="2:24" s="96" customFormat="1" x14ac:dyDescent="0.25">
      <c r="B42" s="276" t="str">
        <f>B31</f>
        <v>GF COOKIE  (VANILLA / CHOCOLATE) NAS</v>
      </c>
      <c r="C42" s="281">
        <f>'Products (RTE) - Inst.'!E24</f>
        <v>8.1999999999999993</v>
      </c>
      <c r="D42" s="88">
        <f t="shared" ref="D42:W42" si="22">$C42*D8</f>
        <v>0</v>
      </c>
      <c r="E42" s="88">
        <f t="shared" si="22"/>
        <v>0</v>
      </c>
      <c r="F42" s="88">
        <f t="shared" si="22"/>
        <v>0</v>
      </c>
      <c r="G42" s="88">
        <f t="shared" si="22"/>
        <v>0</v>
      </c>
      <c r="H42" s="88">
        <f t="shared" si="22"/>
        <v>8200</v>
      </c>
      <c r="I42" s="88">
        <f t="shared" si="22"/>
        <v>9020</v>
      </c>
      <c r="J42" s="88">
        <f t="shared" si="22"/>
        <v>9922</v>
      </c>
      <c r="K42" s="88">
        <f t="shared" si="22"/>
        <v>10914.199999999999</v>
      </c>
      <c r="L42" s="88">
        <f t="shared" si="22"/>
        <v>11787.335999999999</v>
      </c>
      <c r="M42" s="88">
        <f t="shared" si="22"/>
        <v>12730.32288</v>
      </c>
      <c r="N42" s="88">
        <f t="shared" si="22"/>
        <v>13748.748710400001</v>
      </c>
      <c r="O42" s="88">
        <f t="shared" si="22"/>
        <v>14848.648607232002</v>
      </c>
      <c r="P42" s="88">
        <f t="shared" si="22"/>
        <v>15591.081037593603</v>
      </c>
      <c r="Q42" s="88">
        <f t="shared" si="22"/>
        <v>16370.635089473284</v>
      </c>
      <c r="R42" s="88">
        <f t="shared" si="22"/>
        <v>17189.16684394695</v>
      </c>
      <c r="S42" s="88">
        <f t="shared" si="22"/>
        <v>18048.625186144298</v>
      </c>
      <c r="T42" s="88">
        <f t="shared" si="22"/>
        <v>18590.08394172863</v>
      </c>
      <c r="U42" s="88">
        <f t="shared" si="22"/>
        <v>19147.786459980489</v>
      </c>
      <c r="V42" s="88">
        <f t="shared" si="22"/>
        <v>19722.220053779907</v>
      </c>
      <c r="W42" s="88">
        <f t="shared" si="22"/>
        <v>20313.886655393304</v>
      </c>
    </row>
    <row r="43" spans="2:24" s="96" customFormat="1" x14ac:dyDescent="0.25">
      <c r="B43" s="276" t="str">
        <f>B32</f>
        <v>Multigrain Cookie</v>
      </c>
      <c r="C43" s="281">
        <f>'Products (RTE) - Inst.'!F24</f>
        <v>6.6000000000000005</v>
      </c>
      <c r="D43" s="88">
        <f t="shared" ref="D43:W43" si="23">$C43*D9</f>
        <v>0</v>
      </c>
      <c r="E43" s="88">
        <f t="shared" si="23"/>
        <v>0</v>
      </c>
      <c r="F43" s="88">
        <f t="shared" si="23"/>
        <v>0</v>
      </c>
      <c r="G43" s="88">
        <f t="shared" si="23"/>
        <v>0</v>
      </c>
      <c r="H43" s="88">
        <f t="shared" si="23"/>
        <v>16500</v>
      </c>
      <c r="I43" s="88">
        <f t="shared" si="23"/>
        <v>18150</v>
      </c>
      <c r="J43" s="88">
        <f t="shared" si="23"/>
        <v>19965.000000000004</v>
      </c>
      <c r="K43" s="88">
        <f t="shared" si="23"/>
        <v>21961.500000000007</v>
      </c>
      <c r="L43" s="88">
        <f t="shared" si="23"/>
        <v>23718.420000000009</v>
      </c>
      <c r="M43" s="88">
        <f t="shared" si="23"/>
        <v>25615.893600000014</v>
      </c>
      <c r="N43" s="88">
        <f t="shared" si="23"/>
        <v>27665.165088000012</v>
      </c>
      <c r="O43" s="88">
        <f t="shared" si="23"/>
        <v>29878.378295040016</v>
      </c>
      <c r="P43" s="88">
        <f t="shared" si="23"/>
        <v>31372.297209792021</v>
      </c>
      <c r="Q43" s="88">
        <f t="shared" si="23"/>
        <v>32940.912070281622</v>
      </c>
      <c r="R43" s="88">
        <f t="shared" si="23"/>
        <v>34587.95767379571</v>
      </c>
      <c r="S43" s="88">
        <f t="shared" si="23"/>
        <v>36317.355557485491</v>
      </c>
      <c r="T43" s="88">
        <f t="shared" si="23"/>
        <v>37406.876224210057</v>
      </c>
      <c r="U43" s="88">
        <f t="shared" si="23"/>
        <v>38529.082510936358</v>
      </c>
      <c r="V43" s="88">
        <f t="shared" si="23"/>
        <v>39684.954986264449</v>
      </c>
      <c r="W43" s="88">
        <f t="shared" si="23"/>
        <v>40875.503635852387</v>
      </c>
    </row>
    <row r="44" spans="2:24" s="96" customFormat="1" x14ac:dyDescent="0.25">
      <c r="B44" s="276" t="str">
        <f>B33</f>
        <v>Multigran Jaggery Cookie</v>
      </c>
      <c r="C44" s="281">
        <f>'Products (RTE) - Inst.'!G24</f>
        <v>6.6000000000000005</v>
      </c>
      <c r="D44" s="88">
        <f t="shared" ref="D44:W44" si="24">$C44*D10</f>
        <v>0</v>
      </c>
      <c r="E44" s="88">
        <f t="shared" si="24"/>
        <v>0</v>
      </c>
      <c r="F44" s="88">
        <f t="shared" si="24"/>
        <v>0</v>
      </c>
      <c r="G44" s="88">
        <f t="shared" si="24"/>
        <v>0</v>
      </c>
      <c r="H44" s="88">
        <f t="shared" si="24"/>
        <v>16500</v>
      </c>
      <c r="I44" s="88">
        <f t="shared" si="24"/>
        <v>18150</v>
      </c>
      <c r="J44" s="88">
        <f t="shared" si="24"/>
        <v>19965.000000000004</v>
      </c>
      <c r="K44" s="88">
        <f t="shared" si="24"/>
        <v>21961.500000000007</v>
      </c>
      <c r="L44" s="88">
        <f t="shared" si="24"/>
        <v>23718.420000000009</v>
      </c>
      <c r="M44" s="88">
        <f t="shared" si="24"/>
        <v>25615.893600000014</v>
      </c>
      <c r="N44" s="88">
        <f t="shared" si="24"/>
        <v>27665.165088000012</v>
      </c>
      <c r="O44" s="88">
        <f t="shared" si="24"/>
        <v>29878.378295040016</v>
      </c>
      <c r="P44" s="88">
        <f t="shared" si="24"/>
        <v>31372.297209792021</v>
      </c>
      <c r="Q44" s="88">
        <f t="shared" si="24"/>
        <v>32940.912070281622</v>
      </c>
      <c r="R44" s="88">
        <f t="shared" si="24"/>
        <v>34587.95767379571</v>
      </c>
      <c r="S44" s="88">
        <f t="shared" si="24"/>
        <v>36317.355557485491</v>
      </c>
      <c r="T44" s="88">
        <f t="shared" si="24"/>
        <v>37406.876224210057</v>
      </c>
      <c r="U44" s="88">
        <f t="shared" si="24"/>
        <v>38529.082510936358</v>
      </c>
      <c r="V44" s="88">
        <f t="shared" si="24"/>
        <v>39684.954986264449</v>
      </c>
      <c r="W44" s="88">
        <f t="shared" si="24"/>
        <v>40875.503635852387</v>
      </c>
    </row>
    <row r="45" spans="2:24" s="96" customFormat="1" x14ac:dyDescent="0.25">
      <c r="B45" s="276" t="str">
        <f>B34</f>
        <v>Pasta</v>
      </c>
      <c r="C45" s="281">
        <f>'Products (RTE) - Inst.'!H24</f>
        <v>6.72</v>
      </c>
      <c r="D45" s="88">
        <f t="shared" ref="D45:W45" si="25">$C45*D11</f>
        <v>40320</v>
      </c>
      <c r="E45" s="88">
        <f t="shared" si="25"/>
        <v>20160</v>
      </c>
      <c r="F45" s="88">
        <f t="shared" si="25"/>
        <v>50400</v>
      </c>
      <c r="G45" s="88">
        <f t="shared" si="25"/>
        <v>60480</v>
      </c>
      <c r="H45" s="88">
        <f t="shared" si="25"/>
        <v>100800</v>
      </c>
      <c r="I45" s="88">
        <f t="shared" si="25"/>
        <v>110880</v>
      </c>
      <c r="J45" s="88">
        <f t="shared" si="25"/>
        <v>121968</v>
      </c>
      <c r="K45" s="88">
        <f t="shared" si="25"/>
        <v>134164.79999999999</v>
      </c>
      <c r="L45" s="88">
        <f t="shared" si="25"/>
        <v>144897.984</v>
      </c>
      <c r="M45" s="88">
        <f t="shared" si="25"/>
        <v>156489.82272000003</v>
      </c>
      <c r="N45" s="88">
        <f t="shared" si="25"/>
        <v>169009.00853760005</v>
      </c>
      <c r="O45" s="88">
        <f t="shared" si="25"/>
        <v>182529.72922060807</v>
      </c>
      <c r="P45" s="88">
        <f t="shared" si="25"/>
        <v>191656.21568163848</v>
      </c>
      <c r="Q45" s="88">
        <f t="shared" si="25"/>
        <v>201239.02646572041</v>
      </c>
      <c r="R45" s="88">
        <f t="shared" si="25"/>
        <v>211300.97778900643</v>
      </c>
      <c r="S45" s="88">
        <f t="shared" si="25"/>
        <v>221866.02667845678</v>
      </c>
      <c r="T45" s="88">
        <f t="shared" si="25"/>
        <v>228522.0074788105</v>
      </c>
      <c r="U45" s="88">
        <f t="shared" si="25"/>
        <v>235377.66770317484</v>
      </c>
      <c r="V45" s="88">
        <f t="shared" si="25"/>
        <v>242438.99773427012</v>
      </c>
      <c r="W45" s="88">
        <f t="shared" si="25"/>
        <v>249712.16766629822</v>
      </c>
    </row>
    <row r="46" spans="2:24" s="96" customFormat="1" x14ac:dyDescent="0.25">
      <c r="B46" s="288" t="s">
        <v>375</v>
      </c>
      <c r="C46" s="281"/>
      <c r="D46" s="78">
        <f t="shared" ref="D46:W46" si="26">SUM(D41:D45)</f>
        <v>54320</v>
      </c>
      <c r="E46" s="78">
        <f t="shared" si="26"/>
        <v>34160</v>
      </c>
      <c r="F46" s="78">
        <f t="shared" si="26"/>
        <v>64400</v>
      </c>
      <c r="G46" s="78">
        <f t="shared" si="26"/>
        <v>74480</v>
      </c>
      <c r="H46" s="78">
        <f t="shared" si="26"/>
        <v>159500</v>
      </c>
      <c r="I46" s="78">
        <f t="shared" si="26"/>
        <v>175450</v>
      </c>
      <c r="J46" s="78">
        <f t="shared" si="26"/>
        <v>192995</v>
      </c>
      <c r="K46" s="78">
        <f t="shared" si="26"/>
        <v>212294.5</v>
      </c>
      <c r="L46" s="78">
        <f t="shared" si="26"/>
        <v>229278.06000000003</v>
      </c>
      <c r="M46" s="78">
        <f t="shared" si="26"/>
        <v>247620.30480000004</v>
      </c>
      <c r="N46" s="78">
        <f t="shared" si="26"/>
        <v>267429.92918400007</v>
      </c>
      <c r="O46" s="78">
        <f t="shared" si="26"/>
        <v>288824.32351872011</v>
      </c>
      <c r="P46" s="78">
        <f t="shared" si="26"/>
        <v>303265.53969465615</v>
      </c>
      <c r="Q46" s="78">
        <f t="shared" si="26"/>
        <v>318428.81667938898</v>
      </c>
      <c r="R46" s="78">
        <f t="shared" si="26"/>
        <v>334350.25751335843</v>
      </c>
      <c r="S46" s="78">
        <f t="shared" si="26"/>
        <v>351067.77038902638</v>
      </c>
      <c r="T46" s="78">
        <f t="shared" si="26"/>
        <v>361599.80350069713</v>
      </c>
      <c r="U46" s="78">
        <f t="shared" si="26"/>
        <v>372447.79760571814</v>
      </c>
      <c r="V46" s="78">
        <f t="shared" si="26"/>
        <v>383621.23153388972</v>
      </c>
      <c r="W46" s="78">
        <f t="shared" si="26"/>
        <v>395129.86847990641</v>
      </c>
    </row>
    <row r="47" spans="2:24" s="96" customFormat="1" x14ac:dyDescent="0.25">
      <c r="B47" s="288"/>
      <c r="C47" s="281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 spans="2:24" s="96" customFormat="1" x14ac:dyDescent="0.25">
      <c r="B48" s="219" t="s">
        <v>579</v>
      </c>
      <c r="C48" s="281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 spans="2:23" s="96" customFormat="1" x14ac:dyDescent="0.25">
      <c r="B49" s="276" t="str">
        <f>B41</f>
        <v>GF, Lf COOKIE (VANILLA / CHOCOLATE)</v>
      </c>
      <c r="C49" s="281">
        <f>'Products (RTE) - Inst.'!D26</f>
        <v>10.92</v>
      </c>
      <c r="D49" s="88">
        <f t="shared" ref="D49:W49" si="27">$C49*D7</f>
        <v>21840</v>
      </c>
      <c r="E49" s="88">
        <f t="shared" si="27"/>
        <v>21840</v>
      </c>
      <c r="F49" s="88">
        <f t="shared" si="27"/>
        <v>21840</v>
      </c>
      <c r="G49" s="88">
        <f t="shared" si="27"/>
        <v>21840</v>
      </c>
      <c r="H49" s="88">
        <f t="shared" si="27"/>
        <v>27300</v>
      </c>
      <c r="I49" s="88">
        <f t="shared" si="27"/>
        <v>30030</v>
      </c>
      <c r="J49" s="88">
        <f t="shared" si="27"/>
        <v>33033.000000000007</v>
      </c>
      <c r="K49" s="88">
        <f t="shared" si="27"/>
        <v>36336.30000000001</v>
      </c>
      <c r="L49" s="88">
        <f t="shared" si="27"/>
        <v>39243.204000000012</v>
      </c>
      <c r="M49" s="88">
        <f t="shared" si="27"/>
        <v>42382.660320000017</v>
      </c>
      <c r="N49" s="88">
        <f t="shared" si="27"/>
        <v>45773.273145600018</v>
      </c>
      <c r="O49" s="88">
        <f t="shared" si="27"/>
        <v>49435.134997248024</v>
      </c>
      <c r="P49" s="88">
        <f t="shared" si="27"/>
        <v>51906.891747110429</v>
      </c>
      <c r="Q49" s="88">
        <f t="shared" si="27"/>
        <v>54502.236334465953</v>
      </c>
      <c r="R49" s="88">
        <f t="shared" si="27"/>
        <v>57227.348151189253</v>
      </c>
      <c r="S49" s="88">
        <f t="shared" si="27"/>
        <v>60088.715558748721</v>
      </c>
      <c r="T49" s="88">
        <f t="shared" si="27"/>
        <v>61891.377025511181</v>
      </c>
      <c r="U49" s="88">
        <f t="shared" si="27"/>
        <v>63748.118336276522</v>
      </c>
      <c r="V49" s="88">
        <f t="shared" si="27"/>
        <v>65660.561886364812</v>
      </c>
      <c r="W49" s="88">
        <f t="shared" si="27"/>
        <v>67630.378742955756</v>
      </c>
    </row>
    <row r="50" spans="2:23" s="96" customFormat="1" x14ac:dyDescent="0.25">
      <c r="B50" s="276" t="str">
        <f>B42</f>
        <v>GF COOKIE  (VANILLA / CHOCOLATE) NAS</v>
      </c>
      <c r="C50" s="281">
        <f>'Products (RTE) - Inst.'!E26</f>
        <v>12.791999999999998</v>
      </c>
      <c r="D50" s="88">
        <f t="shared" ref="D50:W50" si="28">$C50*D8</f>
        <v>0</v>
      </c>
      <c r="E50" s="88">
        <f t="shared" si="28"/>
        <v>0</v>
      </c>
      <c r="F50" s="88">
        <f t="shared" si="28"/>
        <v>0</v>
      </c>
      <c r="G50" s="88">
        <f t="shared" si="28"/>
        <v>0</v>
      </c>
      <c r="H50" s="88">
        <f t="shared" si="28"/>
        <v>12791.999999999998</v>
      </c>
      <c r="I50" s="88">
        <f t="shared" si="28"/>
        <v>14071.199999999997</v>
      </c>
      <c r="J50" s="88">
        <f t="shared" si="28"/>
        <v>15478.319999999998</v>
      </c>
      <c r="K50" s="88">
        <f t="shared" si="28"/>
        <v>17026.151999999998</v>
      </c>
      <c r="L50" s="88">
        <f t="shared" si="28"/>
        <v>18388.244159999998</v>
      </c>
      <c r="M50" s="88">
        <f t="shared" si="28"/>
        <v>19859.3036928</v>
      </c>
      <c r="N50" s="88">
        <f t="shared" si="28"/>
        <v>21448.047988224</v>
      </c>
      <c r="O50" s="88">
        <f t="shared" si="28"/>
        <v>23163.891827281921</v>
      </c>
      <c r="P50" s="88">
        <f t="shared" si="28"/>
        <v>24322.08641864602</v>
      </c>
      <c r="Q50" s="88">
        <f t="shared" si="28"/>
        <v>25538.190739578324</v>
      </c>
      <c r="R50" s="88">
        <f t="shared" si="28"/>
        <v>26815.100276557241</v>
      </c>
      <c r="S50" s="88">
        <f t="shared" si="28"/>
        <v>28155.855290385105</v>
      </c>
      <c r="T50" s="88">
        <f t="shared" si="28"/>
        <v>29000.530949096657</v>
      </c>
      <c r="U50" s="88">
        <f t="shared" si="28"/>
        <v>29870.546877569563</v>
      </c>
      <c r="V50" s="88">
        <f t="shared" si="28"/>
        <v>30766.663283896651</v>
      </c>
      <c r="W50" s="88">
        <f t="shared" si="28"/>
        <v>31689.663182413551</v>
      </c>
    </row>
    <row r="51" spans="2:23" s="96" customFormat="1" x14ac:dyDescent="0.25">
      <c r="B51" s="276" t="str">
        <f>B43</f>
        <v>Multigrain Cookie</v>
      </c>
      <c r="C51" s="281">
        <f>'Products (RTE) - Inst.'!F26</f>
        <v>10.295999999999999</v>
      </c>
      <c r="D51" s="88">
        <f t="shared" ref="D51:W51" si="29">$C51*D9</f>
        <v>0</v>
      </c>
      <c r="E51" s="88">
        <f t="shared" si="29"/>
        <v>0</v>
      </c>
      <c r="F51" s="88">
        <f t="shared" si="29"/>
        <v>0</v>
      </c>
      <c r="G51" s="88">
        <f t="shared" si="29"/>
        <v>0</v>
      </c>
      <c r="H51" s="88">
        <f t="shared" si="29"/>
        <v>25740</v>
      </c>
      <c r="I51" s="88">
        <f t="shared" si="29"/>
        <v>28314</v>
      </c>
      <c r="J51" s="88">
        <f t="shared" si="29"/>
        <v>31145.4</v>
      </c>
      <c r="K51" s="88">
        <f t="shared" si="29"/>
        <v>34259.94000000001</v>
      </c>
      <c r="L51" s="88">
        <f t="shared" si="29"/>
        <v>37000.73520000001</v>
      </c>
      <c r="M51" s="88">
        <f t="shared" si="29"/>
        <v>39960.794016000014</v>
      </c>
      <c r="N51" s="88">
        <f t="shared" si="29"/>
        <v>43157.657537280014</v>
      </c>
      <c r="O51" s="88">
        <f t="shared" si="29"/>
        <v>46610.270140262423</v>
      </c>
      <c r="P51" s="88">
        <f t="shared" si="29"/>
        <v>48940.783647275544</v>
      </c>
      <c r="Q51" s="88">
        <f t="shared" si="29"/>
        <v>51387.822829639328</v>
      </c>
      <c r="R51" s="88">
        <f t="shared" si="29"/>
        <v>53957.213971121295</v>
      </c>
      <c r="S51" s="88">
        <f t="shared" si="29"/>
        <v>56655.074669677364</v>
      </c>
      <c r="T51" s="88">
        <f t="shared" si="29"/>
        <v>58354.726909767684</v>
      </c>
      <c r="U51" s="88">
        <f t="shared" si="29"/>
        <v>60105.368717060715</v>
      </c>
      <c r="V51" s="88">
        <f t="shared" si="29"/>
        <v>61908.529778572534</v>
      </c>
      <c r="W51" s="88">
        <f t="shared" si="29"/>
        <v>63765.785671929712</v>
      </c>
    </row>
    <row r="52" spans="2:23" s="96" customFormat="1" x14ac:dyDescent="0.25">
      <c r="B52" s="276" t="str">
        <f>B44</f>
        <v>Multigran Jaggery Cookie</v>
      </c>
      <c r="C52" s="281">
        <f>'Products (RTE) - Inst.'!G26</f>
        <v>10.295999999999999</v>
      </c>
      <c r="D52" s="88">
        <f t="shared" ref="D52:W52" si="30">$C52*D10</f>
        <v>0</v>
      </c>
      <c r="E52" s="88">
        <f t="shared" si="30"/>
        <v>0</v>
      </c>
      <c r="F52" s="88">
        <f t="shared" si="30"/>
        <v>0</v>
      </c>
      <c r="G52" s="88">
        <f t="shared" si="30"/>
        <v>0</v>
      </c>
      <c r="H52" s="88">
        <f t="shared" si="30"/>
        <v>25740</v>
      </c>
      <c r="I52" s="88">
        <f t="shared" si="30"/>
        <v>28314</v>
      </c>
      <c r="J52" s="88">
        <f t="shared" si="30"/>
        <v>31145.4</v>
      </c>
      <c r="K52" s="88">
        <f t="shared" si="30"/>
        <v>34259.94000000001</v>
      </c>
      <c r="L52" s="88">
        <f t="shared" si="30"/>
        <v>37000.73520000001</v>
      </c>
      <c r="M52" s="88">
        <f t="shared" si="30"/>
        <v>39960.794016000014</v>
      </c>
      <c r="N52" s="88">
        <f t="shared" si="30"/>
        <v>43157.657537280014</v>
      </c>
      <c r="O52" s="88">
        <f t="shared" si="30"/>
        <v>46610.270140262423</v>
      </c>
      <c r="P52" s="88">
        <f t="shared" si="30"/>
        <v>48940.783647275544</v>
      </c>
      <c r="Q52" s="88">
        <f t="shared" si="30"/>
        <v>51387.822829639328</v>
      </c>
      <c r="R52" s="88">
        <f t="shared" si="30"/>
        <v>53957.213971121295</v>
      </c>
      <c r="S52" s="88">
        <f t="shared" si="30"/>
        <v>56655.074669677364</v>
      </c>
      <c r="T52" s="88">
        <f t="shared" si="30"/>
        <v>58354.726909767684</v>
      </c>
      <c r="U52" s="88">
        <f t="shared" si="30"/>
        <v>60105.368717060715</v>
      </c>
      <c r="V52" s="88">
        <f t="shared" si="30"/>
        <v>61908.529778572534</v>
      </c>
      <c r="W52" s="88">
        <f t="shared" si="30"/>
        <v>63765.785671929712</v>
      </c>
    </row>
    <row r="53" spans="2:23" s="96" customFormat="1" x14ac:dyDescent="0.25">
      <c r="B53" s="276" t="str">
        <f>B45</f>
        <v>Pasta</v>
      </c>
      <c r="C53" s="281">
        <f>'Products (RTE) - Inst.'!H26</f>
        <v>10.4832</v>
      </c>
      <c r="D53" s="88">
        <f t="shared" ref="D53:W53" si="31">$C53*D11</f>
        <v>62899.199999999997</v>
      </c>
      <c r="E53" s="88">
        <f t="shared" si="31"/>
        <v>31449.599999999999</v>
      </c>
      <c r="F53" s="88">
        <f t="shared" si="31"/>
        <v>78624</v>
      </c>
      <c r="G53" s="88">
        <f t="shared" si="31"/>
        <v>94348.800000000003</v>
      </c>
      <c r="H53" s="88">
        <f t="shared" si="31"/>
        <v>157248</v>
      </c>
      <c r="I53" s="88">
        <f t="shared" si="31"/>
        <v>172972.79999999999</v>
      </c>
      <c r="J53" s="88">
        <f t="shared" si="31"/>
        <v>190270.07999999999</v>
      </c>
      <c r="K53" s="88">
        <f t="shared" si="31"/>
        <v>209297.08799999999</v>
      </c>
      <c r="L53" s="88">
        <f t="shared" si="31"/>
        <v>226040.85503999999</v>
      </c>
      <c r="M53" s="88">
        <f t="shared" si="31"/>
        <v>244124.12344320002</v>
      </c>
      <c r="N53" s="88">
        <f t="shared" si="31"/>
        <v>263654.05331865605</v>
      </c>
      <c r="O53" s="88">
        <f t="shared" si="31"/>
        <v>284746.37758414861</v>
      </c>
      <c r="P53" s="88">
        <f t="shared" si="31"/>
        <v>298983.69646335603</v>
      </c>
      <c r="Q53" s="88">
        <f t="shared" si="31"/>
        <v>313932.88128652389</v>
      </c>
      <c r="R53" s="88">
        <f t="shared" si="31"/>
        <v>329629.52535085008</v>
      </c>
      <c r="S53" s="88">
        <f t="shared" si="31"/>
        <v>346111.00161839259</v>
      </c>
      <c r="T53" s="88">
        <f t="shared" si="31"/>
        <v>356494.33166694443</v>
      </c>
      <c r="U53" s="88">
        <f t="shared" si="31"/>
        <v>367189.1616169528</v>
      </c>
      <c r="V53" s="88">
        <f t="shared" si="31"/>
        <v>378204.83646546141</v>
      </c>
      <c r="W53" s="88">
        <f t="shared" si="31"/>
        <v>389550.98155942524</v>
      </c>
    </row>
    <row r="54" spans="2:23" s="96" customFormat="1" x14ac:dyDescent="0.25">
      <c r="B54" s="288" t="s">
        <v>378</v>
      </c>
      <c r="C54" s="281"/>
      <c r="D54" s="78">
        <f t="shared" ref="D54:W54" si="32">SUM(D49:D53)</f>
        <v>84739.199999999997</v>
      </c>
      <c r="E54" s="78">
        <f t="shared" si="32"/>
        <v>53289.599999999999</v>
      </c>
      <c r="F54" s="78">
        <f t="shared" si="32"/>
        <v>100464</v>
      </c>
      <c r="G54" s="78">
        <f t="shared" si="32"/>
        <v>116188.8</v>
      </c>
      <c r="H54" s="78">
        <f t="shared" si="32"/>
        <v>248820</v>
      </c>
      <c r="I54" s="78">
        <f t="shared" si="32"/>
        <v>273702</v>
      </c>
      <c r="J54" s="78">
        <f t="shared" si="32"/>
        <v>301072.19999999995</v>
      </c>
      <c r="K54" s="78">
        <f t="shared" si="32"/>
        <v>331179.42000000004</v>
      </c>
      <c r="L54" s="78">
        <f t="shared" si="32"/>
        <v>357673.77360000001</v>
      </c>
      <c r="M54" s="78">
        <f t="shared" si="32"/>
        <v>386287.67548800004</v>
      </c>
      <c r="N54" s="78">
        <f t="shared" si="32"/>
        <v>417190.68952704011</v>
      </c>
      <c r="O54" s="78">
        <f t="shared" si="32"/>
        <v>450565.9446892034</v>
      </c>
      <c r="P54" s="78">
        <f t="shared" si="32"/>
        <v>473094.24192366353</v>
      </c>
      <c r="Q54" s="78">
        <f t="shared" si="32"/>
        <v>496748.95401984686</v>
      </c>
      <c r="R54" s="78">
        <f t="shared" si="32"/>
        <v>521586.40172083915</v>
      </c>
      <c r="S54" s="78">
        <f t="shared" si="32"/>
        <v>547665.72180688113</v>
      </c>
      <c r="T54" s="78">
        <f t="shared" si="32"/>
        <v>564095.69346108765</v>
      </c>
      <c r="U54" s="78">
        <f t="shared" si="32"/>
        <v>581018.56426492031</v>
      </c>
      <c r="V54" s="78">
        <f t="shared" si="32"/>
        <v>598449.12119286787</v>
      </c>
      <c r="W54" s="78">
        <f t="shared" si="32"/>
        <v>616402.59482865396</v>
      </c>
    </row>
    <row r="55" spans="2:23" x14ac:dyDescent="0.25">
      <c r="B55" s="288" t="s">
        <v>135</v>
      </c>
      <c r="C55" s="281"/>
      <c r="D55" s="88"/>
      <c r="E55" s="277"/>
      <c r="F55" s="277">
        <f>F54/E54-1</f>
        <v>0.88524590163934436</v>
      </c>
      <c r="G55" s="277">
        <f t="shared" ref="G55:W55" si="33">G54/F54-1</f>
        <v>0.15652173913043477</v>
      </c>
      <c r="H55" s="277">
        <f t="shared" si="33"/>
        <v>1.1415145005370571</v>
      </c>
      <c r="I55" s="277">
        <f t="shared" si="33"/>
        <v>0.10000000000000009</v>
      </c>
      <c r="J55" s="277">
        <f t="shared" si="33"/>
        <v>9.9999999999999867E-2</v>
      </c>
      <c r="K55" s="277">
        <f t="shared" si="33"/>
        <v>0.10000000000000031</v>
      </c>
      <c r="L55" s="277">
        <f t="shared" si="33"/>
        <v>7.9999999999999849E-2</v>
      </c>
      <c r="M55" s="277">
        <f t="shared" si="33"/>
        <v>8.0000000000000071E-2</v>
      </c>
      <c r="N55" s="277">
        <f t="shared" si="33"/>
        <v>8.0000000000000293E-2</v>
      </c>
      <c r="O55" s="277">
        <f t="shared" si="33"/>
        <v>8.0000000000000293E-2</v>
      </c>
      <c r="P55" s="277">
        <f t="shared" si="33"/>
        <v>4.9999999999999822E-2</v>
      </c>
      <c r="Q55" s="277">
        <f t="shared" si="33"/>
        <v>5.0000000000000266E-2</v>
      </c>
      <c r="R55" s="277">
        <f t="shared" si="33"/>
        <v>4.9999999999999822E-2</v>
      </c>
      <c r="S55" s="277">
        <f t="shared" si="33"/>
        <v>5.0000000000000044E-2</v>
      </c>
      <c r="T55" s="277">
        <f t="shared" si="33"/>
        <v>3.0000000000000249E-2</v>
      </c>
      <c r="U55" s="277">
        <f t="shared" si="33"/>
        <v>3.0000000000000027E-2</v>
      </c>
      <c r="V55" s="277">
        <f t="shared" si="33"/>
        <v>3.0000000000000027E-2</v>
      </c>
      <c r="W55" s="277">
        <f t="shared" si="33"/>
        <v>3.0000000000000027E-2</v>
      </c>
    </row>
    <row r="56" spans="2:23" x14ac:dyDescent="0.25">
      <c r="B56" s="288"/>
      <c r="C56" s="281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2:23" x14ac:dyDescent="0.25">
      <c r="B57" s="471" t="s">
        <v>321</v>
      </c>
      <c r="C57" s="281"/>
      <c r="D57" s="88">
        <f t="shared" ref="D57:W57" si="34">D12</f>
        <v>8000</v>
      </c>
      <c r="E57" s="88">
        <f t="shared" si="34"/>
        <v>5000</v>
      </c>
      <c r="F57" s="88">
        <f t="shared" si="34"/>
        <v>9500</v>
      </c>
      <c r="G57" s="88">
        <f t="shared" si="34"/>
        <v>11000</v>
      </c>
      <c r="H57" s="88">
        <f t="shared" si="34"/>
        <v>23500</v>
      </c>
      <c r="I57" s="88">
        <f t="shared" si="34"/>
        <v>25850</v>
      </c>
      <c r="J57" s="88">
        <f t="shared" si="34"/>
        <v>28435</v>
      </c>
      <c r="K57" s="88">
        <f t="shared" si="34"/>
        <v>31278.500000000004</v>
      </c>
      <c r="L57" s="88">
        <f t="shared" si="34"/>
        <v>33780.780000000006</v>
      </c>
      <c r="M57" s="88">
        <f t="shared" si="34"/>
        <v>36483.24240000001</v>
      </c>
      <c r="N57" s="88">
        <f t="shared" si="34"/>
        <v>39401.901792000011</v>
      </c>
      <c r="O57" s="88">
        <f t="shared" si="34"/>
        <v>42554.053935360018</v>
      </c>
      <c r="P57" s="88">
        <f t="shared" si="34"/>
        <v>44681.756632128025</v>
      </c>
      <c r="Q57" s="88">
        <f t="shared" si="34"/>
        <v>46915.844463734422</v>
      </c>
      <c r="R57" s="88">
        <f t="shared" si="34"/>
        <v>49261.636686921149</v>
      </c>
      <c r="S57" s="88">
        <f t="shared" si="34"/>
        <v>51724.718521267212</v>
      </c>
      <c r="T57" s="88">
        <f t="shared" si="34"/>
        <v>53276.460076905227</v>
      </c>
      <c r="U57" s="88">
        <f t="shared" si="34"/>
        <v>54874.753879212389</v>
      </c>
      <c r="V57" s="88">
        <f t="shared" si="34"/>
        <v>56520.996495588763</v>
      </c>
      <c r="W57" s="88">
        <f t="shared" si="34"/>
        <v>58216.626390456426</v>
      </c>
    </row>
    <row r="58" spans="2:23" x14ac:dyDescent="0.25">
      <c r="B58" s="471" t="s">
        <v>114</v>
      </c>
      <c r="C58" s="281"/>
      <c r="D58" s="88">
        <f t="shared" ref="D58:W58" si="35">D26</f>
        <v>2889756.3968000002</v>
      </c>
      <c r="E58" s="88">
        <f t="shared" si="35"/>
        <v>1831875.7184000001</v>
      </c>
      <c r="F58" s="88">
        <f t="shared" si="35"/>
        <v>3418696.736</v>
      </c>
      <c r="G58" s="88">
        <f t="shared" si="35"/>
        <v>3947637.0752000003</v>
      </c>
      <c r="H58" s="88">
        <f t="shared" si="35"/>
        <v>8534654.0240000002</v>
      </c>
      <c r="I58" s="88">
        <f t="shared" si="35"/>
        <v>9388119.4264000002</v>
      </c>
      <c r="J58" s="88">
        <f t="shared" si="35"/>
        <v>10326931.369040001</v>
      </c>
      <c r="K58" s="88">
        <f t="shared" si="35"/>
        <v>11359624.505944001</v>
      </c>
      <c r="L58" s="88">
        <f t="shared" si="35"/>
        <v>12268394.466419522</v>
      </c>
      <c r="M58" s="88">
        <f t="shared" si="35"/>
        <v>13249866.023733083</v>
      </c>
      <c r="N58" s="88">
        <f t="shared" si="35"/>
        <v>14309855.305631731</v>
      </c>
      <c r="O58" s="88">
        <f t="shared" si="35"/>
        <v>15454643.730082273</v>
      </c>
      <c r="P58" s="88">
        <f t="shared" si="35"/>
        <v>16227375.916586388</v>
      </c>
      <c r="Q58" s="88">
        <f t="shared" si="35"/>
        <v>17038744.71241571</v>
      </c>
      <c r="R58" s="88">
        <f t="shared" si="35"/>
        <v>17890681.948036496</v>
      </c>
      <c r="S58" s="88">
        <f t="shared" si="35"/>
        <v>18785216.045438319</v>
      </c>
      <c r="T58" s="88">
        <f t="shared" si="35"/>
        <v>19348772.526801467</v>
      </c>
      <c r="U58" s="88">
        <f t="shared" si="35"/>
        <v>19929235.702605516</v>
      </c>
      <c r="V58" s="88">
        <f t="shared" si="35"/>
        <v>20527112.773683682</v>
      </c>
      <c r="W58" s="88">
        <f t="shared" si="35"/>
        <v>21142926.156894192</v>
      </c>
    </row>
    <row r="59" spans="2:23" x14ac:dyDescent="0.25">
      <c r="B59" s="471" t="s">
        <v>115</v>
      </c>
      <c r="C59" s="281"/>
      <c r="D59" s="88">
        <f t="shared" ref="D59:W59" si="36">D58/3</f>
        <v>963252.13226666674</v>
      </c>
      <c r="E59" s="88">
        <f t="shared" si="36"/>
        <v>610625.23946666671</v>
      </c>
      <c r="F59" s="88">
        <f t="shared" si="36"/>
        <v>1139565.5786666668</v>
      </c>
      <c r="G59" s="88">
        <f t="shared" si="36"/>
        <v>1315879.0250666668</v>
      </c>
      <c r="H59" s="88">
        <f t="shared" si="36"/>
        <v>2844884.6746666669</v>
      </c>
      <c r="I59" s="88">
        <f t="shared" si="36"/>
        <v>3129373.1421333333</v>
      </c>
      <c r="J59" s="88">
        <f t="shared" si="36"/>
        <v>3442310.4563466669</v>
      </c>
      <c r="K59" s="88">
        <f t="shared" si="36"/>
        <v>3786541.5019813334</v>
      </c>
      <c r="L59" s="88">
        <f t="shared" si="36"/>
        <v>4089464.8221398406</v>
      </c>
      <c r="M59" s="88">
        <f t="shared" si="36"/>
        <v>4416622.0079110274</v>
      </c>
      <c r="N59" s="88">
        <f t="shared" si="36"/>
        <v>4769951.7685439102</v>
      </c>
      <c r="O59" s="88">
        <f t="shared" si="36"/>
        <v>5151547.9100274248</v>
      </c>
      <c r="P59" s="88">
        <f t="shared" si="36"/>
        <v>5409125.3055287963</v>
      </c>
      <c r="Q59" s="88">
        <f t="shared" si="36"/>
        <v>5679581.5708052367</v>
      </c>
      <c r="R59" s="88">
        <f t="shared" si="36"/>
        <v>5963560.6493454985</v>
      </c>
      <c r="S59" s="88">
        <f t="shared" si="36"/>
        <v>6261738.6818127735</v>
      </c>
      <c r="T59" s="88">
        <f t="shared" si="36"/>
        <v>6449590.8422671556</v>
      </c>
      <c r="U59" s="88">
        <f t="shared" si="36"/>
        <v>6643078.5675351722</v>
      </c>
      <c r="V59" s="88">
        <f t="shared" si="36"/>
        <v>6842370.9245612277</v>
      </c>
      <c r="W59" s="88">
        <f t="shared" si="36"/>
        <v>7047642.0522980643</v>
      </c>
    </row>
    <row r="60" spans="2:23" x14ac:dyDescent="0.25">
      <c r="B60" s="471"/>
      <c r="C60" s="281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spans="2:23" x14ac:dyDescent="0.25">
      <c r="B61" s="288"/>
      <c r="C61" s="281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 spans="2:23" x14ac:dyDescent="0.25">
      <c r="B62" s="288" t="s">
        <v>383</v>
      </c>
      <c r="C62" s="281"/>
      <c r="D62" s="88"/>
      <c r="E62" s="88"/>
      <c r="F62" s="88"/>
      <c r="G62" s="88">
        <f>SUM(D58:G58)</f>
        <v>12087965.9264</v>
      </c>
      <c r="H62" s="88"/>
      <c r="I62" s="88"/>
      <c r="J62" s="88"/>
      <c r="K62" s="88">
        <f>SUM(H58:K58)</f>
        <v>39609329.325384006</v>
      </c>
      <c r="L62" s="88"/>
      <c r="M62" s="88"/>
      <c r="N62" s="88"/>
      <c r="O62" s="88">
        <f>SUM(L58:O58)</f>
        <v>55282759.525866613</v>
      </c>
      <c r="P62" s="88"/>
      <c r="Q62" s="88"/>
      <c r="R62" s="88"/>
      <c r="S62" s="88">
        <f>SUM(P58:S58)</f>
        <v>69942018.622476906</v>
      </c>
      <c r="T62" s="88"/>
      <c r="U62" s="88"/>
      <c r="V62" s="88"/>
      <c r="W62" s="88">
        <f>SUM(T58:W58)</f>
        <v>80948047.159984857</v>
      </c>
    </row>
    <row r="63" spans="2:23" x14ac:dyDescent="0.25">
      <c r="B63" s="288" t="s">
        <v>584</v>
      </c>
      <c r="C63" s="281"/>
      <c r="D63" s="88">
        <f t="shared" ref="D63:W63" si="37">D35+D46+D54</f>
        <v>139059.20000000001</v>
      </c>
      <c r="E63" s="88">
        <f t="shared" si="37"/>
        <v>941449.6</v>
      </c>
      <c r="F63" s="88">
        <f t="shared" si="37"/>
        <v>1774864</v>
      </c>
      <c r="G63" s="88">
        <f t="shared" si="37"/>
        <v>2052668.8</v>
      </c>
      <c r="H63" s="88">
        <f t="shared" si="37"/>
        <v>4395820</v>
      </c>
      <c r="I63" s="88">
        <f t="shared" si="37"/>
        <v>4835402</v>
      </c>
      <c r="J63" s="88">
        <f t="shared" si="37"/>
        <v>5318942.2</v>
      </c>
      <c r="K63" s="88">
        <f t="shared" si="37"/>
        <v>5850836.4199999999</v>
      </c>
      <c r="L63" s="88">
        <f t="shared" si="37"/>
        <v>6318903.3335999995</v>
      </c>
      <c r="M63" s="88">
        <f t="shared" si="37"/>
        <v>6824415.6002880009</v>
      </c>
      <c r="N63" s="88">
        <f t="shared" si="37"/>
        <v>7370368.8483110424</v>
      </c>
      <c r="O63" s="88">
        <f t="shared" si="37"/>
        <v>7959998.3561759265</v>
      </c>
      <c r="P63" s="88">
        <f t="shared" si="37"/>
        <v>8357998.2739847247</v>
      </c>
      <c r="Q63" s="88">
        <f t="shared" si="37"/>
        <v>8775898.1876839604</v>
      </c>
      <c r="R63" s="88">
        <f t="shared" si="37"/>
        <v>9214693.0970681589</v>
      </c>
      <c r="S63" s="88">
        <f t="shared" si="37"/>
        <v>9675427.7519215681</v>
      </c>
      <c r="T63" s="88">
        <f t="shared" si="37"/>
        <v>9965690.5844792146</v>
      </c>
      <c r="U63" s="88">
        <f t="shared" si="37"/>
        <v>10264661.302013589</v>
      </c>
      <c r="V63" s="88">
        <f t="shared" si="37"/>
        <v>10572601.141074002</v>
      </c>
      <c r="W63" s="88">
        <f t="shared" si="37"/>
        <v>10889779.17530622</v>
      </c>
    </row>
    <row r="64" spans="2:23" x14ac:dyDescent="0.25">
      <c r="B64" s="288" t="s">
        <v>583</v>
      </c>
      <c r="C64" s="281"/>
      <c r="D64" s="88"/>
      <c r="E64" s="88"/>
      <c r="F64" s="88"/>
      <c r="G64" s="88">
        <f>SUM(D63:G63)</f>
        <v>4908041.5999999996</v>
      </c>
      <c r="H64" s="88"/>
      <c r="I64" s="88"/>
      <c r="J64" s="88"/>
      <c r="K64" s="88">
        <f>SUM(H63:K63)</f>
        <v>20401000.619999997</v>
      </c>
      <c r="L64" s="88"/>
      <c r="M64" s="88"/>
      <c r="N64" s="88"/>
      <c r="O64" s="88">
        <f>SUM(L63:O63)</f>
        <v>28473686.138374966</v>
      </c>
      <c r="P64" s="88"/>
      <c r="Q64" s="88"/>
      <c r="R64" s="88"/>
      <c r="S64" s="88">
        <f>SUM(P63:S63)</f>
        <v>36024017.31065841</v>
      </c>
      <c r="T64" s="88"/>
      <c r="U64" s="88"/>
      <c r="V64" s="88"/>
      <c r="W64" s="88">
        <f>SUM(T63:W63)</f>
        <v>41692732.202873021</v>
      </c>
    </row>
    <row r="65" spans="2:23" x14ac:dyDescent="0.25">
      <c r="B65" s="288" t="s">
        <v>586</v>
      </c>
      <c r="C65" s="282"/>
      <c r="D65" s="89"/>
      <c r="E65" s="89"/>
      <c r="F65" s="89"/>
      <c r="G65" s="223">
        <f>G64/G62</f>
        <v>0.40602708759137751</v>
      </c>
      <c r="H65" s="89"/>
      <c r="I65" s="89"/>
      <c r="J65" s="89"/>
      <c r="K65" s="223">
        <f>K64/K62</f>
        <v>0.51505544192402741</v>
      </c>
      <c r="L65" s="89"/>
      <c r="M65" s="89"/>
      <c r="N65" s="89"/>
      <c r="O65" s="223">
        <f>O64/O62</f>
        <v>0.51505544192402741</v>
      </c>
      <c r="P65" s="89"/>
      <c r="Q65" s="89"/>
      <c r="R65" s="89"/>
      <c r="S65" s="223">
        <f>S64/S62</f>
        <v>0.51505544192402763</v>
      </c>
      <c r="T65" s="89"/>
      <c r="U65" s="89"/>
      <c r="V65" s="89"/>
      <c r="W65" s="223">
        <f>W64/W62</f>
        <v>0.51505544192402752</v>
      </c>
    </row>
    <row r="66" spans="2:23" x14ac:dyDescent="0.25">
      <c r="J66" s="544" t="s">
        <v>651</v>
      </c>
      <c r="K66" s="543">
        <f>(SUM(H21:K21)+SUM(H25:K25))/K62</f>
        <v>0.73311667636499367</v>
      </c>
    </row>
  </sheetData>
  <mergeCells count="5">
    <mergeCell ref="T4:W4"/>
    <mergeCell ref="D4:G4"/>
    <mergeCell ref="H4:K4"/>
    <mergeCell ref="L4:O4"/>
    <mergeCell ref="P4:S4"/>
  </mergeCells>
  <pageMargins left="0.7" right="0.7" top="0.75" bottom="0.75" header="0.3" footer="0.3"/>
  <pageSetup scale="55" orientation="portrait" r:id="rId1"/>
  <rowBreaks count="1" manualBreakCount="1">
    <brk id="65" max="16383" man="1"/>
  </rowBreaks>
  <colBreaks count="1" manualBreakCount="1">
    <brk id="11" max="6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94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G7" sqref="G7:G16"/>
    </sheetView>
  </sheetViews>
  <sheetFormatPr defaultRowHeight="15" x14ac:dyDescent="0.25"/>
  <cols>
    <col min="1" max="1" width="4" style="94" customWidth="1"/>
    <col min="2" max="2" width="46" style="96" customWidth="1"/>
    <col min="3" max="3" width="12.140625" style="283" customWidth="1"/>
    <col min="4" max="20" width="12.140625" style="94" bestFit="1" customWidth="1"/>
    <col min="21" max="23" width="13.28515625" style="94" bestFit="1" customWidth="1"/>
    <col min="24" max="16384" width="9.140625" style="94"/>
  </cols>
  <sheetData>
    <row r="1" spans="1:23" s="368" customFormat="1" x14ac:dyDescent="0.25">
      <c r="A1" s="366" t="str">
        <f>Summary!A1</f>
        <v>ABC Nutri foods</v>
      </c>
      <c r="B1" s="367"/>
    </row>
    <row r="2" spans="1:23" s="371" customFormat="1" x14ac:dyDescent="0.25">
      <c r="A2" s="369" t="s">
        <v>459</v>
      </c>
      <c r="B2" s="370"/>
    </row>
    <row r="4" spans="1:23" x14ac:dyDescent="0.25">
      <c r="B4" s="115"/>
      <c r="C4" s="279"/>
      <c r="D4" s="632" t="s">
        <v>105</v>
      </c>
      <c r="E4" s="633"/>
      <c r="F4" s="633"/>
      <c r="G4" s="634"/>
      <c r="H4" s="632" t="s">
        <v>139</v>
      </c>
      <c r="I4" s="633"/>
      <c r="J4" s="633"/>
      <c r="K4" s="634"/>
      <c r="L4" s="632" t="s">
        <v>140</v>
      </c>
      <c r="M4" s="633"/>
      <c r="N4" s="633"/>
      <c r="O4" s="634"/>
      <c r="P4" s="632" t="s">
        <v>407</v>
      </c>
      <c r="Q4" s="633"/>
      <c r="R4" s="633"/>
      <c r="S4" s="634"/>
      <c r="T4" s="632" t="s">
        <v>546</v>
      </c>
      <c r="U4" s="633"/>
      <c r="V4" s="633"/>
      <c r="W4" s="634"/>
    </row>
    <row r="5" spans="1:23" s="118" customFormat="1" x14ac:dyDescent="0.25">
      <c r="B5" s="117" t="s">
        <v>2</v>
      </c>
      <c r="C5" s="280" t="s">
        <v>374</v>
      </c>
      <c r="D5" s="117" t="s">
        <v>106</v>
      </c>
      <c r="E5" s="117" t="s">
        <v>107</v>
      </c>
      <c r="F5" s="117" t="s">
        <v>108</v>
      </c>
      <c r="G5" s="117" t="s">
        <v>109</v>
      </c>
      <c r="H5" s="117" t="s">
        <v>110</v>
      </c>
      <c r="I5" s="117" t="s">
        <v>111</v>
      </c>
      <c r="J5" s="117" t="s">
        <v>112</v>
      </c>
      <c r="K5" s="117" t="s">
        <v>113</v>
      </c>
      <c r="L5" s="117" t="s">
        <v>141</v>
      </c>
      <c r="M5" s="117" t="s">
        <v>142</v>
      </c>
      <c r="N5" s="117" t="s">
        <v>143</v>
      </c>
      <c r="O5" s="117" t="s">
        <v>144</v>
      </c>
      <c r="P5" s="117" t="s">
        <v>183</v>
      </c>
      <c r="Q5" s="117" t="s">
        <v>184</v>
      </c>
      <c r="R5" s="117" t="s">
        <v>185</v>
      </c>
      <c r="S5" s="117" t="s">
        <v>186</v>
      </c>
      <c r="T5" s="117" t="s">
        <v>408</v>
      </c>
      <c r="U5" s="117" t="s">
        <v>409</v>
      </c>
      <c r="V5" s="117" t="s">
        <v>410</v>
      </c>
      <c r="W5" s="117" t="s">
        <v>411</v>
      </c>
    </row>
    <row r="6" spans="1:23" s="96" customFormat="1" x14ac:dyDescent="0.25">
      <c r="B6" s="219" t="s">
        <v>369</v>
      </c>
      <c r="C6" s="281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3" s="96" customFormat="1" x14ac:dyDescent="0.25">
      <c r="B7" s="276" t="s">
        <v>365</v>
      </c>
      <c r="C7" s="419">
        <f>'Products (RTE) - Retail'!H6</f>
        <v>159.8309764</v>
      </c>
      <c r="D7" s="293"/>
      <c r="E7" s="88">
        <f t="shared" ref="E7:E16" si="0">D7*(1+E19)</f>
        <v>0</v>
      </c>
      <c r="F7" s="293"/>
      <c r="G7" s="293"/>
      <c r="H7" s="88">
        <f>G7*(1+H19)</f>
        <v>0</v>
      </c>
      <c r="I7" s="88">
        <f t="shared" ref="I7:I16" si="1">H7*(1+I19)</f>
        <v>0</v>
      </c>
      <c r="J7" s="88">
        <f t="shared" ref="J7:J16" si="2">I7*(1+J19)</f>
        <v>0</v>
      </c>
      <c r="K7" s="88">
        <f t="shared" ref="K7:K16" si="3">J7*(1+K19)</f>
        <v>0</v>
      </c>
      <c r="L7" s="88">
        <f t="shared" ref="L7:L16" si="4">K7*(1+L19)</f>
        <v>0</v>
      </c>
      <c r="M7" s="88">
        <f t="shared" ref="M7:M16" si="5">L7*(1+M19)</f>
        <v>0</v>
      </c>
      <c r="N7" s="88">
        <f t="shared" ref="N7:N16" si="6">M7*(1+N19)</f>
        <v>0</v>
      </c>
      <c r="O7" s="88">
        <f t="shared" ref="O7:O16" si="7">N7*(1+O19)</f>
        <v>0</v>
      </c>
      <c r="P7" s="88">
        <f t="shared" ref="P7:P16" si="8">O7*(1+P19)</f>
        <v>0</v>
      </c>
      <c r="Q7" s="88">
        <f t="shared" ref="Q7:Q16" si="9">P7*(1+Q19)</f>
        <v>0</v>
      </c>
      <c r="R7" s="88">
        <f t="shared" ref="R7:R16" si="10">Q7*(1+R19)</f>
        <v>0</v>
      </c>
      <c r="S7" s="88">
        <f t="shared" ref="S7:S16" si="11">R7*(1+S19)</f>
        <v>0</v>
      </c>
      <c r="T7" s="88">
        <f t="shared" ref="T7:T16" si="12">S7*(1+T19)</f>
        <v>0</v>
      </c>
      <c r="U7" s="88">
        <f t="shared" ref="U7:U16" si="13">T7*(1+U19)</f>
        <v>0</v>
      </c>
      <c r="V7" s="88">
        <f t="shared" ref="V7:W16" si="14">U7*(1+V19)</f>
        <v>0</v>
      </c>
      <c r="W7" s="88">
        <f t="shared" si="14"/>
        <v>0</v>
      </c>
    </row>
    <row r="8" spans="1:23" s="96" customFormat="1" x14ac:dyDescent="0.25">
      <c r="B8" s="276" t="s">
        <v>366</v>
      </c>
      <c r="C8" s="419">
        <f>'Products (RTE) - Retail'!H7</f>
        <v>196.71606775999999</v>
      </c>
      <c r="D8" s="293"/>
      <c r="E8" s="88">
        <f t="shared" si="0"/>
        <v>0</v>
      </c>
      <c r="F8" s="293"/>
      <c r="G8" s="293"/>
      <c r="H8" s="88">
        <f t="shared" ref="H8:H16" si="15">G8*(1+H20)</f>
        <v>0</v>
      </c>
      <c r="I8" s="88">
        <f t="shared" si="1"/>
        <v>0</v>
      </c>
      <c r="J8" s="88">
        <f t="shared" si="2"/>
        <v>0</v>
      </c>
      <c r="K8" s="88">
        <f t="shared" si="3"/>
        <v>0</v>
      </c>
      <c r="L8" s="88">
        <f t="shared" si="4"/>
        <v>0</v>
      </c>
      <c r="M8" s="88">
        <f t="shared" si="5"/>
        <v>0</v>
      </c>
      <c r="N8" s="88">
        <f t="shared" si="6"/>
        <v>0</v>
      </c>
      <c r="O8" s="88">
        <f t="shared" si="7"/>
        <v>0</v>
      </c>
      <c r="P8" s="88">
        <f t="shared" si="8"/>
        <v>0</v>
      </c>
      <c r="Q8" s="88">
        <f t="shared" si="9"/>
        <v>0</v>
      </c>
      <c r="R8" s="88">
        <f t="shared" si="10"/>
        <v>0</v>
      </c>
      <c r="S8" s="88">
        <f t="shared" si="11"/>
        <v>0</v>
      </c>
      <c r="T8" s="88">
        <f t="shared" si="12"/>
        <v>0</v>
      </c>
      <c r="U8" s="88">
        <f t="shared" si="13"/>
        <v>0</v>
      </c>
      <c r="V8" s="88">
        <f t="shared" si="14"/>
        <v>0</v>
      </c>
      <c r="W8" s="88">
        <f t="shared" si="14"/>
        <v>0</v>
      </c>
    </row>
    <row r="9" spans="1:23" s="96" customFormat="1" x14ac:dyDescent="0.25">
      <c r="B9" s="276" t="s">
        <v>499</v>
      </c>
      <c r="C9" s="419">
        <f>'Products (RTE) - Retail'!H8</f>
        <v>76.840846687999999</v>
      </c>
      <c r="D9" s="293"/>
      <c r="E9" s="88">
        <f t="shared" si="0"/>
        <v>0</v>
      </c>
      <c r="F9" s="293"/>
      <c r="G9" s="293"/>
      <c r="H9" s="88">
        <f t="shared" si="15"/>
        <v>0</v>
      </c>
      <c r="I9" s="88">
        <f t="shared" si="1"/>
        <v>0</v>
      </c>
      <c r="J9" s="88">
        <f t="shared" si="2"/>
        <v>0</v>
      </c>
      <c r="K9" s="88">
        <f t="shared" si="3"/>
        <v>0</v>
      </c>
      <c r="L9" s="88">
        <f t="shared" si="4"/>
        <v>0</v>
      </c>
      <c r="M9" s="88">
        <f t="shared" si="5"/>
        <v>0</v>
      </c>
      <c r="N9" s="88">
        <f t="shared" si="6"/>
        <v>0</v>
      </c>
      <c r="O9" s="88">
        <f t="shared" si="7"/>
        <v>0</v>
      </c>
      <c r="P9" s="88">
        <f t="shared" si="8"/>
        <v>0</v>
      </c>
      <c r="Q9" s="88">
        <f t="shared" si="9"/>
        <v>0</v>
      </c>
      <c r="R9" s="88">
        <f t="shared" si="10"/>
        <v>0</v>
      </c>
      <c r="S9" s="88">
        <f t="shared" si="11"/>
        <v>0</v>
      </c>
      <c r="T9" s="88">
        <f t="shared" si="12"/>
        <v>0</v>
      </c>
      <c r="U9" s="88">
        <f t="shared" si="13"/>
        <v>0</v>
      </c>
      <c r="V9" s="88">
        <f t="shared" si="14"/>
        <v>0</v>
      </c>
      <c r="W9" s="88">
        <f t="shared" si="14"/>
        <v>0</v>
      </c>
    </row>
    <row r="10" spans="1:23" s="96" customFormat="1" x14ac:dyDescent="0.25">
      <c r="B10" s="276" t="s">
        <v>367</v>
      </c>
      <c r="C10" s="419">
        <f>'Products (RTE) - Retail'!H9</f>
        <v>92.212728399999989</v>
      </c>
      <c r="D10" s="293"/>
      <c r="E10" s="88">
        <f t="shared" si="0"/>
        <v>0</v>
      </c>
      <c r="F10" s="293"/>
      <c r="G10" s="293"/>
      <c r="H10" s="88">
        <f t="shared" si="15"/>
        <v>0</v>
      </c>
      <c r="I10" s="88">
        <f t="shared" si="1"/>
        <v>0</v>
      </c>
      <c r="J10" s="88">
        <f t="shared" si="2"/>
        <v>0</v>
      </c>
      <c r="K10" s="88">
        <f t="shared" si="3"/>
        <v>0</v>
      </c>
      <c r="L10" s="88">
        <f t="shared" si="4"/>
        <v>0</v>
      </c>
      <c r="M10" s="88">
        <f t="shared" si="5"/>
        <v>0</v>
      </c>
      <c r="N10" s="88">
        <f t="shared" si="6"/>
        <v>0</v>
      </c>
      <c r="O10" s="88">
        <f t="shared" si="7"/>
        <v>0</v>
      </c>
      <c r="P10" s="88">
        <f t="shared" si="8"/>
        <v>0</v>
      </c>
      <c r="Q10" s="88">
        <f t="shared" si="9"/>
        <v>0</v>
      </c>
      <c r="R10" s="88">
        <f t="shared" si="10"/>
        <v>0</v>
      </c>
      <c r="S10" s="88">
        <f t="shared" si="11"/>
        <v>0</v>
      </c>
      <c r="T10" s="88">
        <f t="shared" si="12"/>
        <v>0</v>
      </c>
      <c r="U10" s="88">
        <f t="shared" si="13"/>
        <v>0</v>
      </c>
      <c r="V10" s="88">
        <f t="shared" si="14"/>
        <v>0</v>
      </c>
      <c r="W10" s="88">
        <f t="shared" si="14"/>
        <v>0</v>
      </c>
    </row>
    <row r="11" spans="1:23" s="96" customFormat="1" x14ac:dyDescent="0.25">
      <c r="B11" s="276" t="s">
        <v>539</v>
      </c>
      <c r="C11" s="419">
        <f>'Products (RTE) - Retail'!H10</f>
        <v>55.327637039999999</v>
      </c>
      <c r="D11" s="293"/>
      <c r="E11" s="88">
        <f t="shared" si="0"/>
        <v>0</v>
      </c>
      <c r="F11" s="293"/>
      <c r="G11" s="293"/>
      <c r="H11" s="88">
        <f t="shared" si="15"/>
        <v>0</v>
      </c>
      <c r="I11" s="88">
        <f t="shared" si="1"/>
        <v>0</v>
      </c>
      <c r="J11" s="88">
        <f t="shared" si="2"/>
        <v>0</v>
      </c>
      <c r="K11" s="88">
        <f t="shared" si="3"/>
        <v>0</v>
      </c>
      <c r="L11" s="88">
        <f t="shared" si="4"/>
        <v>0</v>
      </c>
      <c r="M11" s="88">
        <f t="shared" si="5"/>
        <v>0</v>
      </c>
      <c r="N11" s="88">
        <f t="shared" si="6"/>
        <v>0</v>
      </c>
      <c r="O11" s="88">
        <f t="shared" si="7"/>
        <v>0</v>
      </c>
      <c r="P11" s="88">
        <f t="shared" si="8"/>
        <v>0</v>
      </c>
      <c r="Q11" s="88">
        <f t="shared" si="9"/>
        <v>0</v>
      </c>
      <c r="R11" s="88">
        <f t="shared" si="10"/>
        <v>0</v>
      </c>
      <c r="S11" s="88">
        <f t="shared" si="11"/>
        <v>0</v>
      </c>
      <c r="T11" s="88">
        <f t="shared" si="12"/>
        <v>0</v>
      </c>
      <c r="U11" s="88">
        <f t="shared" si="13"/>
        <v>0</v>
      </c>
      <c r="V11" s="88">
        <f t="shared" si="14"/>
        <v>0</v>
      </c>
      <c r="W11" s="88">
        <f t="shared" si="14"/>
        <v>0</v>
      </c>
    </row>
    <row r="12" spans="1:23" s="96" customFormat="1" x14ac:dyDescent="0.25">
      <c r="B12" s="276" t="s">
        <v>540</v>
      </c>
      <c r="C12" s="419">
        <f>'Products (RTE) - Retail'!H11</f>
        <v>58.400952703999998</v>
      </c>
      <c r="D12" s="293"/>
      <c r="E12" s="88">
        <f t="shared" si="0"/>
        <v>0</v>
      </c>
      <c r="F12" s="293"/>
      <c r="G12" s="293"/>
      <c r="H12" s="88">
        <f t="shared" si="15"/>
        <v>0</v>
      </c>
      <c r="I12" s="88">
        <f t="shared" si="1"/>
        <v>0</v>
      </c>
      <c r="J12" s="88">
        <f t="shared" si="2"/>
        <v>0</v>
      </c>
      <c r="K12" s="88">
        <f t="shared" si="3"/>
        <v>0</v>
      </c>
      <c r="L12" s="88">
        <f t="shared" si="4"/>
        <v>0</v>
      </c>
      <c r="M12" s="88">
        <f t="shared" si="5"/>
        <v>0</v>
      </c>
      <c r="N12" s="88">
        <f t="shared" si="6"/>
        <v>0</v>
      </c>
      <c r="O12" s="88">
        <f t="shared" si="7"/>
        <v>0</v>
      </c>
      <c r="P12" s="88">
        <f t="shared" si="8"/>
        <v>0</v>
      </c>
      <c r="Q12" s="88">
        <f t="shared" si="9"/>
        <v>0</v>
      </c>
      <c r="R12" s="88">
        <f t="shared" si="10"/>
        <v>0</v>
      </c>
      <c r="S12" s="88">
        <f t="shared" si="11"/>
        <v>0</v>
      </c>
      <c r="T12" s="88">
        <f t="shared" si="12"/>
        <v>0</v>
      </c>
      <c r="U12" s="88">
        <f t="shared" si="13"/>
        <v>0</v>
      </c>
      <c r="V12" s="88">
        <f t="shared" si="14"/>
        <v>0</v>
      </c>
      <c r="W12" s="88">
        <f t="shared" si="14"/>
        <v>0</v>
      </c>
    </row>
    <row r="13" spans="1:23" s="96" customFormat="1" x14ac:dyDescent="0.25">
      <c r="B13" s="276" t="s">
        <v>368</v>
      </c>
      <c r="C13" s="419">
        <f>'Products (RTE) - Retail'!H12</f>
        <v>83.918874999999986</v>
      </c>
      <c r="D13" s="293"/>
      <c r="E13" s="88">
        <f t="shared" si="0"/>
        <v>0</v>
      </c>
      <c r="F13" s="293"/>
      <c r="G13" s="293"/>
      <c r="H13" s="88">
        <f t="shared" si="15"/>
        <v>0</v>
      </c>
      <c r="I13" s="88">
        <f t="shared" si="1"/>
        <v>0</v>
      </c>
      <c r="J13" s="88">
        <f t="shared" si="2"/>
        <v>0</v>
      </c>
      <c r="K13" s="88">
        <f t="shared" si="3"/>
        <v>0</v>
      </c>
      <c r="L13" s="88">
        <f t="shared" si="4"/>
        <v>0</v>
      </c>
      <c r="M13" s="88">
        <f t="shared" si="5"/>
        <v>0</v>
      </c>
      <c r="N13" s="88">
        <f t="shared" si="6"/>
        <v>0</v>
      </c>
      <c r="O13" s="88">
        <f t="shared" si="7"/>
        <v>0</v>
      </c>
      <c r="P13" s="88">
        <f t="shared" si="8"/>
        <v>0</v>
      </c>
      <c r="Q13" s="88">
        <f t="shared" si="9"/>
        <v>0</v>
      </c>
      <c r="R13" s="88">
        <f t="shared" si="10"/>
        <v>0</v>
      </c>
      <c r="S13" s="88">
        <f t="shared" si="11"/>
        <v>0</v>
      </c>
      <c r="T13" s="88">
        <f t="shared" si="12"/>
        <v>0</v>
      </c>
      <c r="U13" s="88">
        <f t="shared" si="13"/>
        <v>0</v>
      </c>
      <c r="V13" s="88">
        <f t="shared" si="14"/>
        <v>0</v>
      </c>
      <c r="W13" s="88">
        <f t="shared" si="14"/>
        <v>0</v>
      </c>
    </row>
    <row r="14" spans="1:23" s="96" customFormat="1" x14ac:dyDescent="0.25">
      <c r="B14" s="276" t="s">
        <v>530</v>
      </c>
      <c r="C14" s="419">
        <f>'Products (RTE) - Retail'!H13</f>
        <v>151.36510545800002</v>
      </c>
      <c r="D14" s="293"/>
      <c r="E14" s="88">
        <f t="shared" si="0"/>
        <v>0</v>
      </c>
      <c r="F14" s="293"/>
      <c r="G14" s="293"/>
      <c r="H14" s="88">
        <f t="shared" si="15"/>
        <v>0</v>
      </c>
      <c r="I14" s="88">
        <f t="shared" si="1"/>
        <v>0</v>
      </c>
      <c r="J14" s="88">
        <f t="shared" si="2"/>
        <v>0</v>
      </c>
      <c r="K14" s="88">
        <f t="shared" si="3"/>
        <v>0</v>
      </c>
      <c r="L14" s="88">
        <f t="shared" si="4"/>
        <v>0</v>
      </c>
      <c r="M14" s="88">
        <f t="shared" si="5"/>
        <v>0</v>
      </c>
      <c r="N14" s="88">
        <f t="shared" si="6"/>
        <v>0</v>
      </c>
      <c r="O14" s="88">
        <f t="shared" si="7"/>
        <v>0</v>
      </c>
      <c r="P14" s="88">
        <f t="shared" si="8"/>
        <v>0</v>
      </c>
      <c r="Q14" s="88">
        <f t="shared" si="9"/>
        <v>0</v>
      </c>
      <c r="R14" s="88">
        <f t="shared" si="10"/>
        <v>0</v>
      </c>
      <c r="S14" s="88">
        <f t="shared" si="11"/>
        <v>0</v>
      </c>
      <c r="T14" s="88">
        <f t="shared" si="12"/>
        <v>0</v>
      </c>
      <c r="U14" s="88">
        <f t="shared" si="13"/>
        <v>0</v>
      </c>
      <c r="V14" s="88">
        <f t="shared" si="14"/>
        <v>0</v>
      </c>
      <c r="W14" s="88">
        <f t="shared" si="14"/>
        <v>0</v>
      </c>
    </row>
    <row r="15" spans="1:23" s="96" customFormat="1" x14ac:dyDescent="0.25">
      <c r="B15" s="276" t="s">
        <v>524</v>
      </c>
      <c r="C15" s="419">
        <f>'Products (RTE) - Retail'!H14</f>
        <v>116.21871206399999</v>
      </c>
      <c r="D15" s="293"/>
      <c r="E15" s="88">
        <f t="shared" si="0"/>
        <v>0</v>
      </c>
      <c r="F15" s="293"/>
      <c r="G15" s="293"/>
      <c r="H15" s="88">
        <f t="shared" si="15"/>
        <v>0</v>
      </c>
      <c r="I15" s="88">
        <f t="shared" si="1"/>
        <v>0</v>
      </c>
      <c r="J15" s="88">
        <f t="shared" si="2"/>
        <v>0</v>
      </c>
      <c r="K15" s="88">
        <f t="shared" si="3"/>
        <v>0</v>
      </c>
      <c r="L15" s="88">
        <f t="shared" si="4"/>
        <v>0</v>
      </c>
      <c r="M15" s="88">
        <f t="shared" si="5"/>
        <v>0</v>
      </c>
      <c r="N15" s="88">
        <f t="shared" si="6"/>
        <v>0</v>
      </c>
      <c r="O15" s="88">
        <f t="shared" si="7"/>
        <v>0</v>
      </c>
      <c r="P15" s="88">
        <f t="shared" si="8"/>
        <v>0</v>
      </c>
      <c r="Q15" s="88">
        <f t="shared" si="9"/>
        <v>0</v>
      </c>
      <c r="R15" s="88">
        <f t="shared" si="10"/>
        <v>0</v>
      </c>
      <c r="S15" s="88">
        <f t="shared" si="11"/>
        <v>0</v>
      </c>
      <c r="T15" s="88">
        <f t="shared" si="12"/>
        <v>0</v>
      </c>
      <c r="U15" s="88">
        <f t="shared" si="13"/>
        <v>0</v>
      </c>
      <c r="V15" s="88">
        <f t="shared" si="14"/>
        <v>0</v>
      </c>
      <c r="W15" s="88">
        <f t="shared" si="14"/>
        <v>0</v>
      </c>
    </row>
    <row r="16" spans="1:23" s="96" customFormat="1" x14ac:dyDescent="0.25">
      <c r="B16" s="276" t="s">
        <v>525</v>
      </c>
      <c r="C16" s="419">
        <f>'Products (RTE) - Retail'!H15</f>
        <v>49.809682383999991</v>
      </c>
      <c r="D16" s="293"/>
      <c r="E16" s="88">
        <f t="shared" si="0"/>
        <v>0</v>
      </c>
      <c r="F16" s="293"/>
      <c r="G16" s="293"/>
      <c r="H16" s="88">
        <f t="shared" si="15"/>
        <v>0</v>
      </c>
      <c r="I16" s="88">
        <f t="shared" si="1"/>
        <v>0</v>
      </c>
      <c r="J16" s="88">
        <f t="shared" si="2"/>
        <v>0</v>
      </c>
      <c r="K16" s="88">
        <f t="shared" si="3"/>
        <v>0</v>
      </c>
      <c r="L16" s="88">
        <f t="shared" si="4"/>
        <v>0</v>
      </c>
      <c r="M16" s="88">
        <f t="shared" si="5"/>
        <v>0</v>
      </c>
      <c r="N16" s="88">
        <f t="shared" si="6"/>
        <v>0</v>
      </c>
      <c r="O16" s="88">
        <f t="shared" si="7"/>
        <v>0</v>
      </c>
      <c r="P16" s="88">
        <f t="shared" si="8"/>
        <v>0</v>
      </c>
      <c r="Q16" s="88">
        <f t="shared" si="9"/>
        <v>0</v>
      </c>
      <c r="R16" s="88">
        <f t="shared" si="10"/>
        <v>0</v>
      </c>
      <c r="S16" s="88">
        <f t="shared" si="11"/>
        <v>0</v>
      </c>
      <c r="T16" s="88">
        <f t="shared" si="12"/>
        <v>0</v>
      </c>
      <c r="U16" s="88">
        <f t="shared" si="13"/>
        <v>0</v>
      </c>
      <c r="V16" s="88">
        <f t="shared" si="14"/>
        <v>0</v>
      </c>
      <c r="W16" s="88">
        <f t="shared" si="14"/>
        <v>0</v>
      </c>
    </row>
    <row r="17" spans="2:23" s="96" customFormat="1" x14ac:dyDescent="0.25">
      <c r="B17" s="276"/>
      <c r="C17" s="281"/>
      <c r="D17" s="78">
        <f t="shared" ref="D17:S17" si="16">SUM(D7:D16)</f>
        <v>0</v>
      </c>
      <c r="E17" s="78">
        <f t="shared" si="16"/>
        <v>0</v>
      </c>
      <c r="F17" s="78">
        <f t="shared" si="16"/>
        <v>0</v>
      </c>
      <c r="G17" s="78">
        <f t="shared" si="16"/>
        <v>0</v>
      </c>
      <c r="H17" s="78">
        <f t="shared" si="16"/>
        <v>0</v>
      </c>
      <c r="I17" s="78">
        <f t="shared" si="16"/>
        <v>0</v>
      </c>
      <c r="J17" s="78">
        <f t="shared" si="16"/>
        <v>0</v>
      </c>
      <c r="K17" s="78">
        <f t="shared" si="16"/>
        <v>0</v>
      </c>
      <c r="L17" s="78">
        <f t="shared" si="16"/>
        <v>0</v>
      </c>
      <c r="M17" s="78">
        <f t="shared" si="16"/>
        <v>0</v>
      </c>
      <c r="N17" s="78">
        <f t="shared" si="16"/>
        <v>0</v>
      </c>
      <c r="O17" s="78">
        <f t="shared" si="16"/>
        <v>0</v>
      </c>
      <c r="P17" s="78">
        <f t="shared" si="16"/>
        <v>0</v>
      </c>
      <c r="Q17" s="78">
        <f t="shared" si="16"/>
        <v>0</v>
      </c>
      <c r="R17" s="78">
        <f t="shared" si="16"/>
        <v>0</v>
      </c>
      <c r="S17" s="78">
        <f t="shared" si="16"/>
        <v>0</v>
      </c>
      <c r="T17" s="78">
        <f>SUM(T7:T16)</f>
        <v>0</v>
      </c>
      <c r="U17" s="78">
        <f>SUM(U7:U16)</f>
        <v>0</v>
      </c>
      <c r="V17" s="78">
        <f>SUM(V7:V16)</f>
        <v>0</v>
      </c>
      <c r="W17" s="78">
        <f>SUM(W7:W16)</f>
        <v>0</v>
      </c>
    </row>
    <row r="18" spans="2:23" s="96" customFormat="1" x14ac:dyDescent="0.25">
      <c r="B18" s="219" t="s">
        <v>379</v>
      </c>
      <c r="C18" s="281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</row>
    <row r="19" spans="2:23" s="96" customFormat="1" x14ac:dyDescent="0.25">
      <c r="B19" s="276" t="str">
        <f>B7</f>
        <v xml:space="preserve">GF CAKE  (VANILLA / CHOCOLATE) </v>
      </c>
      <c r="C19" s="281"/>
      <c r="D19" s="291"/>
      <c r="E19" s="291">
        <v>0.05</v>
      </c>
      <c r="F19" s="291">
        <v>0.05</v>
      </c>
      <c r="G19" s="291">
        <v>0.05</v>
      </c>
      <c r="H19" s="292">
        <v>0.05</v>
      </c>
      <c r="I19" s="290">
        <f t="shared" ref="I19:I28" si="17">H19</f>
        <v>0.05</v>
      </c>
      <c r="J19" s="290">
        <f t="shared" ref="J19:J28" si="18">I19</f>
        <v>0.05</v>
      </c>
      <c r="K19" s="290">
        <f t="shared" ref="K19:K28" si="19">J19</f>
        <v>0.05</v>
      </c>
      <c r="L19" s="290">
        <f t="shared" ref="L19:L28" si="20">K19</f>
        <v>0.05</v>
      </c>
      <c r="M19" s="290">
        <f t="shared" ref="M19:M28" si="21">L19</f>
        <v>0.05</v>
      </c>
      <c r="N19" s="292">
        <v>7.4999999999999997E-2</v>
      </c>
      <c r="O19" s="290">
        <f t="shared" ref="O19:O28" si="22">N19</f>
        <v>7.4999999999999997E-2</v>
      </c>
      <c r="P19" s="290">
        <f t="shared" ref="P19:P28" si="23">O19</f>
        <v>7.4999999999999997E-2</v>
      </c>
      <c r="Q19" s="290">
        <f t="shared" ref="Q19:Q28" si="24">P19</f>
        <v>7.4999999999999997E-2</v>
      </c>
      <c r="R19" s="290">
        <f t="shared" ref="R19:R28" si="25">Q19</f>
        <v>7.4999999999999997E-2</v>
      </c>
      <c r="S19" s="290">
        <f t="shared" ref="S19:S28" si="26">R19</f>
        <v>7.4999999999999997E-2</v>
      </c>
      <c r="T19" s="290">
        <f t="shared" ref="T19:T28" si="27">S19</f>
        <v>7.4999999999999997E-2</v>
      </c>
      <c r="U19" s="290">
        <f t="shared" ref="U19:U28" si="28">T19</f>
        <v>7.4999999999999997E-2</v>
      </c>
      <c r="V19" s="290">
        <f t="shared" ref="V19:W27" si="29">U19</f>
        <v>7.4999999999999997E-2</v>
      </c>
      <c r="W19" s="290">
        <f t="shared" si="29"/>
        <v>7.4999999999999997E-2</v>
      </c>
    </row>
    <row r="20" spans="2:23" s="96" customFormat="1" x14ac:dyDescent="0.25">
      <c r="B20" s="276" t="str">
        <f t="shared" ref="B20:B28" si="30">B8</f>
        <v>GF CAKE (VANILLA / CHOCOLATE) NAS</v>
      </c>
      <c r="C20" s="281"/>
      <c r="D20" s="291"/>
      <c r="E20" s="291">
        <v>0.05</v>
      </c>
      <c r="F20" s="291">
        <v>0.05</v>
      </c>
      <c r="G20" s="291">
        <v>0.05</v>
      </c>
      <c r="H20" s="292">
        <v>0.05</v>
      </c>
      <c r="I20" s="290">
        <f t="shared" si="17"/>
        <v>0.05</v>
      </c>
      <c r="J20" s="290">
        <f t="shared" si="18"/>
        <v>0.05</v>
      </c>
      <c r="K20" s="290">
        <f t="shared" si="19"/>
        <v>0.05</v>
      </c>
      <c r="L20" s="290">
        <f t="shared" si="20"/>
        <v>0.05</v>
      </c>
      <c r="M20" s="290">
        <f t="shared" si="21"/>
        <v>0.05</v>
      </c>
      <c r="N20" s="292">
        <v>7.4999999999999997E-2</v>
      </c>
      <c r="O20" s="290">
        <f t="shared" si="22"/>
        <v>7.4999999999999997E-2</v>
      </c>
      <c r="P20" s="290">
        <f t="shared" si="23"/>
        <v>7.4999999999999997E-2</v>
      </c>
      <c r="Q20" s="290">
        <f t="shared" si="24"/>
        <v>7.4999999999999997E-2</v>
      </c>
      <c r="R20" s="290">
        <f t="shared" si="25"/>
        <v>7.4999999999999997E-2</v>
      </c>
      <c r="S20" s="290">
        <f t="shared" si="26"/>
        <v>7.4999999999999997E-2</v>
      </c>
      <c r="T20" s="290">
        <f t="shared" si="27"/>
        <v>7.4999999999999997E-2</v>
      </c>
      <c r="U20" s="290">
        <f t="shared" si="28"/>
        <v>7.4999999999999997E-2</v>
      </c>
      <c r="V20" s="290">
        <f t="shared" si="29"/>
        <v>7.4999999999999997E-2</v>
      </c>
      <c r="W20" s="290">
        <f t="shared" si="29"/>
        <v>7.4999999999999997E-2</v>
      </c>
    </row>
    <row r="21" spans="2:23" s="96" customFormat="1" x14ac:dyDescent="0.25">
      <c r="B21" s="276" t="str">
        <f t="shared" si="30"/>
        <v>GF, Lf COOKIE (VANILLA / CHOCOLATE)</v>
      </c>
      <c r="C21" s="281"/>
      <c r="D21" s="291"/>
      <c r="E21" s="291">
        <v>0.05</v>
      </c>
      <c r="F21" s="291">
        <v>0.05</v>
      </c>
      <c r="G21" s="291">
        <v>0.05</v>
      </c>
      <c r="H21" s="292">
        <v>0.05</v>
      </c>
      <c r="I21" s="290">
        <f t="shared" si="17"/>
        <v>0.05</v>
      </c>
      <c r="J21" s="290">
        <f t="shared" si="18"/>
        <v>0.05</v>
      </c>
      <c r="K21" s="290">
        <f t="shared" si="19"/>
        <v>0.05</v>
      </c>
      <c r="L21" s="290">
        <f t="shared" si="20"/>
        <v>0.05</v>
      </c>
      <c r="M21" s="290">
        <f t="shared" si="21"/>
        <v>0.05</v>
      </c>
      <c r="N21" s="292">
        <v>7.4999999999999997E-2</v>
      </c>
      <c r="O21" s="290">
        <f t="shared" si="22"/>
        <v>7.4999999999999997E-2</v>
      </c>
      <c r="P21" s="290">
        <f t="shared" si="23"/>
        <v>7.4999999999999997E-2</v>
      </c>
      <c r="Q21" s="290">
        <f t="shared" si="24"/>
        <v>7.4999999999999997E-2</v>
      </c>
      <c r="R21" s="290">
        <f t="shared" si="25"/>
        <v>7.4999999999999997E-2</v>
      </c>
      <c r="S21" s="290">
        <f t="shared" si="26"/>
        <v>7.4999999999999997E-2</v>
      </c>
      <c r="T21" s="290">
        <f t="shared" si="27"/>
        <v>7.4999999999999997E-2</v>
      </c>
      <c r="U21" s="290">
        <f t="shared" si="28"/>
        <v>7.4999999999999997E-2</v>
      </c>
      <c r="V21" s="290">
        <f t="shared" si="29"/>
        <v>7.4999999999999997E-2</v>
      </c>
      <c r="W21" s="290">
        <f t="shared" si="29"/>
        <v>7.4999999999999997E-2</v>
      </c>
    </row>
    <row r="22" spans="2:23" s="96" customFormat="1" x14ac:dyDescent="0.25">
      <c r="B22" s="276" t="str">
        <f t="shared" si="30"/>
        <v>GF COOKIE  (VANILLA / CHOCOLATE) NAS</v>
      </c>
      <c r="C22" s="281"/>
      <c r="D22" s="291"/>
      <c r="E22" s="291">
        <v>0.05</v>
      </c>
      <c r="F22" s="291">
        <v>0.05</v>
      </c>
      <c r="G22" s="291">
        <v>0.05</v>
      </c>
      <c r="H22" s="292">
        <v>0.05</v>
      </c>
      <c r="I22" s="290">
        <f t="shared" si="17"/>
        <v>0.05</v>
      </c>
      <c r="J22" s="290">
        <f t="shared" si="18"/>
        <v>0.05</v>
      </c>
      <c r="K22" s="290">
        <f t="shared" si="19"/>
        <v>0.05</v>
      </c>
      <c r="L22" s="290">
        <f t="shared" si="20"/>
        <v>0.05</v>
      </c>
      <c r="M22" s="290">
        <f t="shared" si="21"/>
        <v>0.05</v>
      </c>
      <c r="N22" s="292">
        <v>7.4999999999999997E-2</v>
      </c>
      <c r="O22" s="290">
        <f t="shared" si="22"/>
        <v>7.4999999999999997E-2</v>
      </c>
      <c r="P22" s="290">
        <f t="shared" si="23"/>
        <v>7.4999999999999997E-2</v>
      </c>
      <c r="Q22" s="290">
        <f t="shared" si="24"/>
        <v>7.4999999999999997E-2</v>
      </c>
      <c r="R22" s="290">
        <f t="shared" si="25"/>
        <v>7.4999999999999997E-2</v>
      </c>
      <c r="S22" s="290">
        <f t="shared" si="26"/>
        <v>7.4999999999999997E-2</v>
      </c>
      <c r="T22" s="290">
        <f t="shared" si="27"/>
        <v>7.4999999999999997E-2</v>
      </c>
      <c r="U22" s="290">
        <f t="shared" si="28"/>
        <v>7.4999999999999997E-2</v>
      </c>
      <c r="V22" s="290">
        <f t="shared" si="29"/>
        <v>7.4999999999999997E-2</v>
      </c>
      <c r="W22" s="290">
        <f t="shared" si="29"/>
        <v>7.4999999999999997E-2</v>
      </c>
    </row>
    <row r="23" spans="2:23" s="96" customFormat="1" x14ac:dyDescent="0.25">
      <c r="B23" s="276" t="str">
        <f t="shared" si="30"/>
        <v>MULTIGRAN COOKIE</v>
      </c>
      <c r="C23" s="281"/>
      <c r="D23" s="291"/>
      <c r="E23" s="291">
        <v>0.05</v>
      </c>
      <c r="F23" s="291">
        <v>0.05</v>
      </c>
      <c r="G23" s="291">
        <v>0.05</v>
      </c>
      <c r="H23" s="292">
        <v>0.05</v>
      </c>
      <c r="I23" s="290">
        <f t="shared" si="17"/>
        <v>0.05</v>
      </c>
      <c r="J23" s="290">
        <f t="shared" si="18"/>
        <v>0.05</v>
      </c>
      <c r="K23" s="290">
        <f t="shared" si="19"/>
        <v>0.05</v>
      </c>
      <c r="L23" s="290">
        <f t="shared" si="20"/>
        <v>0.05</v>
      </c>
      <c r="M23" s="290">
        <f t="shared" si="21"/>
        <v>0.05</v>
      </c>
      <c r="N23" s="292">
        <v>7.4999999999999997E-2</v>
      </c>
      <c r="O23" s="290">
        <f t="shared" si="22"/>
        <v>7.4999999999999997E-2</v>
      </c>
      <c r="P23" s="290">
        <f t="shared" si="23"/>
        <v>7.4999999999999997E-2</v>
      </c>
      <c r="Q23" s="290">
        <f t="shared" si="24"/>
        <v>7.4999999999999997E-2</v>
      </c>
      <c r="R23" s="290">
        <f t="shared" si="25"/>
        <v>7.4999999999999997E-2</v>
      </c>
      <c r="S23" s="290">
        <f t="shared" si="26"/>
        <v>7.4999999999999997E-2</v>
      </c>
      <c r="T23" s="290">
        <f t="shared" si="27"/>
        <v>7.4999999999999997E-2</v>
      </c>
      <c r="U23" s="290">
        <f t="shared" si="28"/>
        <v>7.4999999999999997E-2</v>
      </c>
      <c r="V23" s="290">
        <f t="shared" si="29"/>
        <v>7.4999999999999997E-2</v>
      </c>
      <c r="W23" s="290">
        <f t="shared" si="29"/>
        <v>7.4999999999999997E-2</v>
      </c>
    </row>
    <row r="24" spans="2:23" s="96" customFormat="1" x14ac:dyDescent="0.25">
      <c r="B24" s="276" t="str">
        <f t="shared" si="30"/>
        <v>MULTIGRAN JAGGERY COOKIE</v>
      </c>
      <c r="C24" s="281"/>
      <c r="D24" s="291"/>
      <c r="E24" s="291">
        <v>0.05</v>
      </c>
      <c r="F24" s="291">
        <v>0.05</v>
      </c>
      <c r="G24" s="291">
        <v>0.05</v>
      </c>
      <c r="H24" s="292">
        <v>0.05</v>
      </c>
      <c r="I24" s="290">
        <f t="shared" si="17"/>
        <v>0.05</v>
      </c>
      <c r="J24" s="290">
        <f t="shared" si="18"/>
        <v>0.05</v>
      </c>
      <c r="K24" s="290">
        <f t="shared" si="19"/>
        <v>0.05</v>
      </c>
      <c r="L24" s="290">
        <f t="shared" si="20"/>
        <v>0.05</v>
      </c>
      <c r="M24" s="290">
        <f t="shared" si="21"/>
        <v>0.05</v>
      </c>
      <c r="N24" s="292">
        <v>7.4999999999999997E-2</v>
      </c>
      <c r="O24" s="290">
        <f t="shared" si="22"/>
        <v>7.4999999999999997E-2</v>
      </c>
      <c r="P24" s="290">
        <f t="shared" si="23"/>
        <v>7.4999999999999997E-2</v>
      </c>
      <c r="Q24" s="290">
        <f t="shared" si="24"/>
        <v>7.4999999999999997E-2</v>
      </c>
      <c r="R24" s="290">
        <f t="shared" si="25"/>
        <v>7.4999999999999997E-2</v>
      </c>
      <c r="S24" s="290">
        <f t="shared" si="26"/>
        <v>7.4999999999999997E-2</v>
      </c>
      <c r="T24" s="290">
        <f t="shared" si="27"/>
        <v>7.4999999999999997E-2</v>
      </c>
      <c r="U24" s="290">
        <f t="shared" si="28"/>
        <v>7.4999999999999997E-2</v>
      </c>
      <c r="V24" s="290">
        <f t="shared" si="29"/>
        <v>7.4999999999999997E-2</v>
      </c>
      <c r="W24" s="290">
        <f t="shared" si="29"/>
        <v>7.4999999999999997E-2</v>
      </c>
    </row>
    <row r="25" spans="2:23" s="96" customFormat="1" x14ac:dyDescent="0.25">
      <c r="B25" s="276" t="str">
        <f t="shared" si="30"/>
        <v>GF BREAD  (BROWN / WHITE)</v>
      </c>
      <c r="C25" s="281"/>
      <c r="D25" s="291"/>
      <c r="E25" s="291">
        <v>0.05</v>
      </c>
      <c r="F25" s="291">
        <v>0.05</v>
      </c>
      <c r="G25" s="291">
        <v>0.05</v>
      </c>
      <c r="H25" s="292">
        <v>0.05</v>
      </c>
      <c r="I25" s="290">
        <f t="shared" si="17"/>
        <v>0.05</v>
      </c>
      <c r="J25" s="290">
        <f t="shared" si="18"/>
        <v>0.05</v>
      </c>
      <c r="K25" s="290">
        <f t="shared" si="19"/>
        <v>0.05</v>
      </c>
      <c r="L25" s="290">
        <f t="shared" si="20"/>
        <v>0.05</v>
      </c>
      <c r="M25" s="290">
        <f t="shared" si="21"/>
        <v>0.05</v>
      </c>
      <c r="N25" s="292">
        <v>7.4999999999999997E-2</v>
      </c>
      <c r="O25" s="290">
        <f t="shared" si="22"/>
        <v>7.4999999999999997E-2</v>
      </c>
      <c r="P25" s="290">
        <f t="shared" si="23"/>
        <v>7.4999999999999997E-2</v>
      </c>
      <c r="Q25" s="290">
        <f t="shared" si="24"/>
        <v>7.4999999999999997E-2</v>
      </c>
      <c r="R25" s="290">
        <f t="shared" si="25"/>
        <v>7.4999999999999997E-2</v>
      </c>
      <c r="S25" s="290">
        <f t="shared" si="26"/>
        <v>7.4999999999999997E-2</v>
      </c>
      <c r="T25" s="290">
        <f t="shared" si="27"/>
        <v>7.4999999999999997E-2</v>
      </c>
      <c r="U25" s="290">
        <f t="shared" si="28"/>
        <v>7.4999999999999997E-2</v>
      </c>
      <c r="V25" s="290">
        <f t="shared" si="29"/>
        <v>7.4999999999999997E-2</v>
      </c>
      <c r="W25" s="290">
        <f t="shared" si="29"/>
        <v>7.4999999999999997E-2</v>
      </c>
    </row>
    <row r="26" spans="2:23" s="96" customFormat="1" x14ac:dyDescent="0.25">
      <c r="B26" s="276" t="str">
        <f t="shared" si="30"/>
        <v>GF TORTILLOS   (Pieces)</v>
      </c>
      <c r="C26" s="281"/>
      <c r="D26" s="291"/>
      <c r="E26" s="291">
        <v>0.05</v>
      </c>
      <c r="F26" s="291">
        <v>0.05</v>
      </c>
      <c r="G26" s="291">
        <v>0.05</v>
      </c>
      <c r="H26" s="292">
        <v>0.05</v>
      </c>
      <c r="I26" s="290">
        <f t="shared" si="17"/>
        <v>0.05</v>
      </c>
      <c r="J26" s="290">
        <f t="shared" si="18"/>
        <v>0.05</v>
      </c>
      <c r="K26" s="290">
        <f t="shared" si="19"/>
        <v>0.05</v>
      </c>
      <c r="L26" s="290">
        <f t="shared" si="20"/>
        <v>0.05</v>
      </c>
      <c r="M26" s="290">
        <f t="shared" si="21"/>
        <v>0.05</v>
      </c>
      <c r="N26" s="292">
        <v>7.4999999999999997E-2</v>
      </c>
      <c r="O26" s="290">
        <f t="shared" si="22"/>
        <v>7.4999999999999997E-2</v>
      </c>
      <c r="P26" s="290">
        <f t="shared" si="23"/>
        <v>7.4999999999999997E-2</v>
      </c>
      <c r="Q26" s="290">
        <f t="shared" si="24"/>
        <v>7.4999999999999997E-2</v>
      </c>
      <c r="R26" s="290">
        <f t="shared" si="25"/>
        <v>7.4999999999999997E-2</v>
      </c>
      <c r="S26" s="290">
        <f t="shared" si="26"/>
        <v>7.4999999999999997E-2</v>
      </c>
      <c r="T26" s="290">
        <f t="shared" si="27"/>
        <v>7.4999999999999997E-2</v>
      </c>
      <c r="U26" s="290">
        <f t="shared" si="28"/>
        <v>7.4999999999999997E-2</v>
      </c>
      <c r="V26" s="290">
        <f t="shared" si="29"/>
        <v>7.4999999999999997E-2</v>
      </c>
      <c r="W26" s="290">
        <f t="shared" si="29"/>
        <v>7.4999999999999997E-2</v>
      </c>
    </row>
    <row r="27" spans="2:23" s="96" customFormat="1" x14ac:dyDescent="0.25">
      <c r="B27" s="276" t="str">
        <f t="shared" si="30"/>
        <v>PASTA</v>
      </c>
      <c r="C27" s="281"/>
      <c r="D27" s="291"/>
      <c r="E27" s="291">
        <v>0.05</v>
      </c>
      <c r="F27" s="291">
        <v>0.05</v>
      </c>
      <c r="G27" s="291">
        <v>0.05</v>
      </c>
      <c r="H27" s="292">
        <v>0.05</v>
      </c>
      <c r="I27" s="290">
        <f t="shared" si="17"/>
        <v>0.05</v>
      </c>
      <c r="J27" s="290">
        <f t="shared" si="18"/>
        <v>0.05</v>
      </c>
      <c r="K27" s="290">
        <f t="shared" si="19"/>
        <v>0.05</v>
      </c>
      <c r="L27" s="290">
        <f t="shared" si="20"/>
        <v>0.05</v>
      </c>
      <c r="M27" s="290">
        <f t="shared" si="21"/>
        <v>0.05</v>
      </c>
      <c r="N27" s="292">
        <v>7.4999999999999997E-2</v>
      </c>
      <c r="O27" s="290">
        <f t="shared" si="22"/>
        <v>7.4999999999999997E-2</v>
      </c>
      <c r="P27" s="290">
        <f t="shared" si="23"/>
        <v>7.4999999999999997E-2</v>
      </c>
      <c r="Q27" s="290">
        <f t="shared" si="24"/>
        <v>7.4999999999999997E-2</v>
      </c>
      <c r="R27" s="290">
        <f t="shared" si="25"/>
        <v>7.4999999999999997E-2</v>
      </c>
      <c r="S27" s="290">
        <f t="shared" si="26"/>
        <v>7.4999999999999997E-2</v>
      </c>
      <c r="T27" s="290">
        <f t="shared" si="27"/>
        <v>7.4999999999999997E-2</v>
      </c>
      <c r="U27" s="290">
        <f t="shared" si="28"/>
        <v>7.4999999999999997E-2</v>
      </c>
      <c r="V27" s="290">
        <f t="shared" si="29"/>
        <v>7.4999999999999997E-2</v>
      </c>
      <c r="W27" s="290">
        <f t="shared" si="29"/>
        <v>7.4999999999999997E-2</v>
      </c>
    </row>
    <row r="28" spans="2:23" s="96" customFormat="1" x14ac:dyDescent="0.25">
      <c r="B28" s="276" t="str">
        <f t="shared" si="30"/>
        <v>CUP O PASTA</v>
      </c>
      <c r="C28" s="281"/>
      <c r="D28" s="291"/>
      <c r="E28" s="291">
        <v>0.05</v>
      </c>
      <c r="F28" s="291">
        <v>0.05</v>
      </c>
      <c r="G28" s="291">
        <v>0.05</v>
      </c>
      <c r="H28" s="292">
        <v>0.05</v>
      </c>
      <c r="I28" s="290">
        <f t="shared" si="17"/>
        <v>0.05</v>
      </c>
      <c r="J28" s="290">
        <f t="shared" si="18"/>
        <v>0.05</v>
      </c>
      <c r="K28" s="290">
        <f t="shared" si="19"/>
        <v>0.05</v>
      </c>
      <c r="L28" s="290">
        <f t="shared" si="20"/>
        <v>0.05</v>
      </c>
      <c r="M28" s="290">
        <f t="shared" si="21"/>
        <v>0.05</v>
      </c>
      <c r="N28" s="292">
        <v>7.4999999999999997E-2</v>
      </c>
      <c r="O28" s="290">
        <f t="shared" si="22"/>
        <v>7.4999999999999997E-2</v>
      </c>
      <c r="P28" s="290">
        <f t="shared" si="23"/>
        <v>7.4999999999999997E-2</v>
      </c>
      <c r="Q28" s="290">
        <f t="shared" si="24"/>
        <v>7.4999999999999997E-2</v>
      </c>
      <c r="R28" s="290">
        <f t="shared" si="25"/>
        <v>7.4999999999999997E-2</v>
      </c>
      <c r="S28" s="290">
        <f t="shared" si="26"/>
        <v>7.4999999999999997E-2</v>
      </c>
      <c r="T28" s="290">
        <f t="shared" si="27"/>
        <v>7.4999999999999997E-2</v>
      </c>
      <c r="U28" s="290">
        <f t="shared" si="28"/>
        <v>7.4999999999999997E-2</v>
      </c>
      <c r="V28" s="290">
        <f>U28</f>
        <v>7.4999999999999997E-2</v>
      </c>
      <c r="W28" s="290">
        <f>V28</f>
        <v>7.4999999999999997E-2</v>
      </c>
    </row>
    <row r="29" spans="2:23" s="96" customFormat="1" x14ac:dyDescent="0.25">
      <c r="B29" s="276"/>
      <c r="C29" s="281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2:23" s="96" customFormat="1" x14ac:dyDescent="0.25">
      <c r="B30" s="219" t="s">
        <v>370</v>
      </c>
      <c r="C30" s="281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2:23" s="96" customFormat="1" x14ac:dyDescent="0.25">
      <c r="B31" s="276" t="str">
        <f>B19</f>
        <v xml:space="preserve">GF CAKE  (VANILLA / CHOCOLATE) </v>
      </c>
      <c r="C31" s="281"/>
      <c r="D31" s="88">
        <f t="shared" ref="D31:W31" si="31">$C7*D7</f>
        <v>0</v>
      </c>
      <c r="E31" s="88">
        <f t="shared" si="31"/>
        <v>0</v>
      </c>
      <c r="F31" s="88">
        <f t="shared" si="31"/>
        <v>0</v>
      </c>
      <c r="G31" s="88">
        <f t="shared" si="31"/>
        <v>0</v>
      </c>
      <c r="H31" s="88">
        <f t="shared" si="31"/>
        <v>0</v>
      </c>
      <c r="I31" s="88">
        <f t="shared" si="31"/>
        <v>0</v>
      </c>
      <c r="J31" s="88">
        <f t="shared" si="31"/>
        <v>0</v>
      </c>
      <c r="K31" s="88">
        <f t="shared" si="31"/>
        <v>0</v>
      </c>
      <c r="L31" s="88">
        <f t="shared" si="31"/>
        <v>0</v>
      </c>
      <c r="M31" s="88">
        <f t="shared" si="31"/>
        <v>0</v>
      </c>
      <c r="N31" s="88">
        <f t="shared" si="31"/>
        <v>0</v>
      </c>
      <c r="O31" s="88">
        <f t="shared" si="31"/>
        <v>0</v>
      </c>
      <c r="P31" s="88">
        <f t="shared" si="31"/>
        <v>0</v>
      </c>
      <c r="Q31" s="88">
        <f t="shared" si="31"/>
        <v>0</v>
      </c>
      <c r="R31" s="88">
        <f t="shared" si="31"/>
        <v>0</v>
      </c>
      <c r="S31" s="88">
        <f t="shared" si="31"/>
        <v>0</v>
      </c>
      <c r="T31" s="88">
        <f t="shared" si="31"/>
        <v>0</v>
      </c>
      <c r="U31" s="88">
        <f t="shared" si="31"/>
        <v>0</v>
      </c>
      <c r="V31" s="88">
        <f t="shared" si="31"/>
        <v>0</v>
      </c>
      <c r="W31" s="88">
        <f t="shared" si="31"/>
        <v>0</v>
      </c>
    </row>
    <row r="32" spans="2:23" s="96" customFormat="1" x14ac:dyDescent="0.25">
      <c r="B32" s="276" t="str">
        <f t="shared" ref="B32:B40" si="32">B20</f>
        <v>GF CAKE (VANILLA / CHOCOLATE) NAS</v>
      </c>
      <c r="C32" s="281"/>
      <c r="D32" s="88">
        <f t="shared" ref="D32:W32" si="33">$C8*D8</f>
        <v>0</v>
      </c>
      <c r="E32" s="88">
        <f t="shared" si="33"/>
        <v>0</v>
      </c>
      <c r="F32" s="88">
        <f t="shared" si="33"/>
        <v>0</v>
      </c>
      <c r="G32" s="88">
        <f t="shared" si="33"/>
        <v>0</v>
      </c>
      <c r="H32" s="88">
        <f t="shared" si="33"/>
        <v>0</v>
      </c>
      <c r="I32" s="88">
        <f t="shared" si="33"/>
        <v>0</v>
      </c>
      <c r="J32" s="88">
        <f t="shared" si="33"/>
        <v>0</v>
      </c>
      <c r="K32" s="88">
        <f t="shared" si="33"/>
        <v>0</v>
      </c>
      <c r="L32" s="88">
        <f t="shared" si="33"/>
        <v>0</v>
      </c>
      <c r="M32" s="88">
        <f t="shared" si="33"/>
        <v>0</v>
      </c>
      <c r="N32" s="88">
        <f t="shared" si="33"/>
        <v>0</v>
      </c>
      <c r="O32" s="88">
        <f t="shared" si="33"/>
        <v>0</v>
      </c>
      <c r="P32" s="88">
        <f t="shared" si="33"/>
        <v>0</v>
      </c>
      <c r="Q32" s="88">
        <f t="shared" si="33"/>
        <v>0</v>
      </c>
      <c r="R32" s="88">
        <f t="shared" si="33"/>
        <v>0</v>
      </c>
      <c r="S32" s="88">
        <f t="shared" si="33"/>
        <v>0</v>
      </c>
      <c r="T32" s="88">
        <f t="shared" si="33"/>
        <v>0</v>
      </c>
      <c r="U32" s="88">
        <f t="shared" si="33"/>
        <v>0</v>
      </c>
      <c r="V32" s="88">
        <f t="shared" si="33"/>
        <v>0</v>
      </c>
      <c r="W32" s="88">
        <f t="shared" si="33"/>
        <v>0</v>
      </c>
    </row>
    <row r="33" spans="2:23" s="96" customFormat="1" x14ac:dyDescent="0.25">
      <c r="B33" s="276" t="str">
        <f t="shared" si="32"/>
        <v>GF, Lf COOKIE (VANILLA / CHOCOLATE)</v>
      </c>
      <c r="C33" s="281"/>
      <c r="D33" s="88">
        <f t="shared" ref="D33:W33" si="34">$C9*D9</f>
        <v>0</v>
      </c>
      <c r="E33" s="88">
        <f t="shared" si="34"/>
        <v>0</v>
      </c>
      <c r="F33" s="88">
        <f t="shared" si="34"/>
        <v>0</v>
      </c>
      <c r="G33" s="88">
        <f t="shared" si="34"/>
        <v>0</v>
      </c>
      <c r="H33" s="88">
        <f t="shared" si="34"/>
        <v>0</v>
      </c>
      <c r="I33" s="88">
        <f t="shared" si="34"/>
        <v>0</v>
      </c>
      <c r="J33" s="88">
        <f t="shared" si="34"/>
        <v>0</v>
      </c>
      <c r="K33" s="88">
        <f t="shared" si="34"/>
        <v>0</v>
      </c>
      <c r="L33" s="88">
        <f t="shared" si="34"/>
        <v>0</v>
      </c>
      <c r="M33" s="88">
        <f t="shared" si="34"/>
        <v>0</v>
      </c>
      <c r="N33" s="88">
        <f t="shared" si="34"/>
        <v>0</v>
      </c>
      <c r="O33" s="88">
        <f t="shared" si="34"/>
        <v>0</v>
      </c>
      <c r="P33" s="88">
        <f t="shared" si="34"/>
        <v>0</v>
      </c>
      <c r="Q33" s="88">
        <f t="shared" si="34"/>
        <v>0</v>
      </c>
      <c r="R33" s="88">
        <f t="shared" si="34"/>
        <v>0</v>
      </c>
      <c r="S33" s="88">
        <f t="shared" si="34"/>
        <v>0</v>
      </c>
      <c r="T33" s="88">
        <f t="shared" si="34"/>
        <v>0</v>
      </c>
      <c r="U33" s="88">
        <f t="shared" si="34"/>
        <v>0</v>
      </c>
      <c r="V33" s="88">
        <f t="shared" si="34"/>
        <v>0</v>
      </c>
      <c r="W33" s="88">
        <f t="shared" si="34"/>
        <v>0</v>
      </c>
    </row>
    <row r="34" spans="2:23" s="96" customFormat="1" x14ac:dyDescent="0.25">
      <c r="B34" s="276" t="str">
        <f t="shared" si="32"/>
        <v>GF COOKIE  (VANILLA / CHOCOLATE) NAS</v>
      </c>
      <c r="C34" s="281"/>
      <c r="D34" s="88">
        <f t="shared" ref="D34:W34" si="35">$C10*D10</f>
        <v>0</v>
      </c>
      <c r="E34" s="88">
        <f t="shared" si="35"/>
        <v>0</v>
      </c>
      <c r="F34" s="88">
        <f t="shared" si="35"/>
        <v>0</v>
      </c>
      <c r="G34" s="88">
        <f t="shared" si="35"/>
        <v>0</v>
      </c>
      <c r="H34" s="88">
        <f t="shared" si="35"/>
        <v>0</v>
      </c>
      <c r="I34" s="88">
        <f t="shared" si="35"/>
        <v>0</v>
      </c>
      <c r="J34" s="88">
        <f t="shared" si="35"/>
        <v>0</v>
      </c>
      <c r="K34" s="88">
        <f t="shared" si="35"/>
        <v>0</v>
      </c>
      <c r="L34" s="88">
        <f t="shared" si="35"/>
        <v>0</v>
      </c>
      <c r="M34" s="88">
        <f t="shared" si="35"/>
        <v>0</v>
      </c>
      <c r="N34" s="88">
        <f t="shared" si="35"/>
        <v>0</v>
      </c>
      <c r="O34" s="88">
        <f t="shared" si="35"/>
        <v>0</v>
      </c>
      <c r="P34" s="88">
        <f t="shared" si="35"/>
        <v>0</v>
      </c>
      <c r="Q34" s="88">
        <f t="shared" si="35"/>
        <v>0</v>
      </c>
      <c r="R34" s="88">
        <f t="shared" si="35"/>
        <v>0</v>
      </c>
      <c r="S34" s="88">
        <f t="shared" si="35"/>
        <v>0</v>
      </c>
      <c r="T34" s="88">
        <f t="shared" si="35"/>
        <v>0</v>
      </c>
      <c r="U34" s="88">
        <f t="shared" si="35"/>
        <v>0</v>
      </c>
      <c r="V34" s="88">
        <f t="shared" si="35"/>
        <v>0</v>
      </c>
      <c r="W34" s="88">
        <f t="shared" si="35"/>
        <v>0</v>
      </c>
    </row>
    <row r="35" spans="2:23" s="96" customFormat="1" x14ac:dyDescent="0.25">
      <c r="B35" s="276" t="str">
        <f t="shared" si="32"/>
        <v>MULTIGRAN COOKIE</v>
      </c>
      <c r="C35" s="281"/>
      <c r="D35" s="88">
        <f t="shared" ref="D35:W35" si="36">$C11*D11</f>
        <v>0</v>
      </c>
      <c r="E35" s="88">
        <f t="shared" si="36"/>
        <v>0</v>
      </c>
      <c r="F35" s="88">
        <f t="shared" si="36"/>
        <v>0</v>
      </c>
      <c r="G35" s="88">
        <f t="shared" si="36"/>
        <v>0</v>
      </c>
      <c r="H35" s="88">
        <f t="shared" si="36"/>
        <v>0</v>
      </c>
      <c r="I35" s="88">
        <f t="shared" si="36"/>
        <v>0</v>
      </c>
      <c r="J35" s="88">
        <f t="shared" si="36"/>
        <v>0</v>
      </c>
      <c r="K35" s="88">
        <f t="shared" si="36"/>
        <v>0</v>
      </c>
      <c r="L35" s="88">
        <f t="shared" si="36"/>
        <v>0</v>
      </c>
      <c r="M35" s="88">
        <f t="shared" si="36"/>
        <v>0</v>
      </c>
      <c r="N35" s="88">
        <f t="shared" si="36"/>
        <v>0</v>
      </c>
      <c r="O35" s="88">
        <f t="shared" si="36"/>
        <v>0</v>
      </c>
      <c r="P35" s="88">
        <f t="shared" si="36"/>
        <v>0</v>
      </c>
      <c r="Q35" s="88">
        <f t="shared" si="36"/>
        <v>0</v>
      </c>
      <c r="R35" s="88">
        <f t="shared" si="36"/>
        <v>0</v>
      </c>
      <c r="S35" s="88">
        <f t="shared" si="36"/>
        <v>0</v>
      </c>
      <c r="T35" s="88">
        <f t="shared" si="36"/>
        <v>0</v>
      </c>
      <c r="U35" s="88">
        <f t="shared" si="36"/>
        <v>0</v>
      </c>
      <c r="V35" s="88">
        <f t="shared" si="36"/>
        <v>0</v>
      </c>
      <c r="W35" s="88">
        <f t="shared" si="36"/>
        <v>0</v>
      </c>
    </row>
    <row r="36" spans="2:23" s="96" customFormat="1" x14ac:dyDescent="0.25">
      <c r="B36" s="276" t="str">
        <f t="shared" si="32"/>
        <v>MULTIGRAN JAGGERY COOKIE</v>
      </c>
      <c r="C36" s="281"/>
      <c r="D36" s="88">
        <f t="shared" ref="D36:W36" si="37">$C12*D12</f>
        <v>0</v>
      </c>
      <c r="E36" s="88">
        <f t="shared" si="37"/>
        <v>0</v>
      </c>
      <c r="F36" s="88">
        <f t="shared" si="37"/>
        <v>0</v>
      </c>
      <c r="G36" s="88">
        <f t="shared" si="37"/>
        <v>0</v>
      </c>
      <c r="H36" s="88">
        <f t="shared" si="37"/>
        <v>0</v>
      </c>
      <c r="I36" s="88">
        <f t="shared" si="37"/>
        <v>0</v>
      </c>
      <c r="J36" s="88">
        <f t="shared" si="37"/>
        <v>0</v>
      </c>
      <c r="K36" s="88">
        <f t="shared" si="37"/>
        <v>0</v>
      </c>
      <c r="L36" s="88">
        <f t="shared" si="37"/>
        <v>0</v>
      </c>
      <c r="M36" s="88">
        <f t="shared" si="37"/>
        <v>0</v>
      </c>
      <c r="N36" s="88">
        <f t="shared" si="37"/>
        <v>0</v>
      </c>
      <c r="O36" s="88">
        <f t="shared" si="37"/>
        <v>0</v>
      </c>
      <c r="P36" s="88">
        <f t="shared" si="37"/>
        <v>0</v>
      </c>
      <c r="Q36" s="88">
        <f t="shared" si="37"/>
        <v>0</v>
      </c>
      <c r="R36" s="88">
        <f t="shared" si="37"/>
        <v>0</v>
      </c>
      <c r="S36" s="88">
        <f t="shared" si="37"/>
        <v>0</v>
      </c>
      <c r="T36" s="88">
        <f t="shared" si="37"/>
        <v>0</v>
      </c>
      <c r="U36" s="88">
        <f t="shared" si="37"/>
        <v>0</v>
      </c>
      <c r="V36" s="88">
        <f t="shared" si="37"/>
        <v>0</v>
      </c>
      <c r="W36" s="88">
        <f t="shared" si="37"/>
        <v>0</v>
      </c>
    </row>
    <row r="37" spans="2:23" s="96" customFormat="1" x14ac:dyDescent="0.25">
      <c r="B37" s="276" t="str">
        <f t="shared" si="32"/>
        <v>GF BREAD  (BROWN / WHITE)</v>
      </c>
      <c r="C37" s="281"/>
      <c r="D37" s="88">
        <f t="shared" ref="D37:W37" si="38">$C13*D13</f>
        <v>0</v>
      </c>
      <c r="E37" s="88">
        <f t="shared" si="38"/>
        <v>0</v>
      </c>
      <c r="F37" s="88">
        <f t="shared" si="38"/>
        <v>0</v>
      </c>
      <c r="G37" s="88">
        <f t="shared" si="38"/>
        <v>0</v>
      </c>
      <c r="H37" s="88">
        <f t="shared" si="38"/>
        <v>0</v>
      </c>
      <c r="I37" s="88">
        <f t="shared" si="38"/>
        <v>0</v>
      </c>
      <c r="J37" s="88">
        <f t="shared" si="38"/>
        <v>0</v>
      </c>
      <c r="K37" s="88">
        <f t="shared" si="38"/>
        <v>0</v>
      </c>
      <c r="L37" s="88">
        <f t="shared" si="38"/>
        <v>0</v>
      </c>
      <c r="M37" s="88">
        <f t="shared" si="38"/>
        <v>0</v>
      </c>
      <c r="N37" s="88">
        <f t="shared" si="38"/>
        <v>0</v>
      </c>
      <c r="O37" s="88">
        <f t="shared" si="38"/>
        <v>0</v>
      </c>
      <c r="P37" s="88">
        <f t="shared" si="38"/>
        <v>0</v>
      </c>
      <c r="Q37" s="88">
        <f t="shared" si="38"/>
        <v>0</v>
      </c>
      <c r="R37" s="88">
        <f t="shared" si="38"/>
        <v>0</v>
      </c>
      <c r="S37" s="88">
        <f t="shared" si="38"/>
        <v>0</v>
      </c>
      <c r="T37" s="88">
        <f t="shared" si="38"/>
        <v>0</v>
      </c>
      <c r="U37" s="88">
        <f t="shared" si="38"/>
        <v>0</v>
      </c>
      <c r="V37" s="88">
        <f t="shared" si="38"/>
        <v>0</v>
      </c>
      <c r="W37" s="88">
        <f t="shared" si="38"/>
        <v>0</v>
      </c>
    </row>
    <row r="38" spans="2:23" s="96" customFormat="1" x14ac:dyDescent="0.25">
      <c r="B38" s="276" t="str">
        <f t="shared" si="32"/>
        <v>GF TORTILLOS   (Pieces)</v>
      </c>
      <c r="C38" s="281"/>
      <c r="D38" s="88">
        <f t="shared" ref="D38:W38" si="39">$C14*D14</f>
        <v>0</v>
      </c>
      <c r="E38" s="88">
        <f t="shared" si="39"/>
        <v>0</v>
      </c>
      <c r="F38" s="88">
        <f t="shared" si="39"/>
        <v>0</v>
      </c>
      <c r="G38" s="88">
        <f t="shared" si="39"/>
        <v>0</v>
      </c>
      <c r="H38" s="88">
        <f t="shared" si="39"/>
        <v>0</v>
      </c>
      <c r="I38" s="88">
        <f t="shared" si="39"/>
        <v>0</v>
      </c>
      <c r="J38" s="88">
        <f t="shared" si="39"/>
        <v>0</v>
      </c>
      <c r="K38" s="88">
        <f t="shared" si="39"/>
        <v>0</v>
      </c>
      <c r="L38" s="88">
        <f t="shared" si="39"/>
        <v>0</v>
      </c>
      <c r="M38" s="88">
        <f t="shared" si="39"/>
        <v>0</v>
      </c>
      <c r="N38" s="88">
        <f t="shared" si="39"/>
        <v>0</v>
      </c>
      <c r="O38" s="88">
        <f t="shared" si="39"/>
        <v>0</v>
      </c>
      <c r="P38" s="88">
        <f t="shared" si="39"/>
        <v>0</v>
      </c>
      <c r="Q38" s="88">
        <f t="shared" si="39"/>
        <v>0</v>
      </c>
      <c r="R38" s="88">
        <f t="shared" si="39"/>
        <v>0</v>
      </c>
      <c r="S38" s="88">
        <f t="shared" si="39"/>
        <v>0</v>
      </c>
      <c r="T38" s="88">
        <f t="shared" si="39"/>
        <v>0</v>
      </c>
      <c r="U38" s="88">
        <f t="shared" si="39"/>
        <v>0</v>
      </c>
      <c r="V38" s="88">
        <f t="shared" si="39"/>
        <v>0</v>
      </c>
      <c r="W38" s="88">
        <f t="shared" si="39"/>
        <v>0</v>
      </c>
    </row>
    <row r="39" spans="2:23" s="96" customFormat="1" x14ac:dyDescent="0.25">
      <c r="B39" s="276" t="str">
        <f t="shared" si="32"/>
        <v>PASTA</v>
      </c>
      <c r="C39" s="281"/>
      <c r="D39" s="88">
        <f t="shared" ref="D39:W39" si="40">$C15*D15</f>
        <v>0</v>
      </c>
      <c r="E39" s="88">
        <f t="shared" si="40"/>
        <v>0</v>
      </c>
      <c r="F39" s="88">
        <f t="shared" si="40"/>
        <v>0</v>
      </c>
      <c r="G39" s="88">
        <f t="shared" si="40"/>
        <v>0</v>
      </c>
      <c r="H39" s="88">
        <f t="shared" si="40"/>
        <v>0</v>
      </c>
      <c r="I39" s="88">
        <f t="shared" si="40"/>
        <v>0</v>
      </c>
      <c r="J39" s="88">
        <f t="shared" si="40"/>
        <v>0</v>
      </c>
      <c r="K39" s="88">
        <f t="shared" si="40"/>
        <v>0</v>
      </c>
      <c r="L39" s="88">
        <f t="shared" si="40"/>
        <v>0</v>
      </c>
      <c r="M39" s="88">
        <f t="shared" si="40"/>
        <v>0</v>
      </c>
      <c r="N39" s="88">
        <f t="shared" si="40"/>
        <v>0</v>
      </c>
      <c r="O39" s="88">
        <f t="shared" si="40"/>
        <v>0</v>
      </c>
      <c r="P39" s="88">
        <f t="shared" si="40"/>
        <v>0</v>
      </c>
      <c r="Q39" s="88">
        <f t="shared" si="40"/>
        <v>0</v>
      </c>
      <c r="R39" s="88">
        <f t="shared" si="40"/>
        <v>0</v>
      </c>
      <c r="S39" s="88">
        <f t="shared" si="40"/>
        <v>0</v>
      </c>
      <c r="T39" s="88">
        <f t="shared" si="40"/>
        <v>0</v>
      </c>
      <c r="U39" s="88">
        <f t="shared" si="40"/>
        <v>0</v>
      </c>
      <c r="V39" s="88">
        <f t="shared" si="40"/>
        <v>0</v>
      </c>
      <c r="W39" s="88">
        <f t="shared" si="40"/>
        <v>0</v>
      </c>
    </row>
    <row r="40" spans="2:23" s="96" customFormat="1" x14ac:dyDescent="0.25">
      <c r="B40" s="276" t="str">
        <f t="shared" si="32"/>
        <v>CUP O PASTA</v>
      </c>
      <c r="C40" s="281"/>
      <c r="D40" s="88">
        <f t="shared" ref="D40:W40" si="41">$C16*D16</f>
        <v>0</v>
      </c>
      <c r="E40" s="88">
        <f t="shared" si="41"/>
        <v>0</v>
      </c>
      <c r="F40" s="88">
        <f t="shared" si="41"/>
        <v>0</v>
      </c>
      <c r="G40" s="88">
        <f t="shared" si="41"/>
        <v>0</v>
      </c>
      <c r="H40" s="88">
        <f t="shared" si="41"/>
        <v>0</v>
      </c>
      <c r="I40" s="88">
        <f t="shared" si="41"/>
        <v>0</v>
      </c>
      <c r="J40" s="88">
        <f t="shared" si="41"/>
        <v>0</v>
      </c>
      <c r="K40" s="88">
        <f t="shared" si="41"/>
        <v>0</v>
      </c>
      <c r="L40" s="88">
        <f t="shared" si="41"/>
        <v>0</v>
      </c>
      <c r="M40" s="88">
        <f t="shared" si="41"/>
        <v>0</v>
      </c>
      <c r="N40" s="88">
        <f t="shared" si="41"/>
        <v>0</v>
      </c>
      <c r="O40" s="88">
        <f t="shared" si="41"/>
        <v>0</v>
      </c>
      <c r="P40" s="88">
        <f t="shared" si="41"/>
        <v>0</v>
      </c>
      <c r="Q40" s="88">
        <f t="shared" si="41"/>
        <v>0</v>
      </c>
      <c r="R40" s="88">
        <f t="shared" si="41"/>
        <v>0</v>
      </c>
      <c r="S40" s="88">
        <f t="shared" si="41"/>
        <v>0</v>
      </c>
      <c r="T40" s="88">
        <f t="shared" si="41"/>
        <v>0</v>
      </c>
      <c r="U40" s="88">
        <f t="shared" si="41"/>
        <v>0</v>
      </c>
      <c r="V40" s="88">
        <f t="shared" si="41"/>
        <v>0</v>
      </c>
      <c r="W40" s="88">
        <f t="shared" si="41"/>
        <v>0</v>
      </c>
    </row>
    <row r="41" spans="2:23" s="96" customFormat="1" x14ac:dyDescent="0.25">
      <c r="B41" s="288" t="s">
        <v>138</v>
      </c>
      <c r="C41" s="281"/>
      <c r="D41" s="78">
        <f>SUM(D31:D40)</f>
        <v>0</v>
      </c>
      <c r="E41" s="78">
        <f t="shared" ref="E41:U41" si="42">SUM(E31:E40)</f>
        <v>0</v>
      </c>
      <c r="F41" s="78">
        <f t="shared" si="42"/>
        <v>0</v>
      </c>
      <c r="G41" s="78">
        <f t="shared" si="42"/>
        <v>0</v>
      </c>
      <c r="H41" s="78">
        <f t="shared" si="42"/>
        <v>0</v>
      </c>
      <c r="I41" s="78">
        <f t="shared" si="42"/>
        <v>0</v>
      </c>
      <c r="J41" s="78">
        <f t="shared" si="42"/>
        <v>0</v>
      </c>
      <c r="K41" s="78">
        <f t="shared" si="42"/>
        <v>0</v>
      </c>
      <c r="L41" s="78">
        <f t="shared" si="42"/>
        <v>0</v>
      </c>
      <c r="M41" s="78">
        <f t="shared" si="42"/>
        <v>0</v>
      </c>
      <c r="N41" s="78">
        <f t="shared" si="42"/>
        <v>0</v>
      </c>
      <c r="O41" s="78">
        <f t="shared" si="42"/>
        <v>0</v>
      </c>
      <c r="P41" s="78">
        <f t="shared" si="42"/>
        <v>0</v>
      </c>
      <c r="Q41" s="78">
        <f t="shared" si="42"/>
        <v>0</v>
      </c>
      <c r="R41" s="78">
        <f t="shared" si="42"/>
        <v>0</v>
      </c>
      <c r="S41" s="78">
        <f t="shared" si="42"/>
        <v>0</v>
      </c>
      <c r="T41" s="78">
        <f t="shared" si="42"/>
        <v>0</v>
      </c>
      <c r="U41" s="78">
        <f t="shared" si="42"/>
        <v>0</v>
      </c>
      <c r="V41" s="78">
        <f>SUM(V31:V40)</f>
        <v>0</v>
      </c>
      <c r="W41" s="78">
        <f>SUM(W31:W40)</f>
        <v>0</v>
      </c>
    </row>
    <row r="42" spans="2:23" s="96" customFormat="1" x14ac:dyDescent="0.25">
      <c r="B42" s="289" t="s">
        <v>135</v>
      </c>
      <c r="C42" s="281"/>
      <c r="D42" s="88"/>
      <c r="E42" s="277" t="e">
        <f t="shared" ref="E42:W42" si="43">E41/D41-1</f>
        <v>#DIV/0!</v>
      </c>
      <c r="F42" s="277" t="e">
        <f t="shared" si="43"/>
        <v>#DIV/0!</v>
      </c>
      <c r="G42" s="277" t="e">
        <f t="shared" si="43"/>
        <v>#DIV/0!</v>
      </c>
      <c r="H42" s="277" t="e">
        <f t="shared" si="43"/>
        <v>#DIV/0!</v>
      </c>
      <c r="I42" s="277" t="e">
        <f t="shared" si="43"/>
        <v>#DIV/0!</v>
      </c>
      <c r="J42" s="277" t="e">
        <f t="shared" si="43"/>
        <v>#DIV/0!</v>
      </c>
      <c r="K42" s="277" t="e">
        <f t="shared" si="43"/>
        <v>#DIV/0!</v>
      </c>
      <c r="L42" s="277" t="e">
        <f t="shared" si="43"/>
        <v>#DIV/0!</v>
      </c>
      <c r="M42" s="277" t="e">
        <f t="shared" si="43"/>
        <v>#DIV/0!</v>
      </c>
      <c r="N42" s="277" t="e">
        <f t="shared" si="43"/>
        <v>#DIV/0!</v>
      </c>
      <c r="O42" s="277" t="e">
        <f t="shared" si="43"/>
        <v>#DIV/0!</v>
      </c>
      <c r="P42" s="277" t="e">
        <f t="shared" si="43"/>
        <v>#DIV/0!</v>
      </c>
      <c r="Q42" s="277" t="e">
        <f t="shared" si="43"/>
        <v>#DIV/0!</v>
      </c>
      <c r="R42" s="277" t="e">
        <f t="shared" si="43"/>
        <v>#DIV/0!</v>
      </c>
      <c r="S42" s="277" t="e">
        <f t="shared" si="43"/>
        <v>#DIV/0!</v>
      </c>
      <c r="T42" s="277" t="e">
        <f t="shared" si="43"/>
        <v>#DIV/0!</v>
      </c>
      <c r="U42" s="277" t="e">
        <f t="shared" si="43"/>
        <v>#DIV/0!</v>
      </c>
      <c r="V42" s="277" t="e">
        <f t="shared" si="43"/>
        <v>#DIV/0!</v>
      </c>
      <c r="W42" s="277" t="e">
        <f t="shared" si="43"/>
        <v>#DIV/0!</v>
      </c>
    </row>
    <row r="43" spans="2:23" s="96" customFormat="1" x14ac:dyDescent="0.25">
      <c r="B43" s="289"/>
      <c r="C43" s="281"/>
      <c r="D43" s="88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</row>
    <row r="44" spans="2:23" s="96" customFormat="1" x14ac:dyDescent="0.25">
      <c r="B44" s="219" t="s">
        <v>371</v>
      </c>
      <c r="C44" s="281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 spans="2:23" s="96" customFormat="1" x14ac:dyDescent="0.25">
      <c r="B45" s="276" t="str">
        <f>B31</f>
        <v xml:space="preserve">GF CAKE  (VANILLA / CHOCOLATE) </v>
      </c>
      <c r="C45" s="281">
        <f>'Products (RTE) - Retail'!D30</f>
        <v>60.274999999999999</v>
      </c>
      <c r="D45" s="88">
        <f t="shared" ref="D45:W45" si="44">$C45*D7</f>
        <v>0</v>
      </c>
      <c r="E45" s="88">
        <f t="shared" si="44"/>
        <v>0</v>
      </c>
      <c r="F45" s="88">
        <f t="shared" si="44"/>
        <v>0</v>
      </c>
      <c r="G45" s="88">
        <f t="shared" si="44"/>
        <v>0</v>
      </c>
      <c r="H45" s="88">
        <f t="shared" si="44"/>
        <v>0</v>
      </c>
      <c r="I45" s="88">
        <f t="shared" si="44"/>
        <v>0</v>
      </c>
      <c r="J45" s="88">
        <f t="shared" si="44"/>
        <v>0</v>
      </c>
      <c r="K45" s="88">
        <f t="shared" si="44"/>
        <v>0</v>
      </c>
      <c r="L45" s="88">
        <f t="shared" si="44"/>
        <v>0</v>
      </c>
      <c r="M45" s="88">
        <f t="shared" si="44"/>
        <v>0</v>
      </c>
      <c r="N45" s="88">
        <f t="shared" si="44"/>
        <v>0</v>
      </c>
      <c r="O45" s="88">
        <f t="shared" si="44"/>
        <v>0</v>
      </c>
      <c r="P45" s="88">
        <f t="shared" si="44"/>
        <v>0</v>
      </c>
      <c r="Q45" s="88">
        <f t="shared" si="44"/>
        <v>0</v>
      </c>
      <c r="R45" s="88">
        <f t="shared" si="44"/>
        <v>0</v>
      </c>
      <c r="S45" s="88">
        <f t="shared" si="44"/>
        <v>0</v>
      </c>
      <c r="T45" s="88">
        <f t="shared" si="44"/>
        <v>0</v>
      </c>
      <c r="U45" s="88">
        <f t="shared" si="44"/>
        <v>0</v>
      </c>
      <c r="V45" s="88">
        <f t="shared" si="44"/>
        <v>0</v>
      </c>
      <c r="W45" s="88">
        <f t="shared" si="44"/>
        <v>0</v>
      </c>
    </row>
    <row r="46" spans="2:23" s="96" customFormat="1" x14ac:dyDescent="0.25">
      <c r="B46" s="276" t="str">
        <f t="shared" ref="B46:B54" si="45">B32</f>
        <v>GF CAKE (VANILLA / CHOCOLATE) NAS</v>
      </c>
      <c r="C46" s="281">
        <f>'Products (RTE) - Retail'!E30</f>
        <v>74.185000000000002</v>
      </c>
      <c r="D46" s="88">
        <f t="shared" ref="D46:W46" si="46">$C46*D8</f>
        <v>0</v>
      </c>
      <c r="E46" s="88">
        <f t="shared" si="46"/>
        <v>0</v>
      </c>
      <c r="F46" s="88">
        <f t="shared" si="46"/>
        <v>0</v>
      </c>
      <c r="G46" s="88">
        <f t="shared" si="46"/>
        <v>0</v>
      </c>
      <c r="H46" s="88">
        <f t="shared" si="46"/>
        <v>0</v>
      </c>
      <c r="I46" s="88">
        <f t="shared" si="46"/>
        <v>0</v>
      </c>
      <c r="J46" s="88">
        <f t="shared" si="46"/>
        <v>0</v>
      </c>
      <c r="K46" s="88">
        <f t="shared" si="46"/>
        <v>0</v>
      </c>
      <c r="L46" s="88">
        <f t="shared" si="46"/>
        <v>0</v>
      </c>
      <c r="M46" s="88">
        <f t="shared" si="46"/>
        <v>0</v>
      </c>
      <c r="N46" s="88">
        <f t="shared" si="46"/>
        <v>0</v>
      </c>
      <c r="O46" s="88">
        <f t="shared" si="46"/>
        <v>0</v>
      </c>
      <c r="P46" s="88">
        <f t="shared" si="46"/>
        <v>0</v>
      </c>
      <c r="Q46" s="88">
        <f t="shared" si="46"/>
        <v>0</v>
      </c>
      <c r="R46" s="88">
        <f t="shared" si="46"/>
        <v>0</v>
      </c>
      <c r="S46" s="88">
        <f t="shared" si="46"/>
        <v>0</v>
      </c>
      <c r="T46" s="88">
        <f t="shared" si="46"/>
        <v>0</v>
      </c>
      <c r="U46" s="88">
        <f t="shared" si="46"/>
        <v>0</v>
      </c>
      <c r="V46" s="88">
        <f t="shared" si="46"/>
        <v>0</v>
      </c>
      <c r="W46" s="88">
        <f t="shared" si="46"/>
        <v>0</v>
      </c>
    </row>
    <row r="47" spans="2:23" s="96" customFormat="1" x14ac:dyDescent="0.25">
      <c r="B47" s="276" t="str">
        <f t="shared" si="45"/>
        <v>GF, Lf COOKIE (VANILLA / CHOCOLATE)</v>
      </c>
      <c r="C47" s="281">
        <f>'Products (RTE) - Retail'!F30</f>
        <v>28.978000000000002</v>
      </c>
      <c r="D47" s="88">
        <f t="shared" ref="D47:W47" si="47">$C47*D9</f>
        <v>0</v>
      </c>
      <c r="E47" s="88">
        <f t="shared" si="47"/>
        <v>0</v>
      </c>
      <c r="F47" s="88">
        <f t="shared" si="47"/>
        <v>0</v>
      </c>
      <c r="G47" s="88">
        <f t="shared" si="47"/>
        <v>0</v>
      </c>
      <c r="H47" s="88">
        <f t="shared" si="47"/>
        <v>0</v>
      </c>
      <c r="I47" s="88">
        <f t="shared" si="47"/>
        <v>0</v>
      </c>
      <c r="J47" s="88">
        <f t="shared" si="47"/>
        <v>0</v>
      </c>
      <c r="K47" s="88">
        <f t="shared" si="47"/>
        <v>0</v>
      </c>
      <c r="L47" s="88">
        <f t="shared" si="47"/>
        <v>0</v>
      </c>
      <c r="M47" s="88">
        <f t="shared" si="47"/>
        <v>0</v>
      </c>
      <c r="N47" s="88">
        <f t="shared" si="47"/>
        <v>0</v>
      </c>
      <c r="O47" s="88">
        <f t="shared" si="47"/>
        <v>0</v>
      </c>
      <c r="P47" s="88">
        <f t="shared" si="47"/>
        <v>0</v>
      </c>
      <c r="Q47" s="88">
        <f t="shared" si="47"/>
        <v>0</v>
      </c>
      <c r="R47" s="88">
        <f t="shared" si="47"/>
        <v>0</v>
      </c>
      <c r="S47" s="88">
        <f t="shared" si="47"/>
        <v>0</v>
      </c>
      <c r="T47" s="88">
        <f t="shared" si="47"/>
        <v>0</v>
      </c>
      <c r="U47" s="88">
        <f t="shared" si="47"/>
        <v>0</v>
      </c>
      <c r="V47" s="88">
        <f t="shared" si="47"/>
        <v>0</v>
      </c>
      <c r="W47" s="88">
        <f t="shared" si="47"/>
        <v>0</v>
      </c>
    </row>
    <row r="48" spans="2:23" s="96" customFormat="1" x14ac:dyDescent="0.25">
      <c r="B48" s="276" t="str">
        <f t="shared" si="45"/>
        <v>GF COOKIE  (VANILLA / CHOCOLATE) NAS</v>
      </c>
      <c r="C48" s="281">
        <f>'Products (RTE) - Retail'!G30</f>
        <v>34.774999999999999</v>
      </c>
      <c r="D48" s="88">
        <f t="shared" ref="D48:W48" si="48">$C48*D10</f>
        <v>0</v>
      </c>
      <c r="E48" s="88">
        <f t="shared" si="48"/>
        <v>0</v>
      </c>
      <c r="F48" s="88">
        <f t="shared" si="48"/>
        <v>0</v>
      </c>
      <c r="G48" s="88">
        <f t="shared" si="48"/>
        <v>0</v>
      </c>
      <c r="H48" s="88">
        <f t="shared" si="48"/>
        <v>0</v>
      </c>
      <c r="I48" s="88">
        <f t="shared" si="48"/>
        <v>0</v>
      </c>
      <c r="J48" s="88">
        <f t="shared" si="48"/>
        <v>0</v>
      </c>
      <c r="K48" s="88">
        <f t="shared" si="48"/>
        <v>0</v>
      </c>
      <c r="L48" s="88">
        <f t="shared" si="48"/>
        <v>0</v>
      </c>
      <c r="M48" s="88">
        <f t="shared" si="48"/>
        <v>0</v>
      </c>
      <c r="N48" s="88">
        <f t="shared" si="48"/>
        <v>0</v>
      </c>
      <c r="O48" s="88">
        <f t="shared" si="48"/>
        <v>0</v>
      </c>
      <c r="P48" s="88">
        <f t="shared" si="48"/>
        <v>0</v>
      </c>
      <c r="Q48" s="88">
        <f t="shared" si="48"/>
        <v>0</v>
      </c>
      <c r="R48" s="88">
        <f t="shared" si="48"/>
        <v>0</v>
      </c>
      <c r="S48" s="88">
        <f t="shared" si="48"/>
        <v>0</v>
      </c>
      <c r="T48" s="88">
        <f t="shared" si="48"/>
        <v>0</v>
      </c>
      <c r="U48" s="88">
        <f t="shared" si="48"/>
        <v>0</v>
      </c>
      <c r="V48" s="88">
        <f t="shared" si="48"/>
        <v>0</v>
      </c>
      <c r="W48" s="88">
        <f t="shared" si="48"/>
        <v>0</v>
      </c>
    </row>
    <row r="49" spans="2:23" s="96" customFormat="1" x14ac:dyDescent="0.25">
      <c r="B49" s="276" t="str">
        <f t="shared" si="45"/>
        <v>MULTIGRAN COOKIE</v>
      </c>
      <c r="C49" s="281">
        <f>'Products (RTE) - Retail'!H30</f>
        <v>20.865000000000002</v>
      </c>
      <c r="D49" s="88">
        <f t="shared" ref="D49:W49" si="49">$C49*D11</f>
        <v>0</v>
      </c>
      <c r="E49" s="88">
        <f t="shared" si="49"/>
        <v>0</v>
      </c>
      <c r="F49" s="88">
        <f t="shared" si="49"/>
        <v>0</v>
      </c>
      <c r="G49" s="88">
        <f t="shared" si="49"/>
        <v>0</v>
      </c>
      <c r="H49" s="88">
        <f t="shared" si="49"/>
        <v>0</v>
      </c>
      <c r="I49" s="88">
        <f t="shared" si="49"/>
        <v>0</v>
      </c>
      <c r="J49" s="88">
        <f t="shared" si="49"/>
        <v>0</v>
      </c>
      <c r="K49" s="88">
        <f t="shared" si="49"/>
        <v>0</v>
      </c>
      <c r="L49" s="88">
        <f t="shared" si="49"/>
        <v>0</v>
      </c>
      <c r="M49" s="88">
        <f t="shared" si="49"/>
        <v>0</v>
      </c>
      <c r="N49" s="88">
        <f t="shared" si="49"/>
        <v>0</v>
      </c>
      <c r="O49" s="88">
        <f t="shared" si="49"/>
        <v>0</v>
      </c>
      <c r="P49" s="88">
        <f t="shared" si="49"/>
        <v>0</v>
      </c>
      <c r="Q49" s="88">
        <f t="shared" si="49"/>
        <v>0</v>
      </c>
      <c r="R49" s="88">
        <f t="shared" si="49"/>
        <v>0</v>
      </c>
      <c r="S49" s="88">
        <f t="shared" si="49"/>
        <v>0</v>
      </c>
      <c r="T49" s="88">
        <f t="shared" si="49"/>
        <v>0</v>
      </c>
      <c r="U49" s="88">
        <f t="shared" si="49"/>
        <v>0</v>
      </c>
      <c r="V49" s="88">
        <f t="shared" si="49"/>
        <v>0</v>
      </c>
      <c r="W49" s="88">
        <f t="shared" si="49"/>
        <v>0</v>
      </c>
    </row>
    <row r="50" spans="2:23" s="96" customFormat="1" x14ac:dyDescent="0.25">
      <c r="B50" s="276" t="str">
        <f t="shared" si="45"/>
        <v>MULTIGRAN JAGGERY COOKIE</v>
      </c>
      <c r="C50" s="281">
        <f>'Products (RTE) - Retail'!I30</f>
        <v>22.024000000000001</v>
      </c>
      <c r="D50" s="88">
        <f t="shared" ref="D50:W50" si="50">$C50*D12</f>
        <v>0</v>
      </c>
      <c r="E50" s="88">
        <f t="shared" si="50"/>
        <v>0</v>
      </c>
      <c r="F50" s="88">
        <f t="shared" si="50"/>
        <v>0</v>
      </c>
      <c r="G50" s="88">
        <f t="shared" si="50"/>
        <v>0</v>
      </c>
      <c r="H50" s="88">
        <f t="shared" si="50"/>
        <v>0</v>
      </c>
      <c r="I50" s="88">
        <f t="shared" si="50"/>
        <v>0</v>
      </c>
      <c r="J50" s="88">
        <f t="shared" si="50"/>
        <v>0</v>
      </c>
      <c r="K50" s="88">
        <f t="shared" si="50"/>
        <v>0</v>
      </c>
      <c r="L50" s="88">
        <f t="shared" si="50"/>
        <v>0</v>
      </c>
      <c r="M50" s="88">
        <f t="shared" si="50"/>
        <v>0</v>
      </c>
      <c r="N50" s="88">
        <f t="shared" si="50"/>
        <v>0</v>
      </c>
      <c r="O50" s="88">
        <f t="shared" si="50"/>
        <v>0</v>
      </c>
      <c r="P50" s="88">
        <f t="shared" si="50"/>
        <v>0</v>
      </c>
      <c r="Q50" s="88">
        <f t="shared" si="50"/>
        <v>0</v>
      </c>
      <c r="R50" s="88">
        <f t="shared" si="50"/>
        <v>0</v>
      </c>
      <c r="S50" s="88">
        <f t="shared" si="50"/>
        <v>0</v>
      </c>
      <c r="T50" s="88">
        <f t="shared" si="50"/>
        <v>0</v>
      </c>
      <c r="U50" s="88">
        <f t="shared" si="50"/>
        <v>0</v>
      </c>
      <c r="V50" s="88">
        <f t="shared" si="50"/>
        <v>0</v>
      </c>
      <c r="W50" s="88">
        <f t="shared" si="50"/>
        <v>0</v>
      </c>
    </row>
    <row r="51" spans="2:23" s="96" customFormat="1" x14ac:dyDescent="0.25">
      <c r="B51" s="276" t="str">
        <f t="shared" si="45"/>
        <v>GF BREAD  (BROWN / WHITE)</v>
      </c>
      <c r="C51" s="281">
        <f>'Products (RTE) - Retail'!J30</f>
        <v>59.75</v>
      </c>
      <c r="D51" s="88">
        <f t="shared" ref="D51:W51" si="51">$C51*D13</f>
        <v>0</v>
      </c>
      <c r="E51" s="88">
        <f t="shared" si="51"/>
        <v>0</v>
      </c>
      <c r="F51" s="88">
        <f t="shared" si="51"/>
        <v>0</v>
      </c>
      <c r="G51" s="88">
        <f t="shared" si="51"/>
        <v>0</v>
      </c>
      <c r="H51" s="88">
        <f t="shared" si="51"/>
        <v>0</v>
      </c>
      <c r="I51" s="88">
        <f t="shared" si="51"/>
        <v>0</v>
      </c>
      <c r="J51" s="88">
        <f t="shared" si="51"/>
        <v>0</v>
      </c>
      <c r="K51" s="88">
        <f t="shared" si="51"/>
        <v>0</v>
      </c>
      <c r="L51" s="88">
        <f t="shared" si="51"/>
        <v>0</v>
      </c>
      <c r="M51" s="88">
        <f t="shared" si="51"/>
        <v>0</v>
      </c>
      <c r="N51" s="88">
        <f t="shared" si="51"/>
        <v>0</v>
      </c>
      <c r="O51" s="88">
        <f t="shared" si="51"/>
        <v>0</v>
      </c>
      <c r="P51" s="88">
        <f t="shared" si="51"/>
        <v>0</v>
      </c>
      <c r="Q51" s="88">
        <f t="shared" si="51"/>
        <v>0</v>
      </c>
      <c r="R51" s="88">
        <f t="shared" si="51"/>
        <v>0</v>
      </c>
      <c r="S51" s="88">
        <f t="shared" si="51"/>
        <v>0</v>
      </c>
      <c r="T51" s="88">
        <f t="shared" si="51"/>
        <v>0</v>
      </c>
      <c r="U51" s="88">
        <f t="shared" si="51"/>
        <v>0</v>
      </c>
      <c r="V51" s="88">
        <f t="shared" si="51"/>
        <v>0</v>
      </c>
      <c r="W51" s="88">
        <f t="shared" si="51"/>
        <v>0</v>
      </c>
    </row>
    <row r="52" spans="2:23" s="96" customFormat="1" x14ac:dyDescent="0.25">
      <c r="B52" s="276" t="str">
        <f t="shared" si="45"/>
        <v>GF TORTILLOS   (Pieces)</v>
      </c>
      <c r="C52" s="281">
        <f>'Products (RTE) - Retail'!K30</f>
        <v>65.236999999999995</v>
      </c>
      <c r="D52" s="88">
        <f t="shared" ref="D52:W52" si="52">$C52*D14</f>
        <v>0</v>
      </c>
      <c r="E52" s="88">
        <f t="shared" si="52"/>
        <v>0</v>
      </c>
      <c r="F52" s="88">
        <f t="shared" si="52"/>
        <v>0</v>
      </c>
      <c r="G52" s="88">
        <f t="shared" si="52"/>
        <v>0</v>
      </c>
      <c r="H52" s="88">
        <f t="shared" si="52"/>
        <v>0</v>
      </c>
      <c r="I52" s="88">
        <f t="shared" si="52"/>
        <v>0</v>
      </c>
      <c r="J52" s="88">
        <f t="shared" si="52"/>
        <v>0</v>
      </c>
      <c r="K52" s="88">
        <f t="shared" si="52"/>
        <v>0</v>
      </c>
      <c r="L52" s="88">
        <f t="shared" si="52"/>
        <v>0</v>
      </c>
      <c r="M52" s="88">
        <f t="shared" si="52"/>
        <v>0</v>
      </c>
      <c r="N52" s="88">
        <f t="shared" si="52"/>
        <v>0</v>
      </c>
      <c r="O52" s="88">
        <f t="shared" si="52"/>
        <v>0</v>
      </c>
      <c r="P52" s="88">
        <f t="shared" si="52"/>
        <v>0</v>
      </c>
      <c r="Q52" s="88">
        <f t="shared" si="52"/>
        <v>0</v>
      </c>
      <c r="R52" s="88">
        <f t="shared" si="52"/>
        <v>0</v>
      </c>
      <c r="S52" s="88">
        <f t="shared" si="52"/>
        <v>0</v>
      </c>
      <c r="T52" s="88">
        <f t="shared" si="52"/>
        <v>0</v>
      </c>
      <c r="U52" s="88">
        <f t="shared" si="52"/>
        <v>0</v>
      </c>
      <c r="V52" s="88">
        <f t="shared" si="52"/>
        <v>0</v>
      </c>
      <c r="W52" s="88">
        <f t="shared" si="52"/>
        <v>0</v>
      </c>
    </row>
    <row r="53" spans="2:23" s="96" customFormat="1" x14ac:dyDescent="0.25">
      <c r="B53" s="276" t="str">
        <f t="shared" si="45"/>
        <v>PASTA</v>
      </c>
      <c r="C53" s="281">
        <f>'Products (RTE) - Retail'!L30</f>
        <v>49.92</v>
      </c>
      <c r="D53" s="88">
        <f t="shared" ref="D53:W53" si="53">$C53*D15</f>
        <v>0</v>
      </c>
      <c r="E53" s="88">
        <f t="shared" si="53"/>
        <v>0</v>
      </c>
      <c r="F53" s="88">
        <f t="shared" si="53"/>
        <v>0</v>
      </c>
      <c r="G53" s="88">
        <f t="shared" si="53"/>
        <v>0</v>
      </c>
      <c r="H53" s="88">
        <f t="shared" si="53"/>
        <v>0</v>
      </c>
      <c r="I53" s="88">
        <f t="shared" si="53"/>
        <v>0</v>
      </c>
      <c r="J53" s="88">
        <f t="shared" si="53"/>
        <v>0</v>
      </c>
      <c r="K53" s="88">
        <f t="shared" si="53"/>
        <v>0</v>
      </c>
      <c r="L53" s="88">
        <f t="shared" si="53"/>
        <v>0</v>
      </c>
      <c r="M53" s="88">
        <f t="shared" si="53"/>
        <v>0</v>
      </c>
      <c r="N53" s="88">
        <f t="shared" si="53"/>
        <v>0</v>
      </c>
      <c r="O53" s="88">
        <f t="shared" si="53"/>
        <v>0</v>
      </c>
      <c r="P53" s="88">
        <f t="shared" si="53"/>
        <v>0</v>
      </c>
      <c r="Q53" s="88">
        <f t="shared" si="53"/>
        <v>0</v>
      </c>
      <c r="R53" s="88">
        <f t="shared" si="53"/>
        <v>0</v>
      </c>
      <c r="S53" s="88">
        <f t="shared" si="53"/>
        <v>0</v>
      </c>
      <c r="T53" s="88">
        <f t="shared" si="53"/>
        <v>0</v>
      </c>
      <c r="U53" s="88">
        <f t="shared" si="53"/>
        <v>0</v>
      </c>
      <c r="V53" s="88">
        <f t="shared" si="53"/>
        <v>0</v>
      </c>
      <c r="W53" s="88">
        <f t="shared" si="53"/>
        <v>0</v>
      </c>
    </row>
    <row r="54" spans="2:23" s="96" customFormat="1" x14ac:dyDescent="0.25">
      <c r="B54" s="276" t="str">
        <f t="shared" si="45"/>
        <v>CUP O PASTA</v>
      </c>
      <c r="C54" s="281">
        <f>'Products (RTE) - Retail'!M30</f>
        <v>21.395</v>
      </c>
      <c r="D54" s="88">
        <f t="shared" ref="D54:W54" si="54">$C54*D16</f>
        <v>0</v>
      </c>
      <c r="E54" s="88">
        <f t="shared" si="54"/>
        <v>0</v>
      </c>
      <c r="F54" s="88">
        <f t="shared" si="54"/>
        <v>0</v>
      </c>
      <c r="G54" s="88">
        <f t="shared" si="54"/>
        <v>0</v>
      </c>
      <c r="H54" s="88">
        <f t="shared" si="54"/>
        <v>0</v>
      </c>
      <c r="I54" s="88">
        <f t="shared" si="54"/>
        <v>0</v>
      </c>
      <c r="J54" s="88">
        <f t="shared" si="54"/>
        <v>0</v>
      </c>
      <c r="K54" s="88">
        <f t="shared" si="54"/>
        <v>0</v>
      </c>
      <c r="L54" s="88">
        <f t="shared" si="54"/>
        <v>0</v>
      </c>
      <c r="M54" s="88">
        <f t="shared" si="54"/>
        <v>0</v>
      </c>
      <c r="N54" s="88">
        <f t="shared" si="54"/>
        <v>0</v>
      </c>
      <c r="O54" s="88">
        <f t="shared" si="54"/>
        <v>0</v>
      </c>
      <c r="P54" s="88">
        <f t="shared" si="54"/>
        <v>0</v>
      </c>
      <c r="Q54" s="88">
        <f t="shared" si="54"/>
        <v>0</v>
      </c>
      <c r="R54" s="88">
        <f t="shared" si="54"/>
        <v>0</v>
      </c>
      <c r="S54" s="88">
        <f t="shared" si="54"/>
        <v>0</v>
      </c>
      <c r="T54" s="88">
        <f t="shared" si="54"/>
        <v>0</v>
      </c>
      <c r="U54" s="88">
        <f t="shared" si="54"/>
        <v>0</v>
      </c>
      <c r="V54" s="88">
        <f t="shared" si="54"/>
        <v>0</v>
      </c>
      <c r="W54" s="88">
        <f t="shared" si="54"/>
        <v>0</v>
      </c>
    </row>
    <row r="55" spans="2:23" s="96" customFormat="1" x14ac:dyDescent="0.25">
      <c r="B55" s="288" t="s">
        <v>372</v>
      </c>
      <c r="C55" s="281"/>
      <c r="D55" s="78">
        <f>SUM(D45:D54)</f>
        <v>0</v>
      </c>
      <c r="E55" s="78">
        <f t="shared" ref="E55:U55" si="55">SUM(E45:E54)</f>
        <v>0</v>
      </c>
      <c r="F55" s="78">
        <f t="shared" si="55"/>
        <v>0</v>
      </c>
      <c r="G55" s="78">
        <f t="shared" si="55"/>
        <v>0</v>
      </c>
      <c r="H55" s="78">
        <f t="shared" si="55"/>
        <v>0</v>
      </c>
      <c r="I55" s="78">
        <f t="shared" si="55"/>
        <v>0</v>
      </c>
      <c r="J55" s="78">
        <f t="shared" si="55"/>
        <v>0</v>
      </c>
      <c r="K55" s="78">
        <f t="shared" si="55"/>
        <v>0</v>
      </c>
      <c r="L55" s="78">
        <f t="shared" si="55"/>
        <v>0</v>
      </c>
      <c r="M55" s="78">
        <f t="shared" si="55"/>
        <v>0</v>
      </c>
      <c r="N55" s="78">
        <f t="shared" si="55"/>
        <v>0</v>
      </c>
      <c r="O55" s="78">
        <f t="shared" si="55"/>
        <v>0</v>
      </c>
      <c r="P55" s="78">
        <f t="shared" si="55"/>
        <v>0</v>
      </c>
      <c r="Q55" s="78">
        <f t="shared" si="55"/>
        <v>0</v>
      </c>
      <c r="R55" s="78">
        <f t="shared" si="55"/>
        <v>0</v>
      </c>
      <c r="S55" s="78">
        <f t="shared" si="55"/>
        <v>0</v>
      </c>
      <c r="T55" s="78">
        <f t="shared" si="55"/>
        <v>0</v>
      </c>
      <c r="U55" s="78">
        <f t="shared" si="55"/>
        <v>0</v>
      </c>
      <c r="V55" s="78">
        <f>SUM(V45:V54)</f>
        <v>0</v>
      </c>
      <c r="W55" s="78">
        <f>SUM(W45:W54)</f>
        <v>0</v>
      </c>
    </row>
    <row r="56" spans="2:23" s="96" customFormat="1" x14ac:dyDescent="0.25">
      <c r="B56" s="289" t="str">
        <f>B42</f>
        <v>Growth %</v>
      </c>
      <c r="C56" s="281"/>
      <c r="D56" s="88"/>
      <c r="E56" s="277" t="e">
        <f t="shared" ref="E56:W56" si="56">E55/D55-1</f>
        <v>#DIV/0!</v>
      </c>
      <c r="F56" s="277" t="e">
        <f t="shared" si="56"/>
        <v>#DIV/0!</v>
      </c>
      <c r="G56" s="277" t="e">
        <f t="shared" si="56"/>
        <v>#DIV/0!</v>
      </c>
      <c r="H56" s="277" t="e">
        <f t="shared" si="56"/>
        <v>#DIV/0!</v>
      </c>
      <c r="I56" s="277" t="e">
        <f t="shared" si="56"/>
        <v>#DIV/0!</v>
      </c>
      <c r="J56" s="277" t="e">
        <f t="shared" si="56"/>
        <v>#DIV/0!</v>
      </c>
      <c r="K56" s="277" t="e">
        <f t="shared" si="56"/>
        <v>#DIV/0!</v>
      </c>
      <c r="L56" s="277" t="e">
        <f t="shared" si="56"/>
        <v>#DIV/0!</v>
      </c>
      <c r="M56" s="277" t="e">
        <f t="shared" si="56"/>
        <v>#DIV/0!</v>
      </c>
      <c r="N56" s="277" t="e">
        <f t="shared" si="56"/>
        <v>#DIV/0!</v>
      </c>
      <c r="O56" s="277" t="e">
        <f t="shared" si="56"/>
        <v>#DIV/0!</v>
      </c>
      <c r="P56" s="277" t="e">
        <f t="shared" si="56"/>
        <v>#DIV/0!</v>
      </c>
      <c r="Q56" s="277" t="e">
        <f t="shared" si="56"/>
        <v>#DIV/0!</v>
      </c>
      <c r="R56" s="277" t="e">
        <f t="shared" si="56"/>
        <v>#DIV/0!</v>
      </c>
      <c r="S56" s="277" t="e">
        <f t="shared" si="56"/>
        <v>#DIV/0!</v>
      </c>
      <c r="T56" s="277" t="e">
        <f t="shared" si="56"/>
        <v>#DIV/0!</v>
      </c>
      <c r="U56" s="277" t="e">
        <f t="shared" si="56"/>
        <v>#DIV/0!</v>
      </c>
      <c r="V56" s="277" t="e">
        <f t="shared" si="56"/>
        <v>#DIV/0!</v>
      </c>
      <c r="W56" s="277" t="e">
        <f t="shared" si="56"/>
        <v>#DIV/0!</v>
      </c>
    </row>
    <row r="57" spans="2:23" s="96" customFormat="1" x14ac:dyDescent="0.25">
      <c r="B57" s="289"/>
      <c r="C57" s="281"/>
      <c r="D57" s="88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</row>
    <row r="58" spans="2:23" s="96" customFormat="1" x14ac:dyDescent="0.25">
      <c r="B58" s="289" t="s">
        <v>380</v>
      </c>
      <c r="C58" s="281"/>
      <c r="D58" s="277" t="e">
        <f>D55/D41</f>
        <v>#DIV/0!</v>
      </c>
      <c r="E58" s="277" t="e">
        <f t="shared" ref="E58:U58" si="57">E55/E41</f>
        <v>#DIV/0!</v>
      </c>
      <c r="F58" s="277" t="e">
        <f t="shared" si="57"/>
        <v>#DIV/0!</v>
      </c>
      <c r="G58" s="277" t="e">
        <f t="shared" si="57"/>
        <v>#DIV/0!</v>
      </c>
      <c r="H58" s="277" t="e">
        <f t="shared" si="57"/>
        <v>#DIV/0!</v>
      </c>
      <c r="I58" s="277" t="e">
        <f t="shared" si="57"/>
        <v>#DIV/0!</v>
      </c>
      <c r="J58" s="277" t="e">
        <f t="shared" si="57"/>
        <v>#DIV/0!</v>
      </c>
      <c r="K58" s="277" t="e">
        <f t="shared" si="57"/>
        <v>#DIV/0!</v>
      </c>
      <c r="L58" s="277" t="e">
        <f t="shared" si="57"/>
        <v>#DIV/0!</v>
      </c>
      <c r="M58" s="277" t="e">
        <f t="shared" si="57"/>
        <v>#DIV/0!</v>
      </c>
      <c r="N58" s="277" t="e">
        <f t="shared" si="57"/>
        <v>#DIV/0!</v>
      </c>
      <c r="O58" s="277" t="e">
        <f t="shared" si="57"/>
        <v>#DIV/0!</v>
      </c>
      <c r="P58" s="277" t="e">
        <f t="shared" si="57"/>
        <v>#DIV/0!</v>
      </c>
      <c r="Q58" s="277" t="e">
        <f t="shared" si="57"/>
        <v>#DIV/0!</v>
      </c>
      <c r="R58" s="277" t="e">
        <f t="shared" si="57"/>
        <v>#DIV/0!</v>
      </c>
      <c r="S58" s="277" t="e">
        <f t="shared" si="57"/>
        <v>#DIV/0!</v>
      </c>
      <c r="T58" s="277" t="e">
        <f t="shared" si="57"/>
        <v>#DIV/0!</v>
      </c>
      <c r="U58" s="277" t="e">
        <f t="shared" si="57"/>
        <v>#DIV/0!</v>
      </c>
      <c r="V58" s="277" t="e">
        <f>V55/V41</f>
        <v>#DIV/0!</v>
      </c>
      <c r="W58" s="277" t="e">
        <f>W55/W41</f>
        <v>#DIV/0!</v>
      </c>
    </row>
    <row r="59" spans="2:23" s="96" customFormat="1" x14ac:dyDescent="0.25">
      <c r="B59" s="276"/>
      <c r="C59" s="281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 spans="2:23" s="96" customFormat="1" x14ac:dyDescent="0.25">
      <c r="B60" s="219" t="s">
        <v>373</v>
      </c>
      <c r="C60" s="281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spans="2:23" s="96" customFormat="1" x14ac:dyDescent="0.25">
      <c r="B61" s="276" t="str">
        <f>B45</f>
        <v xml:space="preserve">GF CAKE  (VANILLA / CHOCOLATE) </v>
      </c>
      <c r="C61" s="281">
        <f>'Products (RTE) - Retail'!D31</f>
        <v>3.6164999999999998</v>
      </c>
      <c r="D61" s="88">
        <f t="shared" ref="D61:W61" si="58">$C61*D7</f>
        <v>0</v>
      </c>
      <c r="E61" s="88">
        <f t="shared" si="58"/>
        <v>0</v>
      </c>
      <c r="F61" s="88">
        <f t="shared" si="58"/>
        <v>0</v>
      </c>
      <c r="G61" s="88">
        <f t="shared" si="58"/>
        <v>0</v>
      </c>
      <c r="H61" s="88">
        <f t="shared" si="58"/>
        <v>0</v>
      </c>
      <c r="I61" s="88">
        <f t="shared" si="58"/>
        <v>0</v>
      </c>
      <c r="J61" s="88">
        <f t="shared" si="58"/>
        <v>0</v>
      </c>
      <c r="K61" s="88">
        <f t="shared" si="58"/>
        <v>0</v>
      </c>
      <c r="L61" s="88">
        <f t="shared" si="58"/>
        <v>0</v>
      </c>
      <c r="M61" s="88">
        <f t="shared" si="58"/>
        <v>0</v>
      </c>
      <c r="N61" s="88">
        <f t="shared" si="58"/>
        <v>0</v>
      </c>
      <c r="O61" s="88">
        <f t="shared" si="58"/>
        <v>0</v>
      </c>
      <c r="P61" s="88">
        <f t="shared" si="58"/>
        <v>0</v>
      </c>
      <c r="Q61" s="88">
        <f t="shared" si="58"/>
        <v>0</v>
      </c>
      <c r="R61" s="88">
        <f t="shared" si="58"/>
        <v>0</v>
      </c>
      <c r="S61" s="88">
        <f t="shared" si="58"/>
        <v>0</v>
      </c>
      <c r="T61" s="88">
        <f t="shared" si="58"/>
        <v>0</v>
      </c>
      <c r="U61" s="88">
        <f t="shared" si="58"/>
        <v>0</v>
      </c>
      <c r="V61" s="88">
        <f t="shared" si="58"/>
        <v>0</v>
      </c>
      <c r="W61" s="88">
        <f t="shared" si="58"/>
        <v>0</v>
      </c>
    </row>
    <row r="62" spans="2:23" s="96" customFormat="1" x14ac:dyDescent="0.25">
      <c r="B62" s="276" t="str">
        <f t="shared" ref="B62:B70" si="59">B46</f>
        <v>GF CAKE (VANILLA / CHOCOLATE) NAS</v>
      </c>
      <c r="C62" s="281">
        <f>'Products (RTE) - Retail'!E31</f>
        <v>4.4511000000000003</v>
      </c>
      <c r="D62" s="88">
        <f t="shared" ref="D62:W62" si="60">$C62*D8</f>
        <v>0</v>
      </c>
      <c r="E62" s="88">
        <f t="shared" si="60"/>
        <v>0</v>
      </c>
      <c r="F62" s="88">
        <f t="shared" si="60"/>
        <v>0</v>
      </c>
      <c r="G62" s="88">
        <f t="shared" si="60"/>
        <v>0</v>
      </c>
      <c r="H62" s="88">
        <f t="shared" si="60"/>
        <v>0</v>
      </c>
      <c r="I62" s="88">
        <f t="shared" si="60"/>
        <v>0</v>
      </c>
      <c r="J62" s="88">
        <f t="shared" si="60"/>
        <v>0</v>
      </c>
      <c r="K62" s="88">
        <f t="shared" si="60"/>
        <v>0</v>
      </c>
      <c r="L62" s="88">
        <f t="shared" si="60"/>
        <v>0</v>
      </c>
      <c r="M62" s="88">
        <f t="shared" si="60"/>
        <v>0</v>
      </c>
      <c r="N62" s="88">
        <f t="shared" si="60"/>
        <v>0</v>
      </c>
      <c r="O62" s="88">
        <f t="shared" si="60"/>
        <v>0</v>
      </c>
      <c r="P62" s="88">
        <f t="shared" si="60"/>
        <v>0</v>
      </c>
      <c r="Q62" s="88">
        <f t="shared" si="60"/>
        <v>0</v>
      </c>
      <c r="R62" s="88">
        <f t="shared" si="60"/>
        <v>0</v>
      </c>
      <c r="S62" s="88">
        <f t="shared" si="60"/>
        <v>0</v>
      </c>
      <c r="T62" s="88">
        <f t="shared" si="60"/>
        <v>0</v>
      </c>
      <c r="U62" s="88">
        <f t="shared" si="60"/>
        <v>0</v>
      </c>
      <c r="V62" s="88">
        <f t="shared" si="60"/>
        <v>0</v>
      </c>
      <c r="W62" s="88">
        <f t="shared" si="60"/>
        <v>0</v>
      </c>
    </row>
    <row r="63" spans="2:23" s="96" customFormat="1" x14ac:dyDescent="0.25">
      <c r="B63" s="276" t="str">
        <f t="shared" si="59"/>
        <v>GF, Lf COOKIE (VANILLA / CHOCOLATE)</v>
      </c>
      <c r="C63" s="281">
        <f>'Products (RTE) - Retail'!F31</f>
        <v>1.73868</v>
      </c>
      <c r="D63" s="88">
        <f t="shared" ref="D63:W63" si="61">$C63*D9</f>
        <v>0</v>
      </c>
      <c r="E63" s="88">
        <f t="shared" si="61"/>
        <v>0</v>
      </c>
      <c r="F63" s="88">
        <f t="shared" si="61"/>
        <v>0</v>
      </c>
      <c r="G63" s="88">
        <f t="shared" si="61"/>
        <v>0</v>
      </c>
      <c r="H63" s="88">
        <f t="shared" si="61"/>
        <v>0</v>
      </c>
      <c r="I63" s="88">
        <f t="shared" si="61"/>
        <v>0</v>
      </c>
      <c r="J63" s="88">
        <f t="shared" si="61"/>
        <v>0</v>
      </c>
      <c r="K63" s="88">
        <f t="shared" si="61"/>
        <v>0</v>
      </c>
      <c r="L63" s="88">
        <f t="shared" si="61"/>
        <v>0</v>
      </c>
      <c r="M63" s="88">
        <f t="shared" si="61"/>
        <v>0</v>
      </c>
      <c r="N63" s="88">
        <f t="shared" si="61"/>
        <v>0</v>
      </c>
      <c r="O63" s="88">
        <f t="shared" si="61"/>
        <v>0</v>
      </c>
      <c r="P63" s="88">
        <f t="shared" si="61"/>
        <v>0</v>
      </c>
      <c r="Q63" s="88">
        <f t="shared" si="61"/>
        <v>0</v>
      </c>
      <c r="R63" s="88">
        <f t="shared" si="61"/>
        <v>0</v>
      </c>
      <c r="S63" s="88">
        <f t="shared" si="61"/>
        <v>0</v>
      </c>
      <c r="T63" s="88">
        <f t="shared" si="61"/>
        <v>0</v>
      </c>
      <c r="U63" s="88">
        <f t="shared" si="61"/>
        <v>0</v>
      </c>
      <c r="V63" s="88">
        <f t="shared" si="61"/>
        <v>0</v>
      </c>
      <c r="W63" s="88">
        <f t="shared" si="61"/>
        <v>0</v>
      </c>
    </row>
    <row r="64" spans="2:23" s="96" customFormat="1" x14ac:dyDescent="0.25">
      <c r="B64" s="276" t="str">
        <f t="shared" si="59"/>
        <v>GF COOKIE  (VANILLA / CHOCOLATE) NAS</v>
      </c>
      <c r="C64" s="281">
        <f>'Products (RTE) - Retail'!G31</f>
        <v>2.0865</v>
      </c>
      <c r="D64" s="88">
        <f t="shared" ref="D64:W64" si="62">$C64*D10</f>
        <v>0</v>
      </c>
      <c r="E64" s="88">
        <f t="shared" si="62"/>
        <v>0</v>
      </c>
      <c r="F64" s="88">
        <f t="shared" si="62"/>
        <v>0</v>
      </c>
      <c r="G64" s="88">
        <f t="shared" si="62"/>
        <v>0</v>
      </c>
      <c r="H64" s="88">
        <f t="shared" si="62"/>
        <v>0</v>
      </c>
      <c r="I64" s="88">
        <f t="shared" si="62"/>
        <v>0</v>
      </c>
      <c r="J64" s="88">
        <f t="shared" si="62"/>
        <v>0</v>
      </c>
      <c r="K64" s="88">
        <f t="shared" si="62"/>
        <v>0</v>
      </c>
      <c r="L64" s="88">
        <f t="shared" si="62"/>
        <v>0</v>
      </c>
      <c r="M64" s="88">
        <f t="shared" si="62"/>
        <v>0</v>
      </c>
      <c r="N64" s="88">
        <f t="shared" si="62"/>
        <v>0</v>
      </c>
      <c r="O64" s="88">
        <f t="shared" si="62"/>
        <v>0</v>
      </c>
      <c r="P64" s="88">
        <f t="shared" si="62"/>
        <v>0</v>
      </c>
      <c r="Q64" s="88">
        <f t="shared" si="62"/>
        <v>0</v>
      </c>
      <c r="R64" s="88">
        <f t="shared" si="62"/>
        <v>0</v>
      </c>
      <c r="S64" s="88">
        <f t="shared" si="62"/>
        <v>0</v>
      </c>
      <c r="T64" s="88">
        <f t="shared" si="62"/>
        <v>0</v>
      </c>
      <c r="U64" s="88">
        <f t="shared" si="62"/>
        <v>0</v>
      </c>
      <c r="V64" s="88">
        <f t="shared" si="62"/>
        <v>0</v>
      </c>
      <c r="W64" s="88">
        <f t="shared" si="62"/>
        <v>0</v>
      </c>
    </row>
    <row r="65" spans="2:23" s="96" customFormat="1" x14ac:dyDescent="0.25">
      <c r="B65" s="276" t="str">
        <f t="shared" si="59"/>
        <v>MULTIGRAN COOKIE</v>
      </c>
      <c r="C65" s="281">
        <f>'Products (RTE) - Retail'!H31</f>
        <v>1.2519</v>
      </c>
      <c r="D65" s="88">
        <f t="shared" ref="D65:W65" si="63">$C65*D11</f>
        <v>0</v>
      </c>
      <c r="E65" s="88">
        <f t="shared" si="63"/>
        <v>0</v>
      </c>
      <c r="F65" s="88">
        <f t="shared" si="63"/>
        <v>0</v>
      </c>
      <c r="G65" s="88">
        <f t="shared" si="63"/>
        <v>0</v>
      </c>
      <c r="H65" s="88">
        <f t="shared" si="63"/>
        <v>0</v>
      </c>
      <c r="I65" s="88">
        <f t="shared" si="63"/>
        <v>0</v>
      </c>
      <c r="J65" s="88">
        <f t="shared" si="63"/>
        <v>0</v>
      </c>
      <c r="K65" s="88">
        <f t="shared" si="63"/>
        <v>0</v>
      </c>
      <c r="L65" s="88">
        <f t="shared" si="63"/>
        <v>0</v>
      </c>
      <c r="M65" s="88">
        <f t="shared" si="63"/>
        <v>0</v>
      </c>
      <c r="N65" s="88">
        <f t="shared" si="63"/>
        <v>0</v>
      </c>
      <c r="O65" s="88">
        <f t="shared" si="63"/>
        <v>0</v>
      </c>
      <c r="P65" s="88">
        <f t="shared" si="63"/>
        <v>0</v>
      </c>
      <c r="Q65" s="88">
        <f t="shared" si="63"/>
        <v>0</v>
      </c>
      <c r="R65" s="88">
        <f t="shared" si="63"/>
        <v>0</v>
      </c>
      <c r="S65" s="88">
        <f t="shared" si="63"/>
        <v>0</v>
      </c>
      <c r="T65" s="88">
        <f t="shared" si="63"/>
        <v>0</v>
      </c>
      <c r="U65" s="88">
        <f t="shared" si="63"/>
        <v>0</v>
      </c>
      <c r="V65" s="88">
        <f t="shared" si="63"/>
        <v>0</v>
      </c>
      <c r="W65" s="88">
        <f t="shared" si="63"/>
        <v>0</v>
      </c>
    </row>
    <row r="66" spans="2:23" s="96" customFormat="1" x14ac:dyDescent="0.25">
      <c r="B66" s="276" t="str">
        <f t="shared" si="59"/>
        <v>MULTIGRAN JAGGERY COOKIE</v>
      </c>
      <c r="C66" s="281">
        <f>'Products (RTE) - Retail'!I31</f>
        <v>1.3214399999999999</v>
      </c>
      <c r="D66" s="88">
        <f t="shared" ref="D66:W66" si="64">$C66*D12</f>
        <v>0</v>
      </c>
      <c r="E66" s="88">
        <f t="shared" si="64"/>
        <v>0</v>
      </c>
      <c r="F66" s="88">
        <f t="shared" si="64"/>
        <v>0</v>
      </c>
      <c r="G66" s="88">
        <f t="shared" si="64"/>
        <v>0</v>
      </c>
      <c r="H66" s="88">
        <f t="shared" si="64"/>
        <v>0</v>
      </c>
      <c r="I66" s="88">
        <f t="shared" si="64"/>
        <v>0</v>
      </c>
      <c r="J66" s="88">
        <f t="shared" si="64"/>
        <v>0</v>
      </c>
      <c r="K66" s="88">
        <f t="shared" si="64"/>
        <v>0</v>
      </c>
      <c r="L66" s="88">
        <f t="shared" si="64"/>
        <v>0</v>
      </c>
      <c r="M66" s="88">
        <f t="shared" si="64"/>
        <v>0</v>
      </c>
      <c r="N66" s="88">
        <f t="shared" si="64"/>
        <v>0</v>
      </c>
      <c r="O66" s="88">
        <f t="shared" si="64"/>
        <v>0</v>
      </c>
      <c r="P66" s="88">
        <f t="shared" si="64"/>
        <v>0</v>
      </c>
      <c r="Q66" s="88">
        <f t="shared" si="64"/>
        <v>0</v>
      </c>
      <c r="R66" s="88">
        <f t="shared" si="64"/>
        <v>0</v>
      </c>
      <c r="S66" s="88">
        <f t="shared" si="64"/>
        <v>0</v>
      </c>
      <c r="T66" s="88">
        <f t="shared" si="64"/>
        <v>0</v>
      </c>
      <c r="U66" s="88">
        <f t="shared" si="64"/>
        <v>0</v>
      </c>
      <c r="V66" s="88">
        <f t="shared" si="64"/>
        <v>0</v>
      </c>
      <c r="W66" s="88">
        <f t="shared" si="64"/>
        <v>0</v>
      </c>
    </row>
    <row r="67" spans="2:23" s="96" customFormat="1" x14ac:dyDescent="0.25">
      <c r="B67" s="276" t="str">
        <f t="shared" si="59"/>
        <v>GF BREAD  (BROWN / WHITE)</v>
      </c>
      <c r="C67" s="281">
        <f>'Products (RTE) - Retail'!J31</f>
        <v>3.585</v>
      </c>
      <c r="D67" s="88">
        <f t="shared" ref="D67:W67" si="65">$C67*D13</f>
        <v>0</v>
      </c>
      <c r="E67" s="88">
        <f t="shared" si="65"/>
        <v>0</v>
      </c>
      <c r="F67" s="88">
        <f t="shared" si="65"/>
        <v>0</v>
      </c>
      <c r="G67" s="88">
        <f t="shared" si="65"/>
        <v>0</v>
      </c>
      <c r="H67" s="88">
        <f t="shared" si="65"/>
        <v>0</v>
      </c>
      <c r="I67" s="88">
        <f t="shared" si="65"/>
        <v>0</v>
      </c>
      <c r="J67" s="88">
        <f t="shared" si="65"/>
        <v>0</v>
      </c>
      <c r="K67" s="88">
        <f t="shared" si="65"/>
        <v>0</v>
      </c>
      <c r="L67" s="88">
        <f t="shared" si="65"/>
        <v>0</v>
      </c>
      <c r="M67" s="88">
        <f t="shared" si="65"/>
        <v>0</v>
      </c>
      <c r="N67" s="88">
        <f t="shared" si="65"/>
        <v>0</v>
      </c>
      <c r="O67" s="88">
        <f t="shared" si="65"/>
        <v>0</v>
      </c>
      <c r="P67" s="88">
        <f t="shared" si="65"/>
        <v>0</v>
      </c>
      <c r="Q67" s="88">
        <f t="shared" si="65"/>
        <v>0</v>
      </c>
      <c r="R67" s="88">
        <f t="shared" si="65"/>
        <v>0</v>
      </c>
      <c r="S67" s="88">
        <f t="shared" si="65"/>
        <v>0</v>
      </c>
      <c r="T67" s="88">
        <f t="shared" si="65"/>
        <v>0</v>
      </c>
      <c r="U67" s="88">
        <f t="shared" si="65"/>
        <v>0</v>
      </c>
      <c r="V67" s="88">
        <f t="shared" si="65"/>
        <v>0</v>
      </c>
      <c r="W67" s="88">
        <f t="shared" si="65"/>
        <v>0</v>
      </c>
    </row>
    <row r="68" spans="2:23" s="96" customFormat="1" x14ac:dyDescent="0.25">
      <c r="B68" s="276" t="str">
        <f t="shared" si="59"/>
        <v>GF TORTILLOS   (Pieces)</v>
      </c>
      <c r="C68" s="281">
        <f>'Products (RTE) - Retail'!K31</f>
        <v>3.9142199999999994</v>
      </c>
      <c r="D68" s="88">
        <f t="shared" ref="D68:W68" si="66">$C68*D14</f>
        <v>0</v>
      </c>
      <c r="E68" s="88">
        <f t="shared" si="66"/>
        <v>0</v>
      </c>
      <c r="F68" s="88">
        <f t="shared" si="66"/>
        <v>0</v>
      </c>
      <c r="G68" s="88">
        <f t="shared" si="66"/>
        <v>0</v>
      </c>
      <c r="H68" s="88">
        <f t="shared" si="66"/>
        <v>0</v>
      </c>
      <c r="I68" s="88">
        <f t="shared" si="66"/>
        <v>0</v>
      </c>
      <c r="J68" s="88">
        <f t="shared" si="66"/>
        <v>0</v>
      </c>
      <c r="K68" s="88">
        <f t="shared" si="66"/>
        <v>0</v>
      </c>
      <c r="L68" s="88">
        <f t="shared" si="66"/>
        <v>0</v>
      </c>
      <c r="M68" s="88">
        <f t="shared" si="66"/>
        <v>0</v>
      </c>
      <c r="N68" s="88">
        <f t="shared" si="66"/>
        <v>0</v>
      </c>
      <c r="O68" s="88">
        <f t="shared" si="66"/>
        <v>0</v>
      </c>
      <c r="P68" s="88">
        <f t="shared" si="66"/>
        <v>0</v>
      </c>
      <c r="Q68" s="88">
        <f t="shared" si="66"/>
        <v>0</v>
      </c>
      <c r="R68" s="88">
        <f t="shared" si="66"/>
        <v>0</v>
      </c>
      <c r="S68" s="88">
        <f t="shared" si="66"/>
        <v>0</v>
      </c>
      <c r="T68" s="88">
        <f t="shared" si="66"/>
        <v>0</v>
      </c>
      <c r="U68" s="88">
        <f t="shared" si="66"/>
        <v>0</v>
      </c>
      <c r="V68" s="88">
        <f t="shared" si="66"/>
        <v>0</v>
      </c>
      <c r="W68" s="88">
        <f t="shared" si="66"/>
        <v>0</v>
      </c>
    </row>
    <row r="69" spans="2:23" s="96" customFormat="1" x14ac:dyDescent="0.25">
      <c r="B69" s="276" t="str">
        <f t="shared" si="59"/>
        <v>PASTA</v>
      </c>
      <c r="C69" s="281">
        <f>'Products (RTE) - Retail'!L31</f>
        <v>2.9952000000000001</v>
      </c>
      <c r="D69" s="88">
        <f t="shared" ref="D69:W69" si="67">$C69*D15</f>
        <v>0</v>
      </c>
      <c r="E69" s="88">
        <f t="shared" si="67"/>
        <v>0</v>
      </c>
      <c r="F69" s="88">
        <f t="shared" si="67"/>
        <v>0</v>
      </c>
      <c r="G69" s="88">
        <f t="shared" si="67"/>
        <v>0</v>
      </c>
      <c r="H69" s="88">
        <f t="shared" si="67"/>
        <v>0</v>
      </c>
      <c r="I69" s="88">
        <f t="shared" si="67"/>
        <v>0</v>
      </c>
      <c r="J69" s="88">
        <f t="shared" si="67"/>
        <v>0</v>
      </c>
      <c r="K69" s="88">
        <f t="shared" si="67"/>
        <v>0</v>
      </c>
      <c r="L69" s="88">
        <f t="shared" si="67"/>
        <v>0</v>
      </c>
      <c r="M69" s="88">
        <f t="shared" si="67"/>
        <v>0</v>
      </c>
      <c r="N69" s="88">
        <f t="shared" si="67"/>
        <v>0</v>
      </c>
      <c r="O69" s="88">
        <f t="shared" si="67"/>
        <v>0</v>
      </c>
      <c r="P69" s="88">
        <f t="shared" si="67"/>
        <v>0</v>
      </c>
      <c r="Q69" s="88">
        <f t="shared" si="67"/>
        <v>0</v>
      </c>
      <c r="R69" s="88">
        <f t="shared" si="67"/>
        <v>0</v>
      </c>
      <c r="S69" s="88">
        <f t="shared" si="67"/>
        <v>0</v>
      </c>
      <c r="T69" s="88">
        <f t="shared" si="67"/>
        <v>0</v>
      </c>
      <c r="U69" s="88">
        <f t="shared" si="67"/>
        <v>0</v>
      </c>
      <c r="V69" s="88">
        <f t="shared" si="67"/>
        <v>0</v>
      </c>
      <c r="W69" s="88">
        <f t="shared" si="67"/>
        <v>0</v>
      </c>
    </row>
    <row r="70" spans="2:23" s="96" customFormat="1" x14ac:dyDescent="0.25">
      <c r="B70" s="276" t="str">
        <f t="shared" si="59"/>
        <v>CUP O PASTA</v>
      </c>
      <c r="C70" s="281">
        <f>'Products (RTE) - Retail'!M31</f>
        <v>1.2836999999999998</v>
      </c>
      <c r="D70" s="88">
        <f t="shared" ref="D70:W70" si="68">$C70*D16</f>
        <v>0</v>
      </c>
      <c r="E70" s="88">
        <f t="shared" si="68"/>
        <v>0</v>
      </c>
      <c r="F70" s="88">
        <f t="shared" si="68"/>
        <v>0</v>
      </c>
      <c r="G70" s="88">
        <f t="shared" si="68"/>
        <v>0</v>
      </c>
      <c r="H70" s="88">
        <f t="shared" si="68"/>
        <v>0</v>
      </c>
      <c r="I70" s="88">
        <f t="shared" si="68"/>
        <v>0</v>
      </c>
      <c r="J70" s="88">
        <f t="shared" si="68"/>
        <v>0</v>
      </c>
      <c r="K70" s="88">
        <f t="shared" si="68"/>
        <v>0</v>
      </c>
      <c r="L70" s="88">
        <f t="shared" si="68"/>
        <v>0</v>
      </c>
      <c r="M70" s="88">
        <f t="shared" si="68"/>
        <v>0</v>
      </c>
      <c r="N70" s="88">
        <f t="shared" si="68"/>
        <v>0</v>
      </c>
      <c r="O70" s="88">
        <f t="shared" si="68"/>
        <v>0</v>
      </c>
      <c r="P70" s="88">
        <f t="shared" si="68"/>
        <v>0</v>
      </c>
      <c r="Q70" s="88">
        <f t="shared" si="68"/>
        <v>0</v>
      </c>
      <c r="R70" s="88">
        <f t="shared" si="68"/>
        <v>0</v>
      </c>
      <c r="S70" s="88">
        <f t="shared" si="68"/>
        <v>0</v>
      </c>
      <c r="T70" s="88">
        <f t="shared" si="68"/>
        <v>0</v>
      </c>
      <c r="U70" s="88">
        <f t="shared" si="68"/>
        <v>0</v>
      </c>
      <c r="V70" s="88">
        <f t="shared" si="68"/>
        <v>0</v>
      </c>
      <c r="W70" s="88">
        <f t="shared" si="68"/>
        <v>0</v>
      </c>
    </row>
    <row r="71" spans="2:23" s="96" customFormat="1" x14ac:dyDescent="0.25">
      <c r="B71" s="288" t="s">
        <v>375</v>
      </c>
      <c r="C71" s="281"/>
      <c r="D71" s="78">
        <f>SUM(D61:D70)</f>
        <v>0</v>
      </c>
      <c r="E71" s="78">
        <f t="shared" ref="E71:U71" si="69">SUM(E61:E70)</f>
        <v>0</v>
      </c>
      <c r="F71" s="78">
        <f t="shared" si="69"/>
        <v>0</v>
      </c>
      <c r="G71" s="78">
        <f t="shared" si="69"/>
        <v>0</v>
      </c>
      <c r="H71" s="78">
        <f t="shared" si="69"/>
        <v>0</v>
      </c>
      <c r="I71" s="78">
        <f t="shared" si="69"/>
        <v>0</v>
      </c>
      <c r="J71" s="78">
        <f t="shared" si="69"/>
        <v>0</v>
      </c>
      <c r="K71" s="78">
        <f t="shared" si="69"/>
        <v>0</v>
      </c>
      <c r="L71" s="78">
        <f t="shared" si="69"/>
        <v>0</v>
      </c>
      <c r="M71" s="78">
        <f t="shared" si="69"/>
        <v>0</v>
      </c>
      <c r="N71" s="78">
        <f t="shared" si="69"/>
        <v>0</v>
      </c>
      <c r="O71" s="78">
        <f t="shared" si="69"/>
        <v>0</v>
      </c>
      <c r="P71" s="78">
        <f t="shared" si="69"/>
        <v>0</v>
      </c>
      <c r="Q71" s="78">
        <f t="shared" si="69"/>
        <v>0</v>
      </c>
      <c r="R71" s="78">
        <f t="shared" si="69"/>
        <v>0</v>
      </c>
      <c r="S71" s="78">
        <f t="shared" si="69"/>
        <v>0</v>
      </c>
      <c r="T71" s="78">
        <f t="shared" si="69"/>
        <v>0</v>
      </c>
      <c r="U71" s="78">
        <f t="shared" si="69"/>
        <v>0</v>
      </c>
      <c r="V71" s="78">
        <f>SUM(V61:V70)</f>
        <v>0</v>
      </c>
      <c r="W71" s="78">
        <f>SUM(W61:W70)</f>
        <v>0</v>
      </c>
    </row>
    <row r="72" spans="2:23" s="96" customFormat="1" x14ac:dyDescent="0.25">
      <c r="B72" s="288"/>
      <c r="C72" s="281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 spans="2:23" s="96" customFormat="1" x14ac:dyDescent="0.25">
      <c r="B73" s="219" t="s">
        <v>376</v>
      </c>
      <c r="C73" s="281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 spans="2:23" s="96" customFormat="1" x14ac:dyDescent="0.25">
      <c r="B74" s="276" t="str">
        <f>B61</f>
        <v xml:space="preserve">GF CAKE  (VANILLA / CHOCOLATE) </v>
      </c>
      <c r="C74" s="281">
        <f>'Products (RTE) - Retail'!D33</f>
        <v>3.8334899999999998</v>
      </c>
      <c r="D74" s="88">
        <f t="shared" ref="D74:W74" si="70">$C74*D7</f>
        <v>0</v>
      </c>
      <c r="E74" s="88">
        <f t="shared" si="70"/>
        <v>0</v>
      </c>
      <c r="F74" s="88">
        <f t="shared" si="70"/>
        <v>0</v>
      </c>
      <c r="G74" s="88">
        <f t="shared" si="70"/>
        <v>0</v>
      </c>
      <c r="H74" s="88">
        <f t="shared" si="70"/>
        <v>0</v>
      </c>
      <c r="I74" s="88">
        <f t="shared" si="70"/>
        <v>0</v>
      </c>
      <c r="J74" s="88">
        <f t="shared" si="70"/>
        <v>0</v>
      </c>
      <c r="K74" s="88">
        <f t="shared" si="70"/>
        <v>0</v>
      </c>
      <c r="L74" s="88">
        <f t="shared" si="70"/>
        <v>0</v>
      </c>
      <c r="M74" s="88">
        <f t="shared" si="70"/>
        <v>0</v>
      </c>
      <c r="N74" s="88">
        <f t="shared" si="70"/>
        <v>0</v>
      </c>
      <c r="O74" s="88">
        <f t="shared" si="70"/>
        <v>0</v>
      </c>
      <c r="P74" s="88">
        <f t="shared" si="70"/>
        <v>0</v>
      </c>
      <c r="Q74" s="88">
        <f t="shared" si="70"/>
        <v>0</v>
      </c>
      <c r="R74" s="88">
        <f t="shared" si="70"/>
        <v>0</v>
      </c>
      <c r="S74" s="88">
        <f t="shared" si="70"/>
        <v>0</v>
      </c>
      <c r="T74" s="88">
        <f t="shared" si="70"/>
        <v>0</v>
      </c>
      <c r="U74" s="88">
        <f t="shared" si="70"/>
        <v>0</v>
      </c>
      <c r="V74" s="88">
        <f t="shared" si="70"/>
        <v>0</v>
      </c>
      <c r="W74" s="88">
        <f t="shared" si="70"/>
        <v>0</v>
      </c>
    </row>
    <row r="75" spans="2:23" s="96" customFormat="1" x14ac:dyDescent="0.25">
      <c r="B75" s="276" t="str">
        <f t="shared" ref="B75:B83" si="71">B62</f>
        <v>GF CAKE (VANILLA / CHOCOLATE) NAS</v>
      </c>
      <c r="C75" s="281">
        <f>'Products (RTE) - Retail'!E33</f>
        <v>4.7181660000000001</v>
      </c>
      <c r="D75" s="88">
        <f t="shared" ref="D75:W75" si="72">$C75*D8</f>
        <v>0</v>
      </c>
      <c r="E75" s="88">
        <f t="shared" si="72"/>
        <v>0</v>
      </c>
      <c r="F75" s="88">
        <f t="shared" si="72"/>
        <v>0</v>
      </c>
      <c r="G75" s="88">
        <f t="shared" si="72"/>
        <v>0</v>
      </c>
      <c r="H75" s="88">
        <f t="shared" si="72"/>
        <v>0</v>
      </c>
      <c r="I75" s="88">
        <f t="shared" si="72"/>
        <v>0</v>
      </c>
      <c r="J75" s="88">
        <f t="shared" si="72"/>
        <v>0</v>
      </c>
      <c r="K75" s="88">
        <f t="shared" si="72"/>
        <v>0</v>
      </c>
      <c r="L75" s="88">
        <f t="shared" si="72"/>
        <v>0</v>
      </c>
      <c r="M75" s="88">
        <f t="shared" si="72"/>
        <v>0</v>
      </c>
      <c r="N75" s="88">
        <f t="shared" si="72"/>
        <v>0</v>
      </c>
      <c r="O75" s="88">
        <f t="shared" si="72"/>
        <v>0</v>
      </c>
      <c r="P75" s="88">
        <f t="shared" si="72"/>
        <v>0</v>
      </c>
      <c r="Q75" s="88">
        <f t="shared" si="72"/>
        <v>0</v>
      </c>
      <c r="R75" s="88">
        <f t="shared" si="72"/>
        <v>0</v>
      </c>
      <c r="S75" s="88">
        <f t="shared" si="72"/>
        <v>0</v>
      </c>
      <c r="T75" s="88">
        <f t="shared" si="72"/>
        <v>0</v>
      </c>
      <c r="U75" s="88">
        <f t="shared" si="72"/>
        <v>0</v>
      </c>
      <c r="V75" s="88">
        <f t="shared" si="72"/>
        <v>0</v>
      </c>
      <c r="W75" s="88">
        <f t="shared" si="72"/>
        <v>0</v>
      </c>
    </row>
    <row r="76" spans="2:23" s="96" customFormat="1" x14ac:dyDescent="0.25">
      <c r="B76" s="276" t="str">
        <f t="shared" si="71"/>
        <v>GF, Lf COOKIE (VANILLA / CHOCOLATE)</v>
      </c>
      <c r="C76" s="281">
        <f>'Products (RTE) - Retail'!F33</f>
        <v>1.8430008</v>
      </c>
      <c r="D76" s="88">
        <f t="shared" ref="D76:W76" si="73">$C76*D9</f>
        <v>0</v>
      </c>
      <c r="E76" s="88">
        <f t="shared" si="73"/>
        <v>0</v>
      </c>
      <c r="F76" s="88">
        <f t="shared" si="73"/>
        <v>0</v>
      </c>
      <c r="G76" s="88">
        <f t="shared" si="73"/>
        <v>0</v>
      </c>
      <c r="H76" s="88">
        <f t="shared" si="73"/>
        <v>0</v>
      </c>
      <c r="I76" s="88">
        <f t="shared" si="73"/>
        <v>0</v>
      </c>
      <c r="J76" s="88">
        <f t="shared" si="73"/>
        <v>0</v>
      </c>
      <c r="K76" s="88">
        <f t="shared" si="73"/>
        <v>0</v>
      </c>
      <c r="L76" s="88">
        <f t="shared" si="73"/>
        <v>0</v>
      </c>
      <c r="M76" s="88">
        <f t="shared" si="73"/>
        <v>0</v>
      </c>
      <c r="N76" s="88">
        <f t="shared" si="73"/>
        <v>0</v>
      </c>
      <c r="O76" s="88">
        <f t="shared" si="73"/>
        <v>0</v>
      </c>
      <c r="P76" s="88">
        <f t="shared" si="73"/>
        <v>0</v>
      </c>
      <c r="Q76" s="88">
        <f t="shared" si="73"/>
        <v>0</v>
      </c>
      <c r="R76" s="88">
        <f t="shared" si="73"/>
        <v>0</v>
      </c>
      <c r="S76" s="88">
        <f t="shared" si="73"/>
        <v>0</v>
      </c>
      <c r="T76" s="88">
        <f t="shared" si="73"/>
        <v>0</v>
      </c>
      <c r="U76" s="88">
        <f t="shared" si="73"/>
        <v>0</v>
      </c>
      <c r="V76" s="88">
        <f t="shared" si="73"/>
        <v>0</v>
      </c>
      <c r="W76" s="88">
        <f t="shared" si="73"/>
        <v>0</v>
      </c>
    </row>
    <row r="77" spans="2:23" s="96" customFormat="1" x14ac:dyDescent="0.25">
      <c r="B77" s="276" t="str">
        <f t="shared" si="71"/>
        <v>GF COOKIE  (VANILLA / CHOCOLATE) NAS</v>
      </c>
      <c r="C77" s="281">
        <f>'Products (RTE) - Retail'!G33</f>
        <v>2.2116899999999999</v>
      </c>
      <c r="D77" s="88">
        <f t="shared" ref="D77:W77" si="74">$C77*D10</f>
        <v>0</v>
      </c>
      <c r="E77" s="88">
        <f t="shared" si="74"/>
        <v>0</v>
      </c>
      <c r="F77" s="88">
        <f t="shared" si="74"/>
        <v>0</v>
      </c>
      <c r="G77" s="88">
        <f t="shared" si="74"/>
        <v>0</v>
      </c>
      <c r="H77" s="88">
        <f t="shared" si="74"/>
        <v>0</v>
      </c>
      <c r="I77" s="88">
        <f t="shared" si="74"/>
        <v>0</v>
      </c>
      <c r="J77" s="88">
        <f t="shared" si="74"/>
        <v>0</v>
      </c>
      <c r="K77" s="88">
        <f t="shared" si="74"/>
        <v>0</v>
      </c>
      <c r="L77" s="88">
        <f t="shared" si="74"/>
        <v>0</v>
      </c>
      <c r="M77" s="88">
        <f t="shared" si="74"/>
        <v>0</v>
      </c>
      <c r="N77" s="88">
        <f t="shared" si="74"/>
        <v>0</v>
      </c>
      <c r="O77" s="88">
        <f t="shared" si="74"/>
        <v>0</v>
      </c>
      <c r="P77" s="88">
        <f t="shared" si="74"/>
        <v>0</v>
      </c>
      <c r="Q77" s="88">
        <f t="shared" si="74"/>
        <v>0</v>
      </c>
      <c r="R77" s="88">
        <f t="shared" si="74"/>
        <v>0</v>
      </c>
      <c r="S77" s="88">
        <f t="shared" si="74"/>
        <v>0</v>
      </c>
      <c r="T77" s="88">
        <f t="shared" si="74"/>
        <v>0</v>
      </c>
      <c r="U77" s="88">
        <f t="shared" si="74"/>
        <v>0</v>
      </c>
      <c r="V77" s="88">
        <f t="shared" si="74"/>
        <v>0</v>
      </c>
      <c r="W77" s="88">
        <f t="shared" si="74"/>
        <v>0</v>
      </c>
    </row>
    <row r="78" spans="2:23" s="96" customFormat="1" x14ac:dyDescent="0.25">
      <c r="B78" s="276" t="str">
        <f t="shared" si="71"/>
        <v>MULTIGRAN COOKIE</v>
      </c>
      <c r="C78" s="281">
        <f>'Products (RTE) - Retail'!H33</f>
        <v>1.3270139999999999</v>
      </c>
      <c r="D78" s="88">
        <f t="shared" ref="D78:W78" si="75">$C78*D11</f>
        <v>0</v>
      </c>
      <c r="E78" s="88">
        <f t="shared" si="75"/>
        <v>0</v>
      </c>
      <c r="F78" s="88">
        <f t="shared" si="75"/>
        <v>0</v>
      </c>
      <c r="G78" s="88">
        <f t="shared" si="75"/>
        <v>0</v>
      </c>
      <c r="H78" s="88">
        <f t="shared" si="75"/>
        <v>0</v>
      </c>
      <c r="I78" s="88">
        <f t="shared" si="75"/>
        <v>0</v>
      </c>
      <c r="J78" s="88">
        <f t="shared" si="75"/>
        <v>0</v>
      </c>
      <c r="K78" s="88">
        <f t="shared" si="75"/>
        <v>0</v>
      </c>
      <c r="L78" s="88">
        <f t="shared" si="75"/>
        <v>0</v>
      </c>
      <c r="M78" s="88">
        <f t="shared" si="75"/>
        <v>0</v>
      </c>
      <c r="N78" s="88">
        <f t="shared" si="75"/>
        <v>0</v>
      </c>
      <c r="O78" s="88">
        <f t="shared" si="75"/>
        <v>0</v>
      </c>
      <c r="P78" s="88">
        <f t="shared" si="75"/>
        <v>0</v>
      </c>
      <c r="Q78" s="88">
        <f t="shared" si="75"/>
        <v>0</v>
      </c>
      <c r="R78" s="88">
        <f t="shared" si="75"/>
        <v>0</v>
      </c>
      <c r="S78" s="88">
        <f t="shared" si="75"/>
        <v>0</v>
      </c>
      <c r="T78" s="88">
        <f t="shared" si="75"/>
        <v>0</v>
      </c>
      <c r="U78" s="88">
        <f t="shared" si="75"/>
        <v>0</v>
      </c>
      <c r="V78" s="88">
        <f t="shared" si="75"/>
        <v>0</v>
      </c>
      <c r="W78" s="88">
        <f t="shared" si="75"/>
        <v>0</v>
      </c>
    </row>
    <row r="79" spans="2:23" s="96" customFormat="1" x14ac:dyDescent="0.25">
      <c r="B79" s="276" t="str">
        <f t="shared" si="71"/>
        <v>MULTIGRAN JAGGERY COOKIE</v>
      </c>
      <c r="C79" s="281">
        <f>'Products (RTE) - Retail'!I33</f>
        <v>1.4007263999999999</v>
      </c>
      <c r="D79" s="88">
        <f t="shared" ref="D79:W79" si="76">$C79*D12</f>
        <v>0</v>
      </c>
      <c r="E79" s="88">
        <f t="shared" si="76"/>
        <v>0</v>
      </c>
      <c r="F79" s="88">
        <f t="shared" si="76"/>
        <v>0</v>
      </c>
      <c r="G79" s="88">
        <f t="shared" si="76"/>
        <v>0</v>
      </c>
      <c r="H79" s="88">
        <f t="shared" si="76"/>
        <v>0</v>
      </c>
      <c r="I79" s="88">
        <f t="shared" si="76"/>
        <v>0</v>
      </c>
      <c r="J79" s="88">
        <f t="shared" si="76"/>
        <v>0</v>
      </c>
      <c r="K79" s="88">
        <f t="shared" si="76"/>
        <v>0</v>
      </c>
      <c r="L79" s="88">
        <f t="shared" si="76"/>
        <v>0</v>
      </c>
      <c r="M79" s="88">
        <f t="shared" si="76"/>
        <v>0</v>
      </c>
      <c r="N79" s="88">
        <f t="shared" si="76"/>
        <v>0</v>
      </c>
      <c r="O79" s="88">
        <f t="shared" si="76"/>
        <v>0</v>
      </c>
      <c r="P79" s="88">
        <f t="shared" si="76"/>
        <v>0</v>
      </c>
      <c r="Q79" s="88">
        <f t="shared" si="76"/>
        <v>0</v>
      </c>
      <c r="R79" s="88">
        <f t="shared" si="76"/>
        <v>0</v>
      </c>
      <c r="S79" s="88">
        <f t="shared" si="76"/>
        <v>0</v>
      </c>
      <c r="T79" s="88">
        <f t="shared" si="76"/>
        <v>0</v>
      </c>
      <c r="U79" s="88">
        <f t="shared" si="76"/>
        <v>0</v>
      </c>
      <c r="V79" s="88">
        <f t="shared" si="76"/>
        <v>0</v>
      </c>
      <c r="W79" s="88">
        <f t="shared" si="76"/>
        <v>0</v>
      </c>
    </row>
    <row r="80" spans="2:23" s="96" customFormat="1" x14ac:dyDescent="0.25">
      <c r="B80" s="276" t="str">
        <f t="shared" si="71"/>
        <v>GF BREAD  (BROWN / WHITE)</v>
      </c>
      <c r="C80" s="281">
        <f>'Products (RTE) - Retail'!J33</f>
        <v>3.8001</v>
      </c>
      <c r="D80" s="88">
        <f t="shared" ref="D80:W80" si="77">$C80*D13</f>
        <v>0</v>
      </c>
      <c r="E80" s="88">
        <f t="shared" si="77"/>
        <v>0</v>
      </c>
      <c r="F80" s="88">
        <f t="shared" si="77"/>
        <v>0</v>
      </c>
      <c r="G80" s="88">
        <f t="shared" si="77"/>
        <v>0</v>
      </c>
      <c r="H80" s="88">
        <f t="shared" si="77"/>
        <v>0</v>
      </c>
      <c r="I80" s="88">
        <f t="shared" si="77"/>
        <v>0</v>
      </c>
      <c r="J80" s="88">
        <f t="shared" si="77"/>
        <v>0</v>
      </c>
      <c r="K80" s="88">
        <f t="shared" si="77"/>
        <v>0</v>
      </c>
      <c r="L80" s="88">
        <f t="shared" si="77"/>
        <v>0</v>
      </c>
      <c r="M80" s="88">
        <f t="shared" si="77"/>
        <v>0</v>
      </c>
      <c r="N80" s="88">
        <f t="shared" si="77"/>
        <v>0</v>
      </c>
      <c r="O80" s="88">
        <f t="shared" si="77"/>
        <v>0</v>
      </c>
      <c r="P80" s="88">
        <f t="shared" si="77"/>
        <v>0</v>
      </c>
      <c r="Q80" s="88">
        <f t="shared" si="77"/>
        <v>0</v>
      </c>
      <c r="R80" s="88">
        <f t="shared" si="77"/>
        <v>0</v>
      </c>
      <c r="S80" s="88">
        <f t="shared" si="77"/>
        <v>0</v>
      </c>
      <c r="T80" s="88">
        <f t="shared" si="77"/>
        <v>0</v>
      </c>
      <c r="U80" s="88">
        <f t="shared" si="77"/>
        <v>0</v>
      </c>
      <c r="V80" s="88">
        <f t="shared" si="77"/>
        <v>0</v>
      </c>
      <c r="W80" s="88">
        <f t="shared" si="77"/>
        <v>0</v>
      </c>
    </row>
    <row r="81" spans="2:23" s="96" customFormat="1" x14ac:dyDescent="0.25">
      <c r="B81" s="276" t="str">
        <f t="shared" si="71"/>
        <v>GF TORTILLOS   (Pieces)</v>
      </c>
      <c r="C81" s="281">
        <f>'Products (RTE) - Retail'!K33</f>
        <v>4.1490731999999992</v>
      </c>
      <c r="D81" s="88">
        <f t="shared" ref="D81:W81" si="78">$C81*D14</f>
        <v>0</v>
      </c>
      <c r="E81" s="88">
        <f t="shared" si="78"/>
        <v>0</v>
      </c>
      <c r="F81" s="88">
        <f t="shared" si="78"/>
        <v>0</v>
      </c>
      <c r="G81" s="88">
        <f t="shared" si="78"/>
        <v>0</v>
      </c>
      <c r="H81" s="88">
        <f t="shared" si="78"/>
        <v>0</v>
      </c>
      <c r="I81" s="88">
        <f t="shared" si="78"/>
        <v>0</v>
      </c>
      <c r="J81" s="88">
        <f t="shared" si="78"/>
        <v>0</v>
      </c>
      <c r="K81" s="88">
        <f t="shared" si="78"/>
        <v>0</v>
      </c>
      <c r="L81" s="88">
        <f t="shared" si="78"/>
        <v>0</v>
      </c>
      <c r="M81" s="88">
        <f t="shared" si="78"/>
        <v>0</v>
      </c>
      <c r="N81" s="88">
        <f t="shared" si="78"/>
        <v>0</v>
      </c>
      <c r="O81" s="88">
        <f t="shared" si="78"/>
        <v>0</v>
      </c>
      <c r="P81" s="88">
        <f t="shared" si="78"/>
        <v>0</v>
      </c>
      <c r="Q81" s="88">
        <f t="shared" si="78"/>
        <v>0</v>
      </c>
      <c r="R81" s="88">
        <f t="shared" si="78"/>
        <v>0</v>
      </c>
      <c r="S81" s="88">
        <f t="shared" si="78"/>
        <v>0</v>
      </c>
      <c r="T81" s="88">
        <f t="shared" si="78"/>
        <v>0</v>
      </c>
      <c r="U81" s="88">
        <f t="shared" si="78"/>
        <v>0</v>
      </c>
      <c r="V81" s="88">
        <f t="shared" si="78"/>
        <v>0</v>
      </c>
      <c r="W81" s="88">
        <f t="shared" si="78"/>
        <v>0</v>
      </c>
    </row>
    <row r="82" spans="2:23" s="96" customFormat="1" x14ac:dyDescent="0.25">
      <c r="B82" s="276" t="str">
        <f t="shared" si="71"/>
        <v>PASTA</v>
      </c>
      <c r="C82" s="281">
        <f>'Products (RTE) - Retail'!L33</f>
        <v>3.174912</v>
      </c>
      <c r="D82" s="88">
        <f t="shared" ref="D82:W82" si="79">$C82*D15</f>
        <v>0</v>
      </c>
      <c r="E82" s="88">
        <f t="shared" si="79"/>
        <v>0</v>
      </c>
      <c r="F82" s="88">
        <f t="shared" si="79"/>
        <v>0</v>
      </c>
      <c r="G82" s="88">
        <f t="shared" si="79"/>
        <v>0</v>
      </c>
      <c r="H82" s="88">
        <f t="shared" si="79"/>
        <v>0</v>
      </c>
      <c r="I82" s="88">
        <f t="shared" si="79"/>
        <v>0</v>
      </c>
      <c r="J82" s="88">
        <f t="shared" si="79"/>
        <v>0</v>
      </c>
      <c r="K82" s="88">
        <f t="shared" si="79"/>
        <v>0</v>
      </c>
      <c r="L82" s="88">
        <f t="shared" si="79"/>
        <v>0</v>
      </c>
      <c r="M82" s="88">
        <f t="shared" si="79"/>
        <v>0</v>
      </c>
      <c r="N82" s="88">
        <f t="shared" si="79"/>
        <v>0</v>
      </c>
      <c r="O82" s="88">
        <f t="shared" si="79"/>
        <v>0</v>
      </c>
      <c r="P82" s="88">
        <f t="shared" si="79"/>
        <v>0</v>
      </c>
      <c r="Q82" s="88">
        <f t="shared" si="79"/>
        <v>0</v>
      </c>
      <c r="R82" s="88">
        <f t="shared" si="79"/>
        <v>0</v>
      </c>
      <c r="S82" s="88">
        <f t="shared" si="79"/>
        <v>0</v>
      </c>
      <c r="T82" s="88">
        <f t="shared" si="79"/>
        <v>0</v>
      </c>
      <c r="U82" s="88">
        <f t="shared" si="79"/>
        <v>0</v>
      </c>
      <c r="V82" s="88">
        <f t="shared" si="79"/>
        <v>0</v>
      </c>
      <c r="W82" s="88">
        <f t="shared" si="79"/>
        <v>0</v>
      </c>
    </row>
    <row r="83" spans="2:23" s="96" customFormat="1" x14ac:dyDescent="0.25">
      <c r="B83" s="276" t="str">
        <f t="shared" si="71"/>
        <v>CUP O PASTA</v>
      </c>
      <c r="C83" s="281">
        <f>'Products (RTE) - Retail'!M33</f>
        <v>1.360722</v>
      </c>
      <c r="D83" s="88">
        <f t="shared" ref="D83:W83" si="80">$C83*D16</f>
        <v>0</v>
      </c>
      <c r="E83" s="88">
        <f t="shared" si="80"/>
        <v>0</v>
      </c>
      <c r="F83" s="88">
        <f t="shared" si="80"/>
        <v>0</v>
      </c>
      <c r="G83" s="88">
        <f t="shared" si="80"/>
        <v>0</v>
      </c>
      <c r="H83" s="88">
        <f t="shared" si="80"/>
        <v>0</v>
      </c>
      <c r="I83" s="88">
        <f t="shared" si="80"/>
        <v>0</v>
      </c>
      <c r="J83" s="88">
        <f t="shared" si="80"/>
        <v>0</v>
      </c>
      <c r="K83" s="88">
        <f t="shared" si="80"/>
        <v>0</v>
      </c>
      <c r="L83" s="88">
        <f t="shared" si="80"/>
        <v>0</v>
      </c>
      <c r="M83" s="88">
        <f t="shared" si="80"/>
        <v>0</v>
      </c>
      <c r="N83" s="88">
        <f t="shared" si="80"/>
        <v>0</v>
      </c>
      <c r="O83" s="88">
        <f t="shared" si="80"/>
        <v>0</v>
      </c>
      <c r="P83" s="88">
        <f t="shared" si="80"/>
        <v>0</v>
      </c>
      <c r="Q83" s="88">
        <f t="shared" si="80"/>
        <v>0</v>
      </c>
      <c r="R83" s="88">
        <f t="shared" si="80"/>
        <v>0</v>
      </c>
      <c r="S83" s="88">
        <f t="shared" si="80"/>
        <v>0</v>
      </c>
      <c r="T83" s="88">
        <f t="shared" si="80"/>
        <v>0</v>
      </c>
      <c r="U83" s="88">
        <f t="shared" si="80"/>
        <v>0</v>
      </c>
      <c r="V83" s="88">
        <f t="shared" si="80"/>
        <v>0</v>
      </c>
      <c r="W83" s="88">
        <f t="shared" si="80"/>
        <v>0</v>
      </c>
    </row>
    <row r="84" spans="2:23" s="96" customFormat="1" x14ac:dyDescent="0.25">
      <c r="B84" s="288" t="s">
        <v>378</v>
      </c>
      <c r="C84" s="281"/>
      <c r="D84" s="78">
        <f>SUM(D74:D83)</f>
        <v>0</v>
      </c>
      <c r="E84" s="78">
        <f t="shared" ref="E84:U84" si="81">SUM(E74:E83)</f>
        <v>0</v>
      </c>
      <c r="F84" s="78">
        <f t="shared" si="81"/>
        <v>0</v>
      </c>
      <c r="G84" s="78">
        <f t="shared" si="81"/>
        <v>0</v>
      </c>
      <c r="H84" s="78">
        <f t="shared" si="81"/>
        <v>0</v>
      </c>
      <c r="I84" s="78">
        <f t="shared" si="81"/>
        <v>0</v>
      </c>
      <c r="J84" s="78">
        <f t="shared" si="81"/>
        <v>0</v>
      </c>
      <c r="K84" s="78">
        <f t="shared" si="81"/>
        <v>0</v>
      </c>
      <c r="L84" s="78">
        <f t="shared" si="81"/>
        <v>0</v>
      </c>
      <c r="M84" s="78">
        <f t="shared" si="81"/>
        <v>0</v>
      </c>
      <c r="N84" s="78">
        <f t="shared" si="81"/>
        <v>0</v>
      </c>
      <c r="O84" s="78">
        <f t="shared" si="81"/>
        <v>0</v>
      </c>
      <c r="P84" s="78">
        <f t="shared" si="81"/>
        <v>0</v>
      </c>
      <c r="Q84" s="78">
        <f t="shared" si="81"/>
        <v>0</v>
      </c>
      <c r="R84" s="78">
        <f t="shared" si="81"/>
        <v>0</v>
      </c>
      <c r="S84" s="78">
        <f t="shared" si="81"/>
        <v>0</v>
      </c>
      <c r="T84" s="78">
        <f t="shared" si="81"/>
        <v>0</v>
      </c>
      <c r="U84" s="78">
        <f t="shared" si="81"/>
        <v>0</v>
      </c>
      <c r="V84" s="78">
        <f>SUM(V74:V83)</f>
        <v>0</v>
      </c>
      <c r="W84" s="78">
        <f>SUM(W74:W83)</f>
        <v>0</v>
      </c>
    </row>
    <row r="85" spans="2:23" s="96" customFormat="1" x14ac:dyDescent="0.25">
      <c r="B85" s="288"/>
      <c r="C85" s="281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2:23" x14ac:dyDescent="0.25">
      <c r="B86" s="222"/>
      <c r="C86" s="282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</row>
    <row r="88" spans="2:23" ht="18" x14ac:dyDescent="0.25">
      <c r="B88" s="217" t="s">
        <v>319</v>
      </c>
      <c r="C88" s="284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23" x14ac:dyDescent="0.25">
      <c r="B89" s="100" t="s">
        <v>117</v>
      </c>
      <c r="C89" s="285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23" ht="45" x14ac:dyDescent="0.25">
      <c r="B90" s="216" t="s">
        <v>320</v>
      </c>
      <c r="C90" s="286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</row>
    <row r="91" spans="2:23" x14ac:dyDescent="0.25">
      <c r="B91" s="95"/>
      <c r="C91" s="287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</row>
    <row r="92" spans="2:23" x14ac:dyDescent="0.25">
      <c r="B92" s="95"/>
      <c r="C92" s="287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</row>
    <row r="93" spans="2:23" x14ac:dyDescent="0.25">
      <c r="B93" s="95"/>
      <c r="C93" s="287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</row>
    <row r="94" spans="2:23" x14ac:dyDescent="0.25">
      <c r="B94" s="95"/>
      <c r="C94" s="287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8"/>
      <c r="O94" s="98"/>
    </row>
  </sheetData>
  <mergeCells count="5">
    <mergeCell ref="D4:G4"/>
    <mergeCell ref="H4:K4"/>
    <mergeCell ref="L4:O4"/>
    <mergeCell ref="P4:S4"/>
    <mergeCell ref="T4:W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75"/>
  <sheetViews>
    <sheetView showGridLines="0" zoomScale="90" zoomScaleNormal="9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" style="94" customWidth="1"/>
    <col min="2" max="2" width="46" style="96" customWidth="1"/>
    <col min="3" max="3" width="12.140625" style="283" customWidth="1"/>
    <col min="4" max="4" width="12.7109375" style="283" bestFit="1" customWidth="1"/>
    <col min="5" max="5" width="14.28515625" style="283" bestFit="1" customWidth="1"/>
    <col min="6" max="10" width="12.7109375" style="94" bestFit="1" customWidth="1"/>
    <col min="11" max="11" width="13.85546875" style="94" bestFit="1" customWidth="1"/>
    <col min="12" max="14" width="12.7109375" style="94" bestFit="1" customWidth="1"/>
    <col min="15" max="15" width="13.85546875" style="94" bestFit="1" customWidth="1"/>
    <col min="16" max="18" width="12.7109375" style="94" bestFit="1" customWidth="1"/>
    <col min="19" max="19" width="13.85546875" style="94" bestFit="1" customWidth="1"/>
    <col min="20" max="22" width="12.7109375" style="94" bestFit="1" customWidth="1"/>
    <col min="23" max="23" width="13.85546875" style="94" bestFit="1" customWidth="1"/>
    <col min="24" max="24" width="13.28515625" style="94" bestFit="1" customWidth="1"/>
    <col min="25" max="16384" width="9.140625" style="94"/>
  </cols>
  <sheetData>
    <row r="1" spans="1:24" s="495" customFormat="1" x14ac:dyDescent="0.25">
      <c r="A1" s="542" t="str">
        <f>Summary!A1</f>
        <v>ABC Nutri foods</v>
      </c>
      <c r="B1" s="494"/>
    </row>
    <row r="2" spans="1:24" s="497" customFormat="1" x14ac:dyDescent="0.25">
      <c r="A2" s="493" t="s">
        <v>458</v>
      </c>
      <c r="B2" s="496"/>
    </row>
    <row r="4" spans="1:24" x14ac:dyDescent="0.25">
      <c r="B4" s="115"/>
      <c r="C4" s="279"/>
      <c r="D4" s="632" t="s">
        <v>104</v>
      </c>
      <c r="E4" s="633"/>
      <c r="F4" s="633"/>
      <c r="G4" s="634"/>
      <c r="H4" s="632" t="s">
        <v>105</v>
      </c>
      <c r="I4" s="633"/>
      <c r="J4" s="633"/>
      <c r="K4" s="634"/>
      <c r="L4" s="632" t="s">
        <v>139</v>
      </c>
      <c r="M4" s="633"/>
      <c r="N4" s="633"/>
      <c r="O4" s="634"/>
      <c r="P4" s="632" t="s">
        <v>140</v>
      </c>
      <c r="Q4" s="633"/>
      <c r="R4" s="633"/>
      <c r="S4" s="634"/>
      <c r="T4" s="632" t="s">
        <v>407</v>
      </c>
      <c r="U4" s="633"/>
      <c r="V4" s="633"/>
      <c r="W4" s="634"/>
    </row>
    <row r="5" spans="1:24" s="118" customFormat="1" x14ac:dyDescent="0.25">
      <c r="B5" s="117" t="s">
        <v>2</v>
      </c>
      <c r="C5" s="280" t="s">
        <v>374</v>
      </c>
      <c r="D5" s="117" t="s">
        <v>106</v>
      </c>
      <c r="E5" s="117" t="s">
        <v>107</v>
      </c>
      <c r="F5" s="117" t="s">
        <v>108</v>
      </c>
      <c r="G5" s="117" t="s">
        <v>109</v>
      </c>
      <c r="H5" s="117" t="s">
        <v>110</v>
      </c>
      <c r="I5" s="117" t="s">
        <v>111</v>
      </c>
      <c r="J5" s="117" t="s">
        <v>112</v>
      </c>
      <c r="K5" s="117" t="s">
        <v>113</v>
      </c>
      <c r="L5" s="117" t="s">
        <v>141</v>
      </c>
      <c r="M5" s="117" t="s">
        <v>142</v>
      </c>
      <c r="N5" s="117" t="s">
        <v>143</v>
      </c>
      <c r="O5" s="117" t="s">
        <v>144</v>
      </c>
      <c r="P5" s="117" t="s">
        <v>183</v>
      </c>
      <c r="Q5" s="117" t="s">
        <v>184</v>
      </c>
      <c r="R5" s="117" t="s">
        <v>185</v>
      </c>
      <c r="S5" s="117" t="s">
        <v>186</v>
      </c>
      <c r="T5" s="117" t="s">
        <v>408</v>
      </c>
      <c r="U5" s="117" t="s">
        <v>409</v>
      </c>
      <c r="V5" s="117" t="s">
        <v>410</v>
      </c>
      <c r="W5" s="117" t="s">
        <v>411</v>
      </c>
    </row>
    <row r="6" spans="1:24" s="118" customFormat="1" x14ac:dyDescent="0.25">
      <c r="B6" s="219" t="s">
        <v>145</v>
      </c>
      <c r="C6" s="281"/>
      <c r="D6" s="294">
        <v>1000</v>
      </c>
      <c r="E6" s="294">
        <v>58000</v>
      </c>
      <c r="F6" s="294">
        <v>60000</v>
      </c>
      <c r="G6" s="294">
        <v>70000</v>
      </c>
      <c r="H6" s="294">
        <v>150000</v>
      </c>
      <c r="I6" s="89">
        <f t="shared" ref="I6:U6" si="0">H6*(1+I9)</f>
        <v>172500</v>
      </c>
      <c r="J6" s="89">
        <f t="shared" si="0"/>
        <v>198374.99999999997</v>
      </c>
      <c r="K6" s="89">
        <f t="shared" si="0"/>
        <v>228131.24999999994</v>
      </c>
      <c r="L6" s="89">
        <f t="shared" si="0"/>
        <v>250944.37499999994</v>
      </c>
      <c r="M6" s="89">
        <f t="shared" si="0"/>
        <v>276038.81249999994</v>
      </c>
      <c r="N6" s="89">
        <f t="shared" si="0"/>
        <v>303642.69374999998</v>
      </c>
      <c r="O6" s="89">
        <f t="shared" si="0"/>
        <v>334006.96312500001</v>
      </c>
      <c r="P6" s="89">
        <f t="shared" si="0"/>
        <v>360727.52017500001</v>
      </c>
      <c r="Q6" s="89">
        <f t="shared" si="0"/>
        <v>389585.72178900003</v>
      </c>
      <c r="R6" s="89">
        <f t="shared" si="0"/>
        <v>420752.57953212009</v>
      </c>
      <c r="S6" s="89">
        <f t="shared" si="0"/>
        <v>454412.78589468973</v>
      </c>
      <c r="T6" s="89">
        <f t="shared" si="0"/>
        <v>477133.42518942425</v>
      </c>
      <c r="U6" s="89">
        <f t="shared" si="0"/>
        <v>500990.09644889546</v>
      </c>
      <c r="V6" s="89">
        <f>U6*(1+V9)</f>
        <v>526039.60127134027</v>
      </c>
      <c r="W6" s="89">
        <f>V6*(1+W9)</f>
        <v>552341.58133490733</v>
      </c>
    </row>
    <row r="7" spans="1:24" s="96" customFormat="1" x14ac:dyDescent="0.25">
      <c r="B7" s="219" t="s">
        <v>321</v>
      </c>
      <c r="C7" s="281"/>
      <c r="D7" s="88">
        <f>SUM(D6:D6)</f>
        <v>1000</v>
      </c>
      <c r="E7" s="88">
        <f>SUM(E6:E6)</f>
        <v>58000</v>
      </c>
      <c r="F7" s="88">
        <f t="shared" ref="F7:U7" si="1">SUM(F6:F6)</f>
        <v>60000</v>
      </c>
      <c r="G7" s="88">
        <f t="shared" si="1"/>
        <v>70000</v>
      </c>
      <c r="H7" s="88">
        <f t="shared" si="1"/>
        <v>150000</v>
      </c>
      <c r="I7" s="88">
        <f t="shared" si="1"/>
        <v>172500</v>
      </c>
      <c r="J7" s="88">
        <f t="shared" si="1"/>
        <v>198374.99999999997</v>
      </c>
      <c r="K7" s="88">
        <f t="shared" si="1"/>
        <v>228131.24999999994</v>
      </c>
      <c r="L7" s="88">
        <f t="shared" si="1"/>
        <v>250944.37499999994</v>
      </c>
      <c r="M7" s="88">
        <f t="shared" si="1"/>
        <v>276038.81249999994</v>
      </c>
      <c r="N7" s="88">
        <f t="shared" si="1"/>
        <v>303642.69374999998</v>
      </c>
      <c r="O7" s="88">
        <f t="shared" si="1"/>
        <v>334006.96312500001</v>
      </c>
      <c r="P7" s="88">
        <f t="shared" si="1"/>
        <v>360727.52017500001</v>
      </c>
      <c r="Q7" s="88">
        <f t="shared" si="1"/>
        <v>389585.72178900003</v>
      </c>
      <c r="R7" s="88">
        <f t="shared" si="1"/>
        <v>420752.57953212009</v>
      </c>
      <c r="S7" s="88">
        <f t="shared" si="1"/>
        <v>454412.78589468973</v>
      </c>
      <c r="T7" s="88">
        <f t="shared" si="1"/>
        <v>477133.42518942425</v>
      </c>
      <c r="U7" s="88">
        <f t="shared" si="1"/>
        <v>500990.09644889546</v>
      </c>
      <c r="V7" s="88">
        <f>SUM(V6:V6)</f>
        <v>526039.60127134027</v>
      </c>
      <c r="W7" s="88">
        <f>SUM(W6:W6)</f>
        <v>552341.58133490733</v>
      </c>
      <c r="X7" s="118"/>
    </row>
    <row r="8" spans="1:24" s="96" customFormat="1" x14ac:dyDescent="0.25">
      <c r="B8" s="431" t="s">
        <v>582</v>
      </c>
      <c r="C8" s="281"/>
      <c r="D8" s="88">
        <f>D7/3</f>
        <v>333.33333333333331</v>
      </c>
      <c r="E8" s="88">
        <f>E7/3</f>
        <v>19333.333333333332</v>
      </c>
      <c r="F8" s="88">
        <f>F7/3</f>
        <v>20000</v>
      </c>
      <c r="G8" s="88">
        <f t="shared" ref="G8:W8" si="2">G7/3</f>
        <v>23333.333333333332</v>
      </c>
      <c r="H8" s="88">
        <f t="shared" si="2"/>
        <v>50000</v>
      </c>
      <c r="I8" s="88">
        <f t="shared" si="2"/>
        <v>57500</v>
      </c>
      <c r="J8" s="88">
        <f t="shared" si="2"/>
        <v>66124.999999999985</v>
      </c>
      <c r="K8" s="88">
        <f t="shared" si="2"/>
        <v>76043.749999999985</v>
      </c>
      <c r="L8" s="88">
        <f t="shared" si="2"/>
        <v>83648.124999999985</v>
      </c>
      <c r="M8" s="88">
        <f t="shared" si="2"/>
        <v>92012.937499999985</v>
      </c>
      <c r="N8" s="88">
        <f t="shared" si="2"/>
        <v>101214.23125</v>
      </c>
      <c r="O8" s="88">
        <f t="shared" si="2"/>
        <v>111335.654375</v>
      </c>
      <c r="P8" s="88">
        <f t="shared" si="2"/>
        <v>120242.506725</v>
      </c>
      <c r="Q8" s="88">
        <f t="shared" si="2"/>
        <v>129861.90726300002</v>
      </c>
      <c r="R8" s="88">
        <f t="shared" si="2"/>
        <v>140250.85984404004</v>
      </c>
      <c r="S8" s="88">
        <f t="shared" si="2"/>
        <v>151470.92863156323</v>
      </c>
      <c r="T8" s="88">
        <f t="shared" si="2"/>
        <v>159044.47506314141</v>
      </c>
      <c r="U8" s="88">
        <f t="shared" si="2"/>
        <v>166996.69881629848</v>
      </c>
      <c r="V8" s="88">
        <f t="shared" si="2"/>
        <v>175346.53375711342</v>
      </c>
      <c r="W8" s="88">
        <f t="shared" si="2"/>
        <v>184113.86044496912</v>
      </c>
      <c r="X8" s="118"/>
    </row>
    <row r="9" spans="1:24" s="96" customFormat="1" x14ac:dyDescent="0.25">
      <c r="B9" s="219" t="s">
        <v>381</v>
      </c>
      <c r="C9" s="281"/>
      <c r="D9" s="291"/>
      <c r="E9" s="291"/>
      <c r="F9" s="291"/>
      <c r="G9" s="291"/>
      <c r="H9" s="291"/>
      <c r="I9" s="291">
        <v>0.15</v>
      </c>
      <c r="J9" s="291">
        <v>0.15</v>
      </c>
      <c r="K9" s="291">
        <v>0.15</v>
      </c>
      <c r="L9" s="291">
        <v>0.1</v>
      </c>
      <c r="M9" s="291">
        <v>0.1</v>
      </c>
      <c r="N9" s="291">
        <v>0.1</v>
      </c>
      <c r="O9" s="291">
        <v>0.1</v>
      </c>
      <c r="P9" s="291">
        <v>0.08</v>
      </c>
      <c r="Q9" s="291">
        <v>0.08</v>
      </c>
      <c r="R9" s="291">
        <v>0.08</v>
      </c>
      <c r="S9" s="291">
        <v>0.08</v>
      </c>
      <c r="T9" s="291">
        <v>0.05</v>
      </c>
      <c r="U9" s="291">
        <v>0.05</v>
      </c>
      <c r="V9" s="291">
        <v>0.05</v>
      </c>
      <c r="W9" s="291">
        <v>0.05</v>
      </c>
      <c r="X9" s="118"/>
    </row>
    <row r="10" spans="1:24" s="96" customFormat="1" x14ac:dyDescent="0.25">
      <c r="B10" s="431" t="s">
        <v>581</v>
      </c>
      <c r="C10" s="281"/>
      <c r="D10" s="88"/>
      <c r="E10" s="88">
        <f>E8-D8</f>
        <v>19000</v>
      </c>
      <c r="F10" s="88">
        <f>F8-E8</f>
        <v>666.66666666666788</v>
      </c>
      <c r="G10" s="88">
        <f>G8-F8</f>
        <v>3333.3333333333321</v>
      </c>
      <c r="H10" s="88">
        <f t="shared" ref="H10:W10" si="3">H8-G8</f>
        <v>26666.666666666668</v>
      </c>
      <c r="I10" s="88">
        <f t="shared" si="3"/>
        <v>7500</v>
      </c>
      <c r="J10" s="88">
        <f t="shared" si="3"/>
        <v>8624.9999999999854</v>
      </c>
      <c r="K10" s="88">
        <f t="shared" si="3"/>
        <v>9918.75</v>
      </c>
      <c r="L10" s="88">
        <f t="shared" si="3"/>
        <v>7604.375</v>
      </c>
      <c r="M10" s="88">
        <f t="shared" si="3"/>
        <v>8364.8125</v>
      </c>
      <c r="N10" s="88">
        <f t="shared" si="3"/>
        <v>9201.2937500000116</v>
      </c>
      <c r="O10" s="88">
        <f t="shared" si="3"/>
        <v>10121.423125000001</v>
      </c>
      <c r="P10" s="88">
        <f t="shared" si="3"/>
        <v>8906.852350000001</v>
      </c>
      <c r="Q10" s="88">
        <f t="shared" si="3"/>
        <v>9619.4005380000162</v>
      </c>
      <c r="R10" s="88">
        <f t="shared" si="3"/>
        <v>10388.952581040023</v>
      </c>
      <c r="S10" s="88">
        <f t="shared" si="3"/>
        <v>11220.068787523196</v>
      </c>
      <c r="T10" s="88">
        <f t="shared" si="3"/>
        <v>7573.5464315781719</v>
      </c>
      <c r="U10" s="88">
        <f t="shared" si="3"/>
        <v>7952.2237531570718</v>
      </c>
      <c r="V10" s="88">
        <f t="shared" si="3"/>
        <v>8349.834940814937</v>
      </c>
      <c r="W10" s="88">
        <f t="shared" si="3"/>
        <v>8767.3266878557042</v>
      </c>
      <c r="X10" s="118"/>
    </row>
    <row r="11" spans="1:24" s="96" customFormat="1" x14ac:dyDescent="0.25">
      <c r="B11" s="219" t="s">
        <v>369</v>
      </c>
      <c r="C11" s="281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118"/>
    </row>
    <row r="12" spans="1:24" s="96" customFormat="1" x14ac:dyDescent="0.25">
      <c r="B12" s="276" t="str">
        <f t="shared" ref="B12:B19" si="4">B23</f>
        <v>Cake Premix - APF (All Purpose Flour)</v>
      </c>
      <c r="C12" s="281">
        <f>'Products (Premixes)'!K6</f>
        <v>165.5</v>
      </c>
      <c r="D12" s="88">
        <f t="shared" ref="D12:O12" si="5">D$7*D23</f>
        <v>0</v>
      </c>
      <c r="E12" s="88">
        <f t="shared" si="5"/>
        <v>51620</v>
      </c>
      <c r="F12" s="88">
        <f t="shared" si="5"/>
        <v>52800</v>
      </c>
      <c r="G12" s="88">
        <f t="shared" si="5"/>
        <v>47600</v>
      </c>
      <c r="H12" s="88">
        <f t="shared" si="5"/>
        <v>85499.999999999985</v>
      </c>
      <c r="I12" s="88">
        <f t="shared" si="5"/>
        <v>94874.999999999985</v>
      </c>
      <c r="J12" s="88">
        <f t="shared" si="5"/>
        <v>107122.49999999999</v>
      </c>
      <c r="K12" s="88">
        <f t="shared" si="5"/>
        <v>120909.56249999997</v>
      </c>
      <c r="L12" s="88">
        <f t="shared" si="5"/>
        <v>127981.63124999998</v>
      </c>
      <c r="M12" s="88">
        <f t="shared" si="5"/>
        <v>138019.40624999997</v>
      </c>
      <c r="N12" s="88">
        <f t="shared" si="5"/>
        <v>145748.49299999999</v>
      </c>
      <c r="O12" s="88">
        <f t="shared" si="5"/>
        <v>156983.27266875</v>
      </c>
      <c r="P12" s="88">
        <f t="shared" ref="P12:W12" si="6">P$7*P23</f>
        <v>165934.65928050003</v>
      </c>
      <c r="Q12" s="88">
        <f t="shared" si="6"/>
        <v>175313.57480505001</v>
      </c>
      <c r="R12" s="88">
        <f t="shared" si="6"/>
        <v>180923.60919881164</v>
      </c>
      <c r="S12" s="88">
        <f t="shared" si="6"/>
        <v>186309.24221682278</v>
      </c>
      <c r="T12" s="88">
        <f t="shared" si="6"/>
        <v>190853.37007576972</v>
      </c>
      <c r="U12" s="88">
        <f t="shared" si="6"/>
        <v>190376.23665058028</v>
      </c>
      <c r="V12" s="88">
        <f t="shared" si="6"/>
        <v>199895.04848310931</v>
      </c>
      <c r="W12" s="88">
        <f t="shared" si="6"/>
        <v>209889.80090726478</v>
      </c>
      <c r="X12" s="118"/>
    </row>
    <row r="13" spans="1:24" s="96" customFormat="1" x14ac:dyDescent="0.25">
      <c r="B13" s="276" t="str">
        <f t="shared" si="4"/>
        <v>Cake Premix - W 100</v>
      </c>
      <c r="C13" s="281">
        <f>'Products (Premixes)'!K7</f>
        <v>257.25</v>
      </c>
      <c r="D13" s="88">
        <f t="shared" ref="D13:O13" si="7">D$7*D24</f>
        <v>0</v>
      </c>
      <c r="E13" s="88">
        <f t="shared" si="7"/>
        <v>0</v>
      </c>
      <c r="F13" s="88">
        <f t="shared" si="7"/>
        <v>600</v>
      </c>
      <c r="G13" s="88">
        <f t="shared" si="7"/>
        <v>700</v>
      </c>
      <c r="H13" s="88">
        <f t="shared" si="7"/>
        <v>1500</v>
      </c>
      <c r="I13" s="88">
        <f t="shared" si="7"/>
        <v>1725</v>
      </c>
      <c r="J13" s="88">
        <f t="shared" si="7"/>
        <v>1983.7499999999998</v>
      </c>
      <c r="K13" s="88">
        <f t="shared" si="7"/>
        <v>2281.3124999999995</v>
      </c>
      <c r="L13" s="88">
        <f t="shared" si="7"/>
        <v>2509.4437499999995</v>
      </c>
      <c r="M13" s="88">
        <f t="shared" si="7"/>
        <v>2760.3881249999995</v>
      </c>
      <c r="N13" s="88">
        <f t="shared" si="7"/>
        <v>6072.8538749999998</v>
      </c>
      <c r="O13" s="88">
        <f t="shared" si="7"/>
        <v>6680.1392625000008</v>
      </c>
      <c r="P13" s="88">
        <f t="shared" ref="P13:W19" si="8">P$7*P24</f>
        <v>7214.5504035000004</v>
      </c>
      <c r="Q13" s="88">
        <f t="shared" si="8"/>
        <v>7791.7144357800007</v>
      </c>
      <c r="R13" s="88">
        <f t="shared" si="8"/>
        <v>12622.577385963603</v>
      </c>
      <c r="S13" s="88">
        <f t="shared" si="8"/>
        <v>13632.383576840692</v>
      </c>
      <c r="T13" s="88">
        <f t="shared" si="8"/>
        <v>14314.002755682726</v>
      </c>
      <c r="U13" s="88">
        <f t="shared" si="8"/>
        <v>15029.702893466863</v>
      </c>
      <c r="V13" s="88">
        <f t="shared" si="8"/>
        <v>15781.188038140208</v>
      </c>
      <c r="W13" s="88">
        <f t="shared" si="8"/>
        <v>16570.24744004722</v>
      </c>
      <c r="X13" s="118"/>
    </row>
    <row r="14" spans="1:24" s="96" customFormat="1" x14ac:dyDescent="0.25">
      <c r="B14" s="276" t="str">
        <f t="shared" si="4"/>
        <v>Cake Premix - GF</v>
      </c>
      <c r="C14" s="281">
        <f>'Products (Premixes)'!K8</f>
        <v>327.07499999999999</v>
      </c>
      <c r="D14" s="88">
        <f t="shared" ref="D14:O14" si="9">D$7*D25</f>
        <v>300</v>
      </c>
      <c r="E14" s="88">
        <f t="shared" si="9"/>
        <v>2320</v>
      </c>
      <c r="F14" s="88">
        <f t="shared" si="9"/>
        <v>2400</v>
      </c>
      <c r="G14" s="88">
        <f t="shared" si="9"/>
        <v>2800</v>
      </c>
      <c r="H14" s="88">
        <f t="shared" si="9"/>
        <v>6000</v>
      </c>
      <c r="I14" s="88">
        <f t="shared" si="9"/>
        <v>8625</v>
      </c>
      <c r="J14" s="88">
        <f t="shared" si="9"/>
        <v>9918.75</v>
      </c>
      <c r="K14" s="88">
        <f t="shared" si="9"/>
        <v>11406.562499999998</v>
      </c>
      <c r="L14" s="88">
        <f t="shared" si="9"/>
        <v>12547.218749999998</v>
      </c>
      <c r="M14" s="88">
        <f t="shared" si="9"/>
        <v>13801.940624999997</v>
      </c>
      <c r="N14" s="88">
        <f t="shared" si="9"/>
        <v>15182.1346875</v>
      </c>
      <c r="O14" s="88">
        <f t="shared" si="9"/>
        <v>16700.348156250002</v>
      </c>
      <c r="P14" s="88">
        <f t="shared" si="8"/>
        <v>18036.376008750001</v>
      </c>
      <c r="Q14" s="88">
        <f t="shared" si="8"/>
        <v>19479.286089450001</v>
      </c>
      <c r="R14" s="88">
        <f t="shared" si="8"/>
        <v>25245.154771927206</v>
      </c>
      <c r="S14" s="88">
        <f t="shared" si="8"/>
        <v>27264.767153681383</v>
      </c>
      <c r="T14" s="88">
        <f t="shared" si="8"/>
        <v>28628.005511365453</v>
      </c>
      <c r="U14" s="88">
        <f t="shared" si="8"/>
        <v>30059.405786933727</v>
      </c>
      <c r="V14" s="88">
        <f t="shared" si="8"/>
        <v>31562.376076280416</v>
      </c>
      <c r="W14" s="88">
        <f t="shared" si="8"/>
        <v>33140.49488009444</v>
      </c>
      <c r="X14" s="118"/>
    </row>
    <row r="15" spans="1:24" s="96" customFormat="1" x14ac:dyDescent="0.25">
      <c r="B15" s="276" t="str">
        <f t="shared" si="4"/>
        <v>Cake Premix - NAS</v>
      </c>
      <c r="C15" s="281">
        <f>'Products (Premixes)'!K9</f>
        <v>432.07500000000005</v>
      </c>
      <c r="D15" s="88">
        <f t="shared" ref="D15:O15" si="10">D$7*D26</f>
        <v>0</v>
      </c>
      <c r="E15" s="88">
        <f t="shared" si="10"/>
        <v>0</v>
      </c>
      <c r="F15" s="88">
        <f t="shared" si="10"/>
        <v>0</v>
      </c>
      <c r="G15" s="88">
        <f t="shared" si="10"/>
        <v>0</v>
      </c>
      <c r="H15" s="88">
        <f t="shared" si="10"/>
        <v>1500</v>
      </c>
      <c r="I15" s="88">
        <f t="shared" si="10"/>
        <v>1725</v>
      </c>
      <c r="J15" s="88">
        <f t="shared" si="10"/>
        <v>1983.7499999999998</v>
      </c>
      <c r="K15" s="88">
        <f t="shared" si="10"/>
        <v>2281.3124999999995</v>
      </c>
      <c r="L15" s="88">
        <f t="shared" si="10"/>
        <v>2509.4437499999995</v>
      </c>
      <c r="M15" s="88">
        <f t="shared" si="10"/>
        <v>2760.3881249999995</v>
      </c>
      <c r="N15" s="88">
        <f t="shared" si="10"/>
        <v>6072.8538749999998</v>
      </c>
      <c r="O15" s="88">
        <f t="shared" si="10"/>
        <v>6680.1392625000008</v>
      </c>
      <c r="P15" s="88">
        <f t="shared" si="8"/>
        <v>7214.5504035000004</v>
      </c>
      <c r="Q15" s="88">
        <f t="shared" si="8"/>
        <v>7791.7144357800007</v>
      </c>
      <c r="R15" s="88">
        <f t="shared" si="8"/>
        <v>8415.0515906424025</v>
      </c>
      <c r="S15" s="88">
        <f t="shared" si="8"/>
        <v>13632.383576840692</v>
      </c>
      <c r="T15" s="88">
        <f t="shared" si="8"/>
        <v>14314.002755682726</v>
      </c>
      <c r="U15" s="88">
        <f t="shared" si="8"/>
        <v>15029.702893466863</v>
      </c>
      <c r="V15" s="88">
        <f t="shared" si="8"/>
        <v>15781.188038140208</v>
      </c>
      <c r="W15" s="88">
        <f t="shared" si="8"/>
        <v>16570.24744004722</v>
      </c>
      <c r="X15" s="118"/>
    </row>
    <row r="16" spans="1:24" s="96" customFormat="1" x14ac:dyDescent="0.25">
      <c r="B16" s="276" t="str">
        <f t="shared" si="4"/>
        <v>Bread - GF</v>
      </c>
      <c r="C16" s="281">
        <f>'Products (Premixes)'!K10</f>
        <v>351.75</v>
      </c>
      <c r="D16" s="88">
        <f t="shared" ref="D16:O16" si="11">D$7*D27</f>
        <v>700</v>
      </c>
      <c r="E16" s="88">
        <f t="shared" si="11"/>
        <v>4060.0000000000005</v>
      </c>
      <c r="F16" s="88">
        <f t="shared" si="11"/>
        <v>4200</v>
      </c>
      <c r="G16" s="88">
        <f t="shared" si="11"/>
        <v>4900.0000000000009</v>
      </c>
      <c r="H16" s="88">
        <f t="shared" si="11"/>
        <v>10500.000000000002</v>
      </c>
      <c r="I16" s="88">
        <f t="shared" si="11"/>
        <v>12075.000000000002</v>
      </c>
      <c r="J16" s="88">
        <f t="shared" si="11"/>
        <v>13886.25</v>
      </c>
      <c r="K16" s="88">
        <f t="shared" si="11"/>
        <v>15969.187499999998</v>
      </c>
      <c r="L16" s="88">
        <f t="shared" si="11"/>
        <v>17566.106249999997</v>
      </c>
      <c r="M16" s="88">
        <f t="shared" si="11"/>
        <v>19322.716874999998</v>
      </c>
      <c r="N16" s="88">
        <f t="shared" si="11"/>
        <v>21254.988562499999</v>
      </c>
      <c r="O16" s="88">
        <f t="shared" si="11"/>
        <v>23380.487418750003</v>
      </c>
      <c r="P16" s="88">
        <f t="shared" si="8"/>
        <v>25250.926412250003</v>
      </c>
      <c r="Q16" s="88">
        <f t="shared" si="8"/>
        <v>27271.000525230003</v>
      </c>
      <c r="R16" s="88">
        <f t="shared" si="8"/>
        <v>29452.680567248408</v>
      </c>
      <c r="S16" s="88">
        <f t="shared" si="8"/>
        <v>36353.02287157518</v>
      </c>
      <c r="T16" s="88">
        <f t="shared" si="8"/>
        <v>38170.674015153942</v>
      </c>
      <c r="U16" s="88">
        <f t="shared" si="8"/>
        <v>40079.207715911638</v>
      </c>
      <c r="V16" s="88">
        <f t="shared" si="8"/>
        <v>42083.168101707226</v>
      </c>
      <c r="W16" s="88">
        <f t="shared" si="8"/>
        <v>44187.326506792589</v>
      </c>
      <c r="X16" s="118"/>
    </row>
    <row r="17" spans="2:24" s="96" customFormat="1" x14ac:dyDescent="0.25">
      <c r="B17" s="276" t="str">
        <f t="shared" si="4"/>
        <v>Bread Premix - 6 G</v>
      </c>
      <c r="C17" s="281">
        <f>'Products (Premixes)'!K11</f>
        <v>89.25</v>
      </c>
      <c r="D17" s="88">
        <f t="shared" ref="D17:O17" si="12">D$7*D28</f>
        <v>0</v>
      </c>
      <c r="E17" s="88">
        <f t="shared" si="12"/>
        <v>0</v>
      </c>
      <c r="F17" s="88">
        <f t="shared" si="12"/>
        <v>0</v>
      </c>
      <c r="G17" s="88">
        <f t="shared" si="12"/>
        <v>3500</v>
      </c>
      <c r="H17" s="88">
        <f t="shared" si="12"/>
        <v>15000</v>
      </c>
      <c r="I17" s="88">
        <f t="shared" si="12"/>
        <v>17250</v>
      </c>
      <c r="J17" s="88">
        <f t="shared" si="12"/>
        <v>21821.249999999996</v>
      </c>
      <c r="K17" s="88">
        <f t="shared" si="12"/>
        <v>25094.437499999993</v>
      </c>
      <c r="L17" s="88">
        <f t="shared" si="12"/>
        <v>27603.881249999995</v>
      </c>
      <c r="M17" s="88">
        <f t="shared" si="12"/>
        <v>33124.657499999994</v>
      </c>
      <c r="N17" s="88">
        <f t="shared" si="12"/>
        <v>36437.123249999997</v>
      </c>
      <c r="O17" s="88">
        <f t="shared" si="12"/>
        <v>40080.835574999997</v>
      </c>
      <c r="P17" s="88">
        <f t="shared" si="8"/>
        <v>43287.302421</v>
      </c>
      <c r="Q17" s="88">
        <f t="shared" si="8"/>
        <v>50646.143832570007</v>
      </c>
      <c r="R17" s="88">
        <f t="shared" si="8"/>
        <v>54697.83533917561</v>
      </c>
      <c r="S17" s="88">
        <f t="shared" si="8"/>
        <v>59073.662166309667</v>
      </c>
      <c r="T17" s="88">
        <f t="shared" si="8"/>
        <v>62027.345274625157</v>
      </c>
      <c r="U17" s="88">
        <f t="shared" si="8"/>
        <v>70138.613502845372</v>
      </c>
      <c r="V17" s="88">
        <f t="shared" si="8"/>
        <v>73645.544177987642</v>
      </c>
      <c r="W17" s="88">
        <f t="shared" si="8"/>
        <v>77327.821386887037</v>
      </c>
      <c r="X17" s="118"/>
    </row>
    <row r="18" spans="2:24" s="96" customFormat="1" x14ac:dyDescent="0.25">
      <c r="B18" s="276" t="str">
        <f t="shared" si="4"/>
        <v>Bread Premix- W 100</v>
      </c>
      <c r="C18" s="281">
        <f>'Products (Premixes)'!K12</f>
        <v>86.100000000000009</v>
      </c>
      <c r="D18" s="88">
        <f t="shared" ref="D18:O18" si="13">D$7*D29</f>
        <v>0</v>
      </c>
      <c r="E18" s="88">
        <f t="shared" si="13"/>
        <v>0</v>
      </c>
      <c r="F18" s="88">
        <f t="shared" si="13"/>
        <v>0</v>
      </c>
      <c r="G18" s="88">
        <f t="shared" si="13"/>
        <v>3500</v>
      </c>
      <c r="H18" s="88">
        <f t="shared" si="13"/>
        <v>15000</v>
      </c>
      <c r="I18" s="88">
        <f t="shared" si="13"/>
        <v>18975</v>
      </c>
      <c r="J18" s="88">
        <f t="shared" si="13"/>
        <v>21821.249999999996</v>
      </c>
      <c r="K18" s="88">
        <f t="shared" si="13"/>
        <v>25094.437499999993</v>
      </c>
      <c r="L18" s="88">
        <f t="shared" si="13"/>
        <v>30113.324999999993</v>
      </c>
      <c r="M18" s="88">
        <f t="shared" si="13"/>
        <v>33124.657499999994</v>
      </c>
      <c r="N18" s="88">
        <f t="shared" si="13"/>
        <v>36437.123249999997</v>
      </c>
      <c r="O18" s="88">
        <f t="shared" si="13"/>
        <v>40080.835574999997</v>
      </c>
      <c r="P18" s="88">
        <f t="shared" si="8"/>
        <v>46894.577622750003</v>
      </c>
      <c r="Q18" s="88">
        <f t="shared" si="8"/>
        <v>50646.143832570007</v>
      </c>
      <c r="R18" s="88">
        <f t="shared" si="8"/>
        <v>54697.83533917561</v>
      </c>
      <c r="S18" s="88">
        <f t="shared" si="8"/>
        <v>59073.662166309667</v>
      </c>
      <c r="T18" s="88">
        <f t="shared" si="8"/>
        <v>66798.679526519394</v>
      </c>
      <c r="U18" s="88">
        <f t="shared" si="8"/>
        <v>70138.613502845372</v>
      </c>
      <c r="V18" s="88">
        <f t="shared" si="8"/>
        <v>73645.544177987642</v>
      </c>
      <c r="W18" s="88">
        <f t="shared" si="8"/>
        <v>77327.821386887037</v>
      </c>
      <c r="X18" s="118"/>
    </row>
    <row r="19" spans="2:24" s="96" customFormat="1" x14ac:dyDescent="0.25">
      <c r="B19" s="276" t="str">
        <f t="shared" si="4"/>
        <v>Bread Premix- All Purpose</v>
      </c>
      <c r="C19" s="281">
        <f>'Products (Premixes)'!K13</f>
        <v>84</v>
      </c>
      <c r="D19" s="88">
        <f t="shared" ref="D19:O19" si="14">D$7*D30</f>
        <v>0</v>
      </c>
      <c r="E19" s="88">
        <f t="shared" si="14"/>
        <v>0</v>
      </c>
      <c r="F19" s="88">
        <f t="shared" si="14"/>
        <v>0</v>
      </c>
      <c r="G19" s="88">
        <f t="shared" si="14"/>
        <v>7000</v>
      </c>
      <c r="H19" s="88">
        <f t="shared" si="14"/>
        <v>15000</v>
      </c>
      <c r="I19" s="88">
        <f t="shared" si="14"/>
        <v>17250</v>
      </c>
      <c r="J19" s="88">
        <f t="shared" si="14"/>
        <v>19837.5</v>
      </c>
      <c r="K19" s="88">
        <f t="shared" si="14"/>
        <v>25094.437499999993</v>
      </c>
      <c r="L19" s="88">
        <f t="shared" si="14"/>
        <v>30113.324999999993</v>
      </c>
      <c r="M19" s="88">
        <f t="shared" si="14"/>
        <v>33124.657499999994</v>
      </c>
      <c r="N19" s="88">
        <f t="shared" si="14"/>
        <v>36437.123249999997</v>
      </c>
      <c r="O19" s="88">
        <f t="shared" si="14"/>
        <v>43420.905206250005</v>
      </c>
      <c r="P19" s="88">
        <f t="shared" si="8"/>
        <v>46894.577622750003</v>
      </c>
      <c r="Q19" s="88">
        <f t="shared" si="8"/>
        <v>50646.143832570007</v>
      </c>
      <c r="R19" s="88">
        <f t="shared" si="8"/>
        <v>54697.83533917561</v>
      </c>
      <c r="S19" s="88">
        <f t="shared" si="8"/>
        <v>59073.662166309667</v>
      </c>
      <c r="T19" s="88">
        <f t="shared" si="8"/>
        <v>62027.345274625157</v>
      </c>
      <c r="U19" s="88">
        <f t="shared" si="8"/>
        <v>70138.613502845372</v>
      </c>
      <c r="V19" s="88">
        <f t="shared" si="8"/>
        <v>73645.544177987642</v>
      </c>
      <c r="W19" s="88">
        <f t="shared" si="8"/>
        <v>77327.821386887037</v>
      </c>
      <c r="X19" s="118"/>
    </row>
    <row r="20" spans="2:24" s="96" customFormat="1" x14ac:dyDescent="0.25">
      <c r="B20" s="276"/>
      <c r="C20" s="281"/>
      <c r="D20" s="78">
        <f t="shared" ref="D20:W20" si="15">SUM(D12:D19)</f>
        <v>1000</v>
      </c>
      <c r="E20" s="78">
        <f t="shared" si="15"/>
        <v>58000</v>
      </c>
      <c r="F20" s="78">
        <f t="shared" si="15"/>
        <v>60000</v>
      </c>
      <c r="G20" s="78">
        <f t="shared" si="15"/>
        <v>70000</v>
      </c>
      <c r="H20" s="78">
        <f t="shared" si="15"/>
        <v>150000</v>
      </c>
      <c r="I20" s="78">
        <f t="shared" si="15"/>
        <v>172500</v>
      </c>
      <c r="J20" s="78">
        <f t="shared" si="15"/>
        <v>198375</v>
      </c>
      <c r="K20" s="78">
        <f t="shared" si="15"/>
        <v>228131.24999999997</v>
      </c>
      <c r="L20" s="78">
        <f t="shared" si="15"/>
        <v>250944.37499999997</v>
      </c>
      <c r="M20" s="78">
        <f t="shared" si="15"/>
        <v>276038.81249999994</v>
      </c>
      <c r="N20" s="78">
        <f t="shared" si="15"/>
        <v>303642.69374999998</v>
      </c>
      <c r="O20" s="78">
        <f t="shared" si="15"/>
        <v>334006.96312500007</v>
      </c>
      <c r="P20" s="78">
        <f t="shared" si="15"/>
        <v>360727.52017500007</v>
      </c>
      <c r="Q20" s="78">
        <f t="shared" si="15"/>
        <v>389585.72178900003</v>
      </c>
      <c r="R20" s="78">
        <f t="shared" si="15"/>
        <v>420752.57953212003</v>
      </c>
      <c r="S20" s="78">
        <f t="shared" si="15"/>
        <v>454412.78589468967</v>
      </c>
      <c r="T20" s="78">
        <f t="shared" si="15"/>
        <v>477133.42518942431</v>
      </c>
      <c r="U20" s="78">
        <f t="shared" si="15"/>
        <v>500990.09644889552</v>
      </c>
      <c r="V20" s="78">
        <f t="shared" si="15"/>
        <v>526039.60127134027</v>
      </c>
      <c r="W20" s="78">
        <f t="shared" si="15"/>
        <v>552341.58133490733</v>
      </c>
      <c r="X20" s="118"/>
    </row>
    <row r="21" spans="2:24" s="96" customFormat="1" x14ac:dyDescent="0.25">
      <c r="B21" s="276"/>
      <c r="C21" s="281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118"/>
    </row>
    <row r="22" spans="2:24" s="96" customFormat="1" x14ac:dyDescent="0.25">
      <c r="B22" s="219" t="s">
        <v>580</v>
      </c>
      <c r="C22" s="281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118"/>
    </row>
    <row r="23" spans="2:24" s="96" customFormat="1" x14ac:dyDescent="0.25">
      <c r="B23" s="276" t="str">
        <f>'Products (Premixes)'!C6</f>
        <v>Cake Premix - APF (All Purpose Flour)</v>
      </c>
      <c r="C23" s="281"/>
      <c r="D23" s="487">
        <v>0</v>
      </c>
      <c r="E23" s="487">
        <v>0.89</v>
      </c>
      <c r="F23" s="487">
        <v>0.88</v>
      </c>
      <c r="G23" s="487">
        <v>0.68</v>
      </c>
      <c r="H23" s="487">
        <v>0.56999999999999995</v>
      </c>
      <c r="I23" s="487">
        <f>H23-2%</f>
        <v>0.54999999999999993</v>
      </c>
      <c r="J23" s="487">
        <v>0.54</v>
      </c>
      <c r="K23" s="487">
        <v>0.53</v>
      </c>
      <c r="L23" s="487">
        <f t="shared" ref="L23:U23" si="16">K23-2%</f>
        <v>0.51</v>
      </c>
      <c r="M23" s="487">
        <v>0.5</v>
      </c>
      <c r="N23" s="487">
        <f t="shared" si="16"/>
        <v>0.48</v>
      </c>
      <c r="O23" s="487">
        <v>0.47</v>
      </c>
      <c r="P23" s="487">
        <v>0.46</v>
      </c>
      <c r="Q23" s="487">
        <v>0.45</v>
      </c>
      <c r="R23" s="487">
        <f t="shared" si="16"/>
        <v>0.43</v>
      </c>
      <c r="S23" s="487">
        <f t="shared" si="16"/>
        <v>0.41</v>
      </c>
      <c r="T23" s="487">
        <v>0.4</v>
      </c>
      <c r="U23" s="487">
        <f t="shared" si="16"/>
        <v>0.38</v>
      </c>
      <c r="V23" s="487">
        <v>0.38</v>
      </c>
      <c r="W23" s="487">
        <v>0.38</v>
      </c>
      <c r="X23" s="118"/>
    </row>
    <row r="24" spans="2:24" s="96" customFormat="1" x14ac:dyDescent="0.25">
      <c r="B24" s="276" t="str">
        <f>'Products (Premixes)'!C7</f>
        <v>Cake Premix - W 100</v>
      </c>
      <c r="C24" s="281"/>
      <c r="D24" s="487">
        <v>0</v>
      </c>
      <c r="E24" s="487">
        <v>0</v>
      </c>
      <c r="F24" s="487">
        <v>0.01</v>
      </c>
      <c r="G24" s="487">
        <v>0.01</v>
      </c>
      <c r="H24" s="487">
        <v>0.01</v>
      </c>
      <c r="I24" s="487">
        <v>0.01</v>
      </c>
      <c r="J24" s="487">
        <v>0.01</v>
      </c>
      <c r="K24" s="487">
        <v>0.01</v>
      </c>
      <c r="L24" s="487">
        <v>0.01</v>
      </c>
      <c r="M24" s="487">
        <v>0.01</v>
      </c>
      <c r="N24" s="487">
        <v>0.02</v>
      </c>
      <c r="O24" s="487">
        <v>0.02</v>
      </c>
      <c r="P24" s="487">
        <v>0.02</v>
      </c>
      <c r="Q24" s="487">
        <v>0.02</v>
      </c>
      <c r="R24" s="487">
        <v>0.03</v>
      </c>
      <c r="S24" s="487">
        <v>0.03</v>
      </c>
      <c r="T24" s="487">
        <v>0.03</v>
      </c>
      <c r="U24" s="487">
        <v>0.03</v>
      </c>
      <c r="V24" s="487">
        <v>0.03</v>
      </c>
      <c r="W24" s="487">
        <v>0.03</v>
      </c>
      <c r="X24" s="118"/>
    </row>
    <row r="25" spans="2:24" s="96" customFormat="1" x14ac:dyDescent="0.25">
      <c r="B25" s="276" t="str">
        <f>'Products (Premixes)'!C8</f>
        <v>Cake Premix - GF</v>
      </c>
      <c r="C25" s="281"/>
      <c r="D25" s="487">
        <v>0.3</v>
      </c>
      <c r="E25" s="487">
        <v>0.04</v>
      </c>
      <c r="F25" s="487">
        <v>0.04</v>
      </c>
      <c r="G25" s="487">
        <v>0.04</v>
      </c>
      <c r="H25" s="487">
        <v>0.04</v>
      </c>
      <c r="I25" s="487">
        <v>0.05</v>
      </c>
      <c r="J25" s="487">
        <v>0.05</v>
      </c>
      <c r="K25" s="487">
        <v>0.05</v>
      </c>
      <c r="L25" s="487">
        <v>0.05</v>
      </c>
      <c r="M25" s="487">
        <v>0.05</v>
      </c>
      <c r="N25" s="487">
        <v>0.05</v>
      </c>
      <c r="O25" s="487">
        <v>0.05</v>
      </c>
      <c r="P25" s="487">
        <v>0.05</v>
      </c>
      <c r="Q25" s="487">
        <v>0.05</v>
      </c>
      <c r="R25" s="487">
        <v>0.06</v>
      </c>
      <c r="S25" s="487">
        <v>0.06</v>
      </c>
      <c r="T25" s="487">
        <v>0.06</v>
      </c>
      <c r="U25" s="487">
        <v>0.06</v>
      </c>
      <c r="V25" s="487">
        <v>0.06</v>
      </c>
      <c r="W25" s="487">
        <v>0.06</v>
      </c>
      <c r="X25" s="118"/>
    </row>
    <row r="26" spans="2:24" s="96" customFormat="1" x14ac:dyDescent="0.25">
      <c r="B26" s="276" t="str">
        <f>'Products (Premixes)'!C9</f>
        <v>Cake Premix - NAS</v>
      </c>
      <c r="C26" s="281"/>
      <c r="D26" s="487">
        <v>0</v>
      </c>
      <c r="E26" s="487">
        <v>0</v>
      </c>
      <c r="F26" s="487">
        <v>0</v>
      </c>
      <c r="G26" s="487">
        <v>0</v>
      </c>
      <c r="H26" s="487">
        <v>0.01</v>
      </c>
      <c r="I26" s="487">
        <v>0.01</v>
      </c>
      <c r="J26" s="487">
        <v>0.01</v>
      </c>
      <c r="K26" s="487">
        <v>0.01</v>
      </c>
      <c r="L26" s="487">
        <v>0.01</v>
      </c>
      <c r="M26" s="487">
        <v>0.01</v>
      </c>
      <c r="N26" s="487">
        <v>0.02</v>
      </c>
      <c r="O26" s="487">
        <v>0.02</v>
      </c>
      <c r="P26" s="487">
        <v>0.02</v>
      </c>
      <c r="Q26" s="487">
        <v>0.02</v>
      </c>
      <c r="R26" s="487">
        <v>0.02</v>
      </c>
      <c r="S26" s="487">
        <v>0.03</v>
      </c>
      <c r="T26" s="487">
        <v>0.03</v>
      </c>
      <c r="U26" s="487">
        <v>0.03</v>
      </c>
      <c r="V26" s="487">
        <v>0.03</v>
      </c>
      <c r="W26" s="487">
        <v>0.03</v>
      </c>
      <c r="X26" s="118"/>
    </row>
    <row r="27" spans="2:24" s="96" customFormat="1" x14ac:dyDescent="0.25">
      <c r="B27" s="276" t="str">
        <f>'Products (Premixes)'!C10</f>
        <v>Bread - GF</v>
      </c>
      <c r="C27" s="281"/>
      <c r="D27" s="487">
        <v>0.7</v>
      </c>
      <c r="E27" s="487">
        <v>7.0000000000000007E-2</v>
      </c>
      <c r="F27" s="487">
        <v>7.0000000000000007E-2</v>
      </c>
      <c r="G27" s="487">
        <v>7.0000000000000007E-2</v>
      </c>
      <c r="H27" s="487">
        <v>7.0000000000000007E-2</v>
      </c>
      <c r="I27" s="487">
        <v>7.0000000000000007E-2</v>
      </c>
      <c r="J27" s="487">
        <v>7.0000000000000007E-2</v>
      </c>
      <c r="K27" s="487">
        <v>7.0000000000000007E-2</v>
      </c>
      <c r="L27" s="487">
        <v>7.0000000000000007E-2</v>
      </c>
      <c r="M27" s="487">
        <v>7.0000000000000007E-2</v>
      </c>
      <c r="N27" s="487">
        <v>7.0000000000000007E-2</v>
      </c>
      <c r="O27" s="487">
        <v>7.0000000000000007E-2</v>
      </c>
      <c r="P27" s="487">
        <v>7.0000000000000007E-2</v>
      </c>
      <c r="Q27" s="487">
        <v>7.0000000000000007E-2</v>
      </c>
      <c r="R27" s="487">
        <v>7.0000000000000007E-2</v>
      </c>
      <c r="S27" s="487">
        <v>0.08</v>
      </c>
      <c r="T27" s="487">
        <v>0.08</v>
      </c>
      <c r="U27" s="487">
        <v>0.08</v>
      </c>
      <c r="V27" s="487">
        <v>0.08</v>
      </c>
      <c r="W27" s="487">
        <v>0.08</v>
      </c>
      <c r="X27" s="118"/>
    </row>
    <row r="28" spans="2:24" s="96" customFormat="1" x14ac:dyDescent="0.25">
      <c r="B28" s="276" t="str">
        <f>'Products (Premixes)'!C11</f>
        <v>Bread Premix - 6 G</v>
      </c>
      <c r="C28" s="281"/>
      <c r="D28" s="487">
        <v>0</v>
      </c>
      <c r="E28" s="487">
        <v>0</v>
      </c>
      <c r="F28" s="487">
        <v>0</v>
      </c>
      <c r="G28" s="487">
        <v>0.05</v>
      </c>
      <c r="H28" s="487">
        <v>0.1</v>
      </c>
      <c r="I28" s="487">
        <v>0.1</v>
      </c>
      <c r="J28" s="487">
        <v>0.11</v>
      </c>
      <c r="K28" s="487">
        <v>0.11</v>
      </c>
      <c r="L28" s="487">
        <v>0.11</v>
      </c>
      <c r="M28" s="487">
        <v>0.12</v>
      </c>
      <c r="N28" s="487">
        <v>0.12</v>
      </c>
      <c r="O28" s="487">
        <v>0.12</v>
      </c>
      <c r="P28" s="487">
        <v>0.12</v>
      </c>
      <c r="Q28" s="487">
        <v>0.13</v>
      </c>
      <c r="R28" s="487">
        <v>0.13</v>
      </c>
      <c r="S28" s="487">
        <v>0.13</v>
      </c>
      <c r="T28" s="487">
        <v>0.13</v>
      </c>
      <c r="U28" s="487">
        <v>0.14000000000000001</v>
      </c>
      <c r="V28" s="487">
        <v>0.14000000000000001</v>
      </c>
      <c r="W28" s="487">
        <v>0.14000000000000001</v>
      </c>
      <c r="X28" s="118"/>
    </row>
    <row r="29" spans="2:24" s="96" customFormat="1" x14ac:dyDescent="0.25">
      <c r="B29" s="276" t="str">
        <f>'Products (Premixes)'!C12</f>
        <v>Bread Premix- W 100</v>
      </c>
      <c r="C29" s="281"/>
      <c r="D29" s="487">
        <v>0</v>
      </c>
      <c r="E29" s="487">
        <v>0</v>
      </c>
      <c r="F29" s="487">
        <v>0</v>
      </c>
      <c r="G29" s="487">
        <v>0.05</v>
      </c>
      <c r="H29" s="487">
        <v>0.1</v>
      </c>
      <c r="I29" s="487">
        <v>0.11</v>
      </c>
      <c r="J29" s="487">
        <v>0.11</v>
      </c>
      <c r="K29" s="487">
        <v>0.11</v>
      </c>
      <c r="L29" s="487">
        <v>0.12</v>
      </c>
      <c r="M29" s="487">
        <v>0.12</v>
      </c>
      <c r="N29" s="487">
        <v>0.12</v>
      </c>
      <c r="O29" s="487">
        <v>0.12</v>
      </c>
      <c r="P29" s="487">
        <v>0.13</v>
      </c>
      <c r="Q29" s="487">
        <v>0.13</v>
      </c>
      <c r="R29" s="487">
        <v>0.13</v>
      </c>
      <c r="S29" s="487">
        <v>0.13</v>
      </c>
      <c r="T29" s="487">
        <v>0.14000000000000001</v>
      </c>
      <c r="U29" s="487">
        <v>0.14000000000000001</v>
      </c>
      <c r="V29" s="487">
        <v>0.14000000000000001</v>
      </c>
      <c r="W29" s="487">
        <v>0.14000000000000001</v>
      </c>
      <c r="X29" s="118"/>
    </row>
    <row r="30" spans="2:24" s="96" customFormat="1" x14ac:dyDescent="0.25">
      <c r="B30" s="276" t="str">
        <f>'Products (Premixes)'!C13</f>
        <v>Bread Premix- All Purpose</v>
      </c>
      <c r="C30" s="281"/>
      <c r="D30" s="487">
        <v>0</v>
      </c>
      <c r="E30" s="487">
        <v>0</v>
      </c>
      <c r="F30" s="487">
        <v>0</v>
      </c>
      <c r="G30" s="487">
        <v>0.1</v>
      </c>
      <c r="H30" s="487">
        <v>0.1</v>
      </c>
      <c r="I30" s="487">
        <v>0.1</v>
      </c>
      <c r="J30" s="487">
        <v>0.1</v>
      </c>
      <c r="K30" s="487">
        <v>0.11</v>
      </c>
      <c r="L30" s="487">
        <v>0.12</v>
      </c>
      <c r="M30" s="487">
        <v>0.12</v>
      </c>
      <c r="N30" s="487">
        <v>0.12</v>
      </c>
      <c r="O30" s="487">
        <v>0.13</v>
      </c>
      <c r="P30" s="487">
        <v>0.13</v>
      </c>
      <c r="Q30" s="487">
        <v>0.13</v>
      </c>
      <c r="R30" s="487">
        <v>0.13</v>
      </c>
      <c r="S30" s="487">
        <v>0.13</v>
      </c>
      <c r="T30" s="487">
        <v>0.13</v>
      </c>
      <c r="U30" s="487">
        <v>0.14000000000000001</v>
      </c>
      <c r="V30" s="487">
        <v>0.14000000000000001</v>
      </c>
      <c r="W30" s="487">
        <v>0.14000000000000001</v>
      </c>
      <c r="X30" s="118"/>
    </row>
    <row r="31" spans="2:24" s="96" customFormat="1" x14ac:dyDescent="0.25">
      <c r="B31" s="219"/>
      <c r="C31" s="281"/>
      <c r="D31" s="528">
        <f>SUM(D23:D30)</f>
        <v>1</v>
      </c>
      <c r="E31" s="528">
        <f>SUM(E23:E30)</f>
        <v>1</v>
      </c>
      <c r="F31" s="528">
        <f t="shared" ref="F31:W31" si="17">SUM(F23:F30)</f>
        <v>1</v>
      </c>
      <c r="G31" s="528">
        <f t="shared" si="17"/>
        <v>1.0000000000000002</v>
      </c>
      <c r="H31" s="528">
        <f t="shared" si="17"/>
        <v>0.99999999999999989</v>
      </c>
      <c r="I31" s="528">
        <f t="shared" si="17"/>
        <v>0.99999999999999989</v>
      </c>
      <c r="J31" s="528">
        <f t="shared" si="17"/>
        <v>1.0000000000000002</v>
      </c>
      <c r="K31" s="528">
        <f t="shared" si="17"/>
        <v>1.0000000000000002</v>
      </c>
      <c r="L31" s="528">
        <f t="shared" si="17"/>
        <v>1</v>
      </c>
      <c r="M31" s="528">
        <f t="shared" si="17"/>
        <v>1</v>
      </c>
      <c r="N31" s="528">
        <f t="shared" si="17"/>
        <v>1</v>
      </c>
      <c r="O31" s="528">
        <f t="shared" si="17"/>
        <v>1</v>
      </c>
      <c r="P31" s="528">
        <f t="shared" si="17"/>
        <v>1</v>
      </c>
      <c r="Q31" s="528">
        <f t="shared" si="17"/>
        <v>1</v>
      </c>
      <c r="R31" s="528">
        <f t="shared" si="17"/>
        <v>1</v>
      </c>
      <c r="S31" s="528">
        <f t="shared" si="17"/>
        <v>0.99999999999999989</v>
      </c>
      <c r="T31" s="528">
        <f t="shared" si="17"/>
        <v>1</v>
      </c>
      <c r="U31" s="528">
        <f t="shared" si="17"/>
        <v>1</v>
      </c>
      <c r="V31" s="528">
        <f t="shared" si="17"/>
        <v>1</v>
      </c>
      <c r="W31" s="528">
        <f t="shared" si="17"/>
        <v>1</v>
      </c>
      <c r="X31" s="118"/>
    </row>
    <row r="32" spans="2:24" s="96" customFormat="1" x14ac:dyDescent="0.25">
      <c r="B32" s="276"/>
      <c r="C32" s="281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118"/>
    </row>
    <row r="33" spans="2:26" s="96" customFormat="1" x14ac:dyDescent="0.25">
      <c r="B33" s="219" t="s">
        <v>370</v>
      </c>
      <c r="C33" s="281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118"/>
    </row>
    <row r="34" spans="2:26" s="96" customFormat="1" x14ac:dyDescent="0.25">
      <c r="B34" s="276" t="str">
        <f t="shared" ref="B34:B41" si="18">B12</f>
        <v>Cake Premix - APF (All Purpose Flour)</v>
      </c>
      <c r="C34" s="281"/>
      <c r="D34" s="88">
        <f t="shared" ref="D34:E41" si="19">$C12*D12</f>
        <v>0</v>
      </c>
      <c r="E34" s="88">
        <f t="shared" si="19"/>
        <v>8543110</v>
      </c>
      <c r="F34" s="88">
        <f t="shared" ref="F34:W34" si="20">$C12*F12</f>
        <v>8738400</v>
      </c>
      <c r="G34" s="88">
        <f t="shared" si="20"/>
        <v>7877800</v>
      </c>
      <c r="H34" s="88">
        <f t="shared" si="20"/>
        <v>14150249.999999998</v>
      </c>
      <c r="I34" s="88">
        <f t="shared" si="20"/>
        <v>15701812.499999998</v>
      </c>
      <c r="J34" s="88">
        <f t="shared" si="20"/>
        <v>17728773.749999996</v>
      </c>
      <c r="K34" s="88">
        <f t="shared" ref="K34:K41" si="21">$C12*K12</f>
        <v>20010532.593749996</v>
      </c>
      <c r="L34" s="88">
        <f t="shared" si="20"/>
        <v>21180959.971874997</v>
      </c>
      <c r="M34" s="88">
        <f t="shared" si="20"/>
        <v>22842211.734374996</v>
      </c>
      <c r="N34" s="88">
        <f t="shared" si="20"/>
        <v>24121375.591499999</v>
      </c>
      <c r="O34" s="88">
        <f t="shared" si="20"/>
        <v>25980731.626678124</v>
      </c>
      <c r="P34" s="88">
        <f t="shared" si="20"/>
        <v>27462186.110922754</v>
      </c>
      <c r="Q34" s="88">
        <f t="shared" si="20"/>
        <v>29014396.630235776</v>
      </c>
      <c r="R34" s="88">
        <f t="shared" si="20"/>
        <v>29942857.322403327</v>
      </c>
      <c r="S34" s="88">
        <f t="shared" si="20"/>
        <v>30834179.586884171</v>
      </c>
      <c r="T34" s="88">
        <f t="shared" si="20"/>
        <v>31586232.747539889</v>
      </c>
      <c r="U34" s="88">
        <f t="shared" si="20"/>
        <v>31507267.165671036</v>
      </c>
      <c r="V34" s="88">
        <f t="shared" si="20"/>
        <v>33082630.523954589</v>
      </c>
      <c r="W34" s="88">
        <f t="shared" si="20"/>
        <v>34736762.050152324</v>
      </c>
      <c r="X34" s="118"/>
    </row>
    <row r="35" spans="2:26" s="96" customFormat="1" x14ac:dyDescent="0.25">
      <c r="B35" s="276" t="str">
        <f t="shared" si="18"/>
        <v>Cake Premix - W 100</v>
      </c>
      <c r="C35" s="281"/>
      <c r="D35" s="88">
        <f t="shared" si="19"/>
        <v>0</v>
      </c>
      <c r="E35" s="88">
        <f t="shared" si="19"/>
        <v>0</v>
      </c>
      <c r="F35" s="88">
        <f t="shared" ref="F35:W35" si="22">$C13*F13</f>
        <v>154350</v>
      </c>
      <c r="G35" s="88">
        <f t="shared" si="22"/>
        <v>180075</v>
      </c>
      <c r="H35" s="88">
        <f t="shared" si="22"/>
        <v>385875</v>
      </c>
      <c r="I35" s="88">
        <f t="shared" si="22"/>
        <v>443756.25</v>
      </c>
      <c r="J35" s="88">
        <f t="shared" si="22"/>
        <v>510319.68749999994</v>
      </c>
      <c r="K35" s="88">
        <f t="shared" si="21"/>
        <v>586867.64062499988</v>
      </c>
      <c r="L35" s="88">
        <f t="shared" si="22"/>
        <v>645554.40468749986</v>
      </c>
      <c r="M35" s="88">
        <f t="shared" si="22"/>
        <v>710109.84515624982</v>
      </c>
      <c r="N35" s="88">
        <f t="shared" si="22"/>
        <v>1562241.65934375</v>
      </c>
      <c r="O35" s="88">
        <f t="shared" si="22"/>
        <v>1718465.8252781252</v>
      </c>
      <c r="P35" s="88">
        <f t="shared" si="22"/>
        <v>1855943.0913003751</v>
      </c>
      <c r="Q35" s="88">
        <f t="shared" si="22"/>
        <v>2004418.5386044052</v>
      </c>
      <c r="R35" s="88">
        <f t="shared" si="22"/>
        <v>3247158.0325391367</v>
      </c>
      <c r="S35" s="88">
        <f t="shared" si="22"/>
        <v>3506930.6751422677</v>
      </c>
      <c r="T35" s="88">
        <f t="shared" si="22"/>
        <v>3682277.2088993811</v>
      </c>
      <c r="U35" s="88">
        <f t="shared" si="22"/>
        <v>3866391.0693443506</v>
      </c>
      <c r="V35" s="88">
        <f t="shared" si="22"/>
        <v>4059710.6228115684</v>
      </c>
      <c r="W35" s="88">
        <f t="shared" si="22"/>
        <v>4262696.1539521478</v>
      </c>
      <c r="X35" s="118"/>
      <c r="Z35" s="118"/>
    </row>
    <row r="36" spans="2:26" s="96" customFormat="1" x14ac:dyDescent="0.25">
      <c r="B36" s="276" t="str">
        <f t="shared" si="18"/>
        <v>Cake Premix - GF</v>
      </c>
      <c r="C36" s="281"/>
      <c r="D36" s="88">
        <f t="shared" si="19"/>
        <v>98122.5</v>
      </c>
      <c r="E36" s="88">
        <f t="shared" si="19"/>
        <v>758814</v>
      </c>
      <c r="F36" s="88">
        <f t="shared" ref="F36:W36" si="23">$C14*F14</f>
        <v>784980</v>
      </c>
      <c r="G36" s="88">
        <f t="shared" si="23"/>
        <v>915810</v>
      </c>
      <c r="H36" s="88">
        <f t="shared" si="23"/>
        <v>1962450</v>
      </c>
      <c r="I36" s="88">
        <f t="shared" si="23"/>
        <v>2821021.875</v>
      </c>
      <c r="J36" s="88">
        <f t="shared" si="23"/>
        <v>3244175.15625</v>
      </c>
      <c r="K36" s="88">
        <f t="shared" si="21"/>
        <v>3730801.4296874991</v>
      </c>
      <c r="L36" s="88">
        <f t="shared" si="23"/>
        <v>4103881.5726562492</v>
      </c>
      <c r="M36" s="88">
        <f t="shared" si="23"/>
        <v>4514269.7299218737</v>
      </c>
      <c r="N36" s="88">
        <f t="shared" si="23"/>
        <v>4965696.702914062</v>
      </c>
      <c r="O36" s="88">
        <f t="shared" si="23"/>
        <v>5462266.373205469</v>
      </c>
      <c r="P36" s="88">
        <f t="shared" si="23"/>
        <v>5899247.6830619061</v>
      </c>
      <c r="Q36" s="88">
        <f t="shared" si="23"/>
        <v>6371187.4977068584</v>
      </c>
      <c r="R36" s="88">
        <f t="shared" si="23"/>
        <v>8257058.997028091</v>
      </c>
      <c r="S36" s="88">
        <f t="shared" si="23"/>
        <v>8917623.716790339</v>
      </c>
      <c r="T36" s="88">
        <f t="shared" si="23"/>
        <v>9363504.9026298542</v>
      </c>
      <c r="U36" s="88">
        <f t="shared" si="23"/>
        <v>9831680.1477613486</v>
      </c>
      <c r="V36" s="88">
        <f t="shared" si="23"/>
        <v>10323264.155149417</v>
      </c>
      <c r="W36" s="88">
        <f t="shared" si="23"/>
        <v>10839427.362906888</v>
      </c>
      <c r="X36" s="118"/>
    </row>
    <row r="37" spans="2:26" s="96" customFormat="1" x14ac:dyDescent="0.25">
      <c r="B37" s="276" t="str">
        <f t="shared" si="18"/>
        <v>Cake Premix - NAS</v>
      </c>
      <c r="C37" s="281"/>
      <c r="D37" s="88">
        <f t="shared" si="19"/>
        <v>0</v>
      </c>
      <c r="E37" s="88">
        <f t="shared" si="19"/>
        <v>0</v>
      </c>
      <c r="F37" s="88">
        <f t="shared" ref="F37:W37" si="24">$C15*F15</f>
        <v>0</v>
      </c>
      <c r="G37" s="88">
        <f t="shared" si="24"/>
        <v>0</v>
      </c>
      <c r="H37" s="88">
        <f t="shared" si="24"/>
        <v>648112.50000000012</v>
      </c>
      <c r="I37" s="88">
        <f t="shared" si="24"/>
        <v>745329.37500000012</v>
      </c>
      <c r="J37" s="88">
        <f t="shared" si="24"/>
        <v>857128.78125</v>
      </c>
      <c r="K37" s="88">
        <f t="shared" si="21"/>
        <v>985698.09843749995</v>
      </c>
      <c r="L37" s="88">
        <f t="shared" si="24"/>
        <v>1084267.9082812499</v>
      </c>
      <c r="M37" s="88">
        <f t="shared" si="24"/>
        <v>1192694.699109375</v>
      </c>
      <c r="N37" s="88">
        <f t="shared" si="24"/>
        <v>2623928.3380406252</v>
      </c>
      <c r="O37" s="88">
        <f t="shared" si="24"/>
        <v>2886321.1718446882</v>
      </c>
      <c r="P37" s="88">
        <f t="shared" si="24"/>
        <v>3117226.8655922632</v>
      </c>
      <c r="Q37" s="88">
        <f t="shared" si="24"/>
        <v>3366605.0148396441</v>
      </c>
      <c r="R37" s="88">
        <f t="shared" si="24"/>
        <v>3635933.4160268162</v>
      </c>
      <c r="S37" s="88">
        <f t="shared" si="24"/>
        <v>5890212.1339634424</v>
      </c>
      <c r="T37" s="88">
        <f t="shared" si="24"/>
        <v>6184722.7406616146</v>
      </c>
      <c r="U37" s="88">
        <f t="shared" si="24"/>
        <v>6493958.8776946953</v>
      </c>
      <c r="V37" s="88">
        <f t="shared" si="24"/>
        <v>6818656.8215794312</v>
      </c>
      <c r="W37" s="88">
        <f t="shared" si="24"/>
        <v>7159589.6626584036</v>
      </c>
      <c r="X37" s="118"/>
    </row>
    <row r="38" spans="2:26" s="96" customFormat="1" x14ac:dyDescent="0.25">
      <c r="B38" s="276" t="str">
        <f t="shared" si="18"/>
        <v>Bread - GF</v>
      </c>
      <c r="C38" s="281"/>
      <c r="D38" s="88">
        <f t="shared" si="19"/>
        <v>246225</v>
      </c>
      <c r="E38" s="88">
        <f t="shared" si="19"/>
        <v>1428105.0000000002</v>
      </c>
      <c r="F38" s="88">
        <f t="shared" ref="F38:W38" si="25">$C16*F16</f>
        <v>1477350</v>
      </c>
      <c r="G38" s="88">
        <f t="shared" si="25"/>
        <v>1723575.0000000002</v>
      </c>
      <c r="H38" s="88">
        <f t="shared" si="25"/>
        <v>3693375.0000000005</v>
      </c>
      <c r="I38" s="88">
        <f t="shared" si="25"/>
        <v>4247381.2500000009</v>
      </c>
      <c r="J38" s="88">
        <f t="shared" si="25"/>
        <v>4884488.4375</v>
      </c>
      <c r="K38" s="88">
        <f t="shared" si="21"/>
        <v>5617161.7031249991</v>
      </c>
      <c r="L38" s="88">
        <f t="shared" si="25"/>
        <v>6178877.8734374987</v>
      </c>
      <c r="M38" s="88">
        <f t="shared" si="25"/>
        <v>6796765.6607812494</v>
      </c>
      <c r="N38" s="88">
        <f t="shared" si="25"/>
        <v>7476442.2268593749</v>
      </c>
      <c r="O38" s="88">
        <f t="shared" si="25"/>
        <v>8224086.4495453136</v>
      </c>
      <c r="P38" s="88">
        <f t="shared" si="25"/>
        <v>8882013.3655089382</v>
      </c>
      <c r="Q38" s="88">
        <f t="shared" si="25"/>
        <v>9592574.4347496536</v>
      </c>
      <c r="R38" s="88">
        <f t="shared" si="25"/>
        <v>10359980.389529627</v>
      </c>
      <c r="S38" s="88">
        <f t="shared" si="25"/>
        <v>12787175.79507657</v>
      </c>
      <c r="T38" s="88">
        <f t="shared" si="25"/>
        <v>13426534.5848304</v>
      </c>
      <c r="U38" s="88">
        <f t="shared" si="25"/>
        <v>14097861.314071918</v>
      </c>
      <c r="V38" s="88">
        <f t="shared" si="25"/>
        <v>14802754.379775517</v>
      </c>
      <c r="W38" s="88">
        <f t="shared" si="25"/>
        <v>15542892.098764293</v>
      </c>
      <c r="X38" s="118"/>
    </row>
    <row r="39" spans="2:26" s="96" customFormat="1" x14ac:dyDescent="0.25">
      <c r="B39" s="276" t="str">
        <f t="shared" si="18"/>
        <v>Bread Premix - 6 G</v>
      </c>
      <c r="C39" s="281"/>
      <c r="D39" s="88">
        <f t="shared" si="19"/>
        <v>0</v>
      </c>
      <c r="E39" s="88">
        <f t="shared" si="19"/>
        <v>0</v>
      </c>
      <c r="F39" s="88">
        <f t="shared" ref="F39:W39" si="26">$C17*F17</f>
        <v>0</v>
      </c>
      <c r="G39" s="88">
        <f t="shared" si="26"/>
        <v>312375</v>
      </c>
      <c r="H39" s="88">
        <f t="shared" si="26"/>
        <v>1338750</v>
      </c>
      <c r="I39" s="88">
        <f t="shared" si="26"/>
        <v>1539562.5</v>
      </c>
      <c r="J39" s="88">
        <f t="shared" si="26"/>
        <v>1947546.5624999998</v>
      </c>
      <c r="K39" s="88">
        <f t="shared" si="21"/>
        <v>2239678.5468749995</v>
      </c>
      <c r="L39" s="88">
        <f t="shared" si="26"/>
        <v>2463646.4015624993</v>
      </c>
      <c r="M39" s="88">
        <f t="shared" si="26"/>
        <v>2956375.6818749993</v>
      </c>
      <c r="N39" s="88">
        <f t="shared" si="26"/>
        <v>3252013.2500624997</v>
      </c>
      <c r="O39" s="88">
        <f t="shared" si="26"/>
        <v>3577214.57506875</v>
      </c>
      <c r="P39" s="88">
        <f t="shared" si="26"/>
        <v>3863391.7410742501</v>
      </c>
      <c r="Q39" s="88">
        <f t="shared" si="26"/>
        <v>4520168.3370568734</v>
      </c>
      <c r="R39" s="88">
        <f t="shared" si="26"/>
        <v>4881781.8040214228</v>
      </c>
      <c r="S39" s="88">
        <f t="shared" si="26"/>
        <v>5272324.3483431377</v>
      </c>
      <c r="T39" s="88">
        <f t="shared" si="26"/>
        <v>5535940.5657602949</v>
      </c>
      <c r="U39" s="88">
        <f t="shared" si="26"/>
        <v>6259871.2551289499</v>
      </c>
      <c r="V39" s="88">
        <f t="shared" si="26"/>
        <v>6572864.817885397</v>
      </c>
      <c r="W39" s="88">
        <f t="shared" si="26"/>
        <v>6901508.0587796681</v>
      </c>
      <c r="X39" s="118"/>
    </row>
    <row r="40" spans="2:26" s="96" customFormat="1" x14ac:dyDescent="0.25">
      <c r="B40" s="276" t="str">
        <f t="shared" si="18"/>
        <v>Bread Premix- W 100</v>
      </c>
      <c r="C40" s="281"/>
      <c r="D40" s="88">
        <f t="shared" si="19"/>
        <v>0</v>
      </c>
      <c r="E40" s="88">
        <f t="shared" si="19"/>
        <v>0</v>
      </c>
      <c r="F40" s="88">
        <f t="shared" ref="F40:W41" si="27">$C18*F18</f>
        <v>0</v>
      </c>
      <c r="G40" s="88">
        <f t="shared" si="27"/>
        <v>301350.00000000006</v>
      </c>
      <c r="H40" s="88">
        <f t="shared" si="27"/>
        <v>1291500.0000000002</v>
      </c>
      <c r="I40" s="88">
        <f t="shared" si="27"/>
        <v>1633747.5000000002</v>
      </c>
      <c r="J40" s="88">
        <f t="shared" si="27"/>
        <v>1878809.6249999998</v>
      </c>
      <c r="K40" s="88">
        <f t="shared" si="21"/>
        <v>2160631.0687499996</v>
      </c>
      <c r="L40" s="88">
        <f t="shared" si="27"/>
        <v>2592757.2824999997</v>
      </c>
      <c r="M40" s="88">
        <f t="shared" si="27"/>
        <v>2852033.0107499999</v>
      </c>
      <c r="N40" s="88">
        <f t="shared" si="27"/>
        <v>3137236.3118250002</v>
      </c>
      <c r="O40" s="88">
        <f t="shared" si="27"/>
        <v>3450959.9430074999</v>
      </c>
      <c r="P40" s="88">
        <f t="shared" si="27"/>
        <v>4037623.1333187758</v>
      </c>
      <c r="Q40" s="88">
        <f t="shared" si="27"/>
        <v>4360632.9839842785</v>
      </c>
      <c r="R40" s="88">
        <f t="shared" si="27"/>
        <v>4709483.6227030205</v>
      </c>
      <c r="S40" s="88">
        <f t="shared" si="27"/>
        <v>5086242.3125192625</v>
      </c>
      <c r="T40" s="88">
        <f t="shared" si="27"/>
        <v>5751366.3072333205</v>
      </c>
      <c r="U40" s="88">
        <f t="shared" si="27"/>
        <v>6038934.622594987</v>
      </c>
      <c r="V40" s="88">
        <f t="shared" si="27"/>
        <v>6340881.3537247367</v>
      </c>
      <c r="W40" s="88">
        <f t="shared" si="27"/>
        <v>6657925.4214109741</v>
      </c>
      <c r="X40" s="118"/>
    </row>
    <row r="41" spans="2:26" s="96" customFormat="1" x14ac:dyDescent="0.25">
      <c r="B41" s="276" t="str">
        <f t="shared" si="18"/>
        <v>Bread Premix- All Purpose</v>
      </c>
      <c r="C41" s="281"/>
      <c r="D41" s="88">
        <f t="shared" si="19"/>
        <v>0</v>
      </c>
      <c r="E41" s="88">
        <f t="shared" si="19"/>
        <v>0</v>
      </c>
      <c r="F41" s="88">
        <f t="shared" si="27"/>
        <v>0</v>
      </c>
      <c r="G41" s="88">
        <f t="shared" si="27"/>
        <v>588000</v>
      </c>
      <c r="H41" s="88">
        <f t="shared" si="27"/>
        <v>1260000</v>
      </c>
      <c r="I41" s="88">
        <f t="shared" si="27"/>
        <v>1449000</v>
      </c>
      <c r="J41" s="88">
        <f t="shared" si="27"/>
        <v>1666350</v>
      </c>
      <c r="K41" s="88">
        <f t="shared" si="21"/>
        <v>2107932.7499999995</v>
      </c>
      <c r="L41" s="88">
        <f t="shared" si="27"/>
        <v>2529519.2999999993</v>
      </c>
      <c r="M41" s="88">
        <f t="shared" si="27"/>
        <v>2782471.2299999995</v>
      </c>
      <c r="N41" s="88">
        <f t="shared" si="27"/>
        <v>3060718.3529999997</v>
      </c>
      <c r="O41" s="88">
        <f t="shared" si="27"/>
        <v>3647356.0373250004</v>
      </c>
      <c r="P41" s="88">
        <f t="shared" si="27"/>
        <v>3939144.5203110003</v>
      </c>
      <c r="Q41" s="88">
        <f t="shared" si="27"/>
        <v>4254276.0819358807</v>
      </c>
      <c r="R41" s="88">
        <f t="shared" si="27"/>
        <v>4594618.1684907516</v>
      </c>
      <c r="S41" s="88">
        <f t="shared" si="27"/>
        <v>4962187.6219700119</v>
      </c>
      <c r="T41" s="88">
        <f t="shared" si="27"/>
        <v>5210297.0030685132</v>
      </c>
      <c r="U41" s="88">
        <f t="shared" si="27"/>
        <v>5891643.5342390109</v>
      </c>
      <c r="V41" s="88">
        <f t="shared" si="27"/>
        <v>6186225.7109509623</v>
      </c>
      <c r="W41" s="88">
        <f t="shared" si="27"/>
        <v>6495536.9964985112</v>
      </c>
      <c r="X41" s="118"/>
    </row>
    <row r="42" spans="2:26" s="96" customFormat="1" x14ac:dyDescent="0.25">
      <c r="B42" s="288" t="s">
        <v>138</v>
      </c>
      <c r="C42" s="281"/>
      <c r="D42" s="78">
        <f t="shared" ref="D42:W42" si="28">SUM(D34:D41)</f>
        <v>344347.5</v>
      </c>
      <c r="E42" s="78">
        <f t="shared" si="28"/>
        <v>10730029</v>
      </c>
      <c r="F42" s="78">
        <f t="shared" si="28"/>
        <v>11155080</v>
      </c>
      <c r="G42" s="78">
        <f t="shared" si="28"/>
        <v>11898985</v>
      </c>
      <c r="H42" s="78">
        <f t="shared" si="28"/>
        <v>24730312.5</v>
      </c>
      <c r="I42" s="78">
        <f t="shared" si="28"/>
        <v>28581611.25</v>
      </c>
      <c r="J42" s="78">
        <f t="shared" si="28"/>
        <v>32717591.999999996</v>
      </c>
      <c r="K42" s="78">
        <f t="shared" si="28"/>
        <v>37439303.831249997</v>
      </c>
      <c r="L42" s="78">
        <f t="shared" si="28"/>
        <v>40779464.714999989</v>
      </c>
      <c r="M42" s="78">
        <f t="shared" si="28"/>
        <v>44646931.591968738</v>
      </c>
      <c r="N42" s="78">
        <f t="shared" si="28"/>
        <v>50199652.433545314</v>
      </c>
      <c r="O42" s="78">
        <f t="shared" si="28"/>
        <v>54947402.001952976</v>
      </c>
      <c r="P42" s="78">
        <f t="shared" si="28"/>
        <v>59056776.511090256</v>
      </c>
      <c r="Q42" s="78">
        <f t="shared" si="28"/>
        <v>63484259.519113369</v>
      </c>
      <c r="R42" s="78">
        <f t="shared" si="28"/>
        <v>69628871.752742201</v>
      </c>
      <c r="S42" s="78">
        <f t="shared" si="28"/>
        <v>77256876.190689206</v>
      </c>
      <c r="T42" s="78">
        <f t="shared" si="28"/>
        <v>80740876.060623258</v>
      </c>
      <c r="U42" s="78">
        <f t="shared" si="28"/>
        <v>83987607.986506298</v>
      </c>
      <c r="V42" s="78">
        <f t="shared" si="28"/>
        <v>88186988.385831609</v>
      </c>
      <c r="W42" s="78">
        <f t="shared" si="28"/>
        <v>92596337.80512321</v>
      </c>
      <c r="X42" s="118"/>
    </row>
    <row r="43" spans="2:26" s="96" customFormat="1" x14ac:dyDescent="0.25">
      <c r="B43" s="289" t="s">
        <v>135</v>
      </c>
      <c r="C43" s="281"/>
      <c r="D43" s="277"/>
      <c r="E43" s="277"/>
      <c r="F43" s="277">
        <f>F42/E42-1</f>
        <v>3.9613220057466814E-2</v>
      </c>
      <c r="G43" s="277">
        <f>G42/F42-1</f>
        <v>6.6687554011266581E-2</v>
      </c>
      <c r="H43" s="277">
        <f t="shared" ref="H43:U43" si="29">H42/G42-1</f>
        <v>1.0783547924465826</v>
      </c>
      <c r="I43" s="277">
        <f t="shared" si="29"/>
        <v>0.15573190795708713</v>
      </c>
      <c r="J43" s="277">
        <f t="shared" si="29"/>
        <v>0.14470775331114316</v>
      </c>
      <c r="K43" s="277">
        <f t="shared" si="29"/>
        <v>0.14431721720993407</v>
      </c>
      <c r="L43" s="277">
        <f t="shared" si="29"/>
        <v>8.9215357710845433E-2</v>
      </c>
      <c r="M43" s="277">
        <f t="shared" si="29"/>
        <v>9.4838588588588513E-2</v>
      </c>
      <c r="N43" s="277">
        <f t="shared" si="29"/>
        <v>0.12436959592930719</v>
      </c>
      <c r="O43" s="277">
        <f t="shared" si="29"/>
        <v>9.4577339448570275E-2</v>
      </c>
      <c r="P43" s="277">
        <f t="shared" si="29"/>
        <v>7.4787421414232114E-2</v>
      </c>
      <c r="Q43" s="277">
        <f t="shared" si="29"/>
        <v>7.4969940277584968E-2</v>
      </c>
      <c r="R43" s="277">
        <f t="shared" si="29"/>
        <v>9.6789539331066043E-2</v>
      </c>
      <c r="S43" s="277">
        <f t="shared" si="29"/>
        <v>0.1095523199777626</v>
      </c>
      <c r="T43" s="277">
        <f t="shared" si="29"/>
        <v>4.5096307820350789E-2</v>
      </c>
      <c r="U43" s="277">
        <f t="shared" si="29"/>
        <v>4.0211750036564853E-2</v>
      </c>
      <c r="V43" s="277">
        <f>V42/U42-1</f>
        <v>5.0000000000000044E-2</v>
      </c>
      <c r="W43" s="277">
        <f>W42/V42-1</f>
        <v>5.0000000000000266E-2</v>
      </c>
      <c r="X43" s="118"/>
    </row>
    <row r="44" spans="2:26" s="96" customFormat="1" x14ac:dyDescent="0.25">
      <c r="B44" s="289"/>
      <c r="C44" s="281"/>
      <c r="D44" s="277"/>
      <c r="E44" s="277"/>
      <c r="F44" s="88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118"/>
    </row>
    <row r="45" spans="2:26" s="96" customFormat="1" x14ac:dyDescent="0.25">
      <c r="B45" s="219" t="s">
        <v>371</v>
      </c>
      <c r="C45" s="281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118"/>
    </row>
    <row r="46" spans="2:26" s="96" customFormat="1" x14ac:dyDescent="0.25">
      <c r="B46" s="276" t="str">
        <f t="shared" ref="B46:B53" si="30">B34</f>
        <v>Cake Premix - APF (All Purpose Flour)</v>
      </c>
      <c r="C46" s="281">
        <f>'Products (Premixes)'!H6</f>
        <v>132</v>
      </c>
      <c r="D46" s="88">
        <f t="shared" ref="D46:E53" si="31">$C46*D12</f>
        <v>0</v>
      </c>
      <c r="E46" s="88">
        <f t="shared" si="31"/>
        <v>6813840</v>
      </c>
      <c r="F46" s="88">
        <f t="shared" ref="F46:W46" si="32">$C46*F12</f>
        <v>6969600</v>
      </c>
      <c r="G46" s="88">
        <f t="shared" si="32"/>
        <v>6283200</v>
      </c>
      <c r="H46" s="88">
        <f t="shared" si="32"/>
        <v>11285999.999999998</v>
      </c>
      <c r="I46" s="88">
        <f t="shared" si="32"/>
        <v>12523499.999999998</v>
      </c>
      <c r="J46" s="88">
        <f t="shared" si="32"/>
        <v>14140169.999999998</v>
      </c>
      <c r="K46" s="88">
        <f t="shared" ref="K46:K53" si="33">$C46*K12</f>
        <v>15960062.249999996</v>
      </c>
      <c r="L46" s="88">
        <f t="shared" si="32"/>
        <v>16893575.324999996</v>
      </c>
      <c r="M46" s="88">
        <f t="shared" si="32"/>
        <v>18218561.624999996</v>
      </c>
      <c r="N46" s="88">
        <f t="shared" si="32"/>
        <v>19238801.075999998</v>
      </c>
      <c r="O46" s="88">
        <f t="shared" si="32"/>
        <v>20721791.992275</v>
      </c>
      <c r="P46" s="88">
        <f t="shared" si="32"/>
        <v>21903375.025026005</v>
      </c>
      <c r="Q46" s="88">
        <f t="shared" si="32"/>
        <v>23141391.874266602</v>
      </c>
      <c r="R46" s="88">
        <f t="shared" si="32"/>
        <v>23881916.414243136</v>
      </c>
      <c r="S46" s="88">
        <f t="shared" si="32"/>
        <v>24592819.972620606</v>
      </c>
      <c r="T46" s="88">
        <f t="shared" si="32"/>
        <v>25192644.850001603</v>
      </c>
      <c r="U46" s="88">
        <f t="shared" si="32"/>
        <v>25129663.237876598</v>
      </c>
      <c r="V46" s="88">
        <f t="shared" si="32"/>
        <v>26386146.399770427</v>
      </c>
      <c r="W46" s="88">
        <f t="shared" si="32"/>
        <v>27705453.71975895</v>
      </c>
      <c r="X46" s="118"/>
    </row>
    <row r="47" spans="2:26" s="96" customFormat="1" x14ac:dyDescent="0.25">
      <c r="B47" s="276" t="str">
        <f t="shared" si="30"/>
        <v>Cake Premix - W 100</v>
      </c>
      <c r="C47" s="281">
        <f>'Products (Premixes)'!H7</f>
        <v>197</v>
      </c>
      <c r="D47" s="88">
        <f t="shared" si="31"/>
        <v>0</v>
      </c>
      <c r="E47" s="88">
        <f t="shared" si="31"/>
        <v>0</v>
      </c>
      <c r="F47" s="88">
        <f t="shared" ref="F47:W47" si="34">$C47*F13</f>
        <v>118200</v>
      </c>
      <c r="G47" s="88">
        <f t="shared" si="34"/>
        <v>137900</v>
      </c>
      <c r="H47" s="88">
        <f t="shared" si="34"/>
        <v>295500</v>
      </c>
      <c r="I47" s="88">
        <f t="shared" si="34"/>
        <v>339825</v>
      </c>
      <c r="J47" s="88">
        <f t="shared" si="34"/>
        <v>390798.74999999994</v>
      </c>
      <c r="K47" s="88">
        <f t="shared" si="33"/>
        <v>449418.56249999988</v>
      </c>
      <c r="L47" s="88">
        <f t="shared" si="34"/>
        <v>494360.4187499999</v>
      </c>
      <c r="M47" s="88">
        <f t="shared" si="34"/>
        <v>543796.46062499995</v>
      </c>
      <c r="N47" s="88">
        <f t="shared" si="34"/>
        <v>1196352.2133750001</v>
      </c>
      <c r="O47" s="88">
        <f t="shared" si="34"/>
        <v>1315987.4347125001</v>
      </c>
      <c r="P47" s="88">
        <f t="shared" si="34"/>
        <v>1421266.4294895001</v>
      </c>
      <c r="Q47" s="88">
        <f t="shared" si="34"/>
        <v>1534967.74384866</v>
      </c>
      <c r="R47" s="88">
        <f t="shared" si="34"/>
        <v>2486647.7450348297</v>
      </c>
      <c r="S47" s="88">
        <f t="shared" si="34"/>
        <v>2685579.5646376163</v>
      </c>
      <c r="T47" s="88">
        <f t="shared" si="34"/>
        <v>2819858.5428694971</v>
      </c>
      <c r="U47" s="88">
        <f t="shared" si="34"/>
        <v>2960851.4700129721</v>
      </c>
      <c r="V47" s="88">
        <f t="shared" si="34"/>
        <v>3108894.0435136207</v>
      </c>
      <c r="W47" s="88">
        <f t="shared" si="34"/>
        <v>3264338.7456893022</v>
      </c>
      <c r="X47" s="118"/>
    </row>
    <row r="48" spans="2:26" s="96" customFormat="1" x14ac:dyDescent="0.25">
      <c r="B48" s="276" t="str">
        <f t="shared" si="30"/>
        <v>Cake Premix - GF</v>
      </c>
      <c r="C48" s="281">
        <f>'Products (Premixes)'!H8</f>
        <v>192</v>
      </c>
      <c r="D48" s="88">
        <f t="shared" si="31"/>
        <v>57600</v>
      </c>
      <c r="E48" s="88">
        <f t="shared" si="31"/>
        <v>445440</v>
      </c>
      <c r="F48" s="88">
        <f t="shared" ref="F48:W48" si="35">$C48*F14</f>
        <v>460800</v>
      </c>
      <c r="G48" s="88">
        <f t="shared" si="35"/>
        <v>537600</v>
      </c>
      <c r="H48" s="88">
        <f t="shared" si="35"/>
        <v>1152000</v>
      </c>
      <c r="I48" s="88">
        <f t="shared" si="35"/>
        <v>1656000</v>
      </c>
      <c r="J48" s="88">
        <f t="shared" si="35"/>
        <v>1904400</v>
      </c>
      <c r="K48" s="88">
        <f t="shared" si="33"/>
        <v>2190059.9999999995</v>
      </c>
      <c r="L48" s="88">
        <f t="shared" si="35"/>
        <v>2409065.9999999995</v>
      </c>
      <c r="M48" s="88">
        <f t="shared" si="35"/>
        <v>2649972.5999999996</v>
      </c>
      <c r="N48" s="88">
        <f t="shared" si="35"/>
        <v>2914969.86</v>
      </c>
      <c r="O48" s="88">
        <f t="shared" si="35"/>
        <v>3206466.8460000004</v>
      </c>
      <c r="P48" s="88">
        <f t="shared" si="35"/>
        <v>3462984.1936800005</v>
      </c>
      <c r="Q48" s="88">
        <f t="shared" si="35"/>
        <v>3740022.9291743999</v>
      </c>
      <c r="R48" s="88">
        <f t="shared" si="35"/>
        <v>4847069.7162100235</v>
      </c>
      <c r="S48" s="88">
        <f t="shared" si="35"/>
        <v>5234835.2935068253</v>
      </c>
      <c r="T48" s="88">
        <f t="shared" si="35"/>
        <v>5496577.0581821669</v>
      </c>
      <c r="U48" s="88">
        <f t="shared" si="35"/>
        <v>5771405.9110912755</v>
      </c>
      <c r="V48" s="88">
        <f t="shared" si="35"/>
        <v>6059976.2066458398</v>
      </c>
      <c r="W48" s="88">
        <f t="shared" si="35"/>
        <v>6362975.0169781325</v>
      </c>
      <c r="X48" s="118"/>
    </row>
    <row r="49" spans="2:24" s="96" customFormat="1" x14ac:dyDescent="0.25">
      <c r="B49" s="276" t="str">
        <f t="shared" si="30"/>
        <v>Cake Premix - NAS</v>
      </c>
      <c r="C49" s="281">
        <f>'Products (Premixes)'!H9</f>
        <v>292</v>
      </c>
      <c r="D49" s="88">
        <f t="shared" si="31"/>
        <v>0</v>
      </c>
      <c r="E49" s="88">
        <f t="shared" si="31"/>
        <v>0</v>
      </c>
      <c r="F49" s="88">
        <f t="shared" ref="F49:W49" si="36">$C49*F15</f>
        <v>0</v>
      </c>
      <c r="G49" s="88">
        <f t="shared" si="36"/>
        <v>0</v>
      </c>
      <c r="H49" s="88">
        <f t="shared" si="36"/>
        <v>438000</v>
      </c>
      <c r="I49" s="88">
        <f t="shared" si="36"/>
        <v>503700</v>
      </c>
      <c r="J49" s="88">
        <f t="shared" si="36"/>
        <v>579254.99999999988</v>
      </c>
      <c r="K49" s="88">
        <f t="shared" si="33"/>
        <v>666143.24999999988</v>
      </c>
      <c r="L49" s="88">
        <f t="shared" si="36"/>
        <v>732757.57499999984</v>
      </c>
      <c r="M49" s="88">
        <f t="shared" si="36"/>
        <v>806033.3324999999</v>
      </c>
      <c r="N49" s="88">
        <f t="shared" si="36"/>
        <v>1773273.3314999999</v>
      </c>
      <c r="O49" s="88">
        <f t="shared" si="36"/>
        <v>1950600.6646500002</v>
      </c>
      <c r="P49" s="88">
        <f t="shared" si="36"/>
        <v>2106648.7178219999</v>
      </c>
      <c r="Q49" s="88">
        <f t="shared" si="36"/>
        <v>2275180.6152477604</v>
      </c>
      <c r="R49" s="88">
        <f t="shared" si="36"/>
        <v>2457195.0644675815</v>
      </c>
      <c r="S49" s="88">
        <f t="shared" si="36"/>
        <v>3980656.004437482</v>
      </c>
      <c r="T49" s="88">
        <f t="shared" si="36"/>
        <v>4179688.8046593559</v>
      </c>
      <c r="U49" s="88">
        <f t="shared" si="36"/>
        <v>4388673.2448923243</v>
      </c>
      <c r="V49" s="88">
        <f t="shared" si="36"/>
        <v>4608106.9071369404</v>
      </c>
      <c r="W49" s="88">
        <f t="shared" si="36"/>
        <v>4838512.2524937885</v>
      </c>
      <c r="X49" s="118"/>
    </row>
    <row r="50" spans="2:24" s="96" customFormat="1" x14ac:dyDescent="0.25">
      <c r="B50" s="276" t="str">
        <f t="shared" si="30"/>
        <v>Bread - GF</v>
      </c>
      <c r="C50" s="281">
        <f>'Products (Premixes)'!H10</f>
        <v>217</v>
      </c>
      <c r="D50" s="88">
        <f t="shared" si="31"/>
        <v>151900</v>
      </c>
      <c r="E50" s="88">
        <f t="shared" si="31"/>
        <v>881020.00000000012</v>
      </c>
      <c r="F50" s="88">
        <f t="shared" ref="F50:W50" si="37">$C50*F16</f>
        <v>911400</v>
      </c>
      <c r="G50" s="88">
        <f t="shared" si="37"/>
        <v>1063300.0000000002</v>
      </c>
      <c r="H50" s="88">
        <f t="shared" si="37"/>
        <v>2278500.0000000005</v>
      </c>
      <c r="I50" s="88">
        <f t="shared" si="37"/>
        <v>2620275.0000000005</v>
      </c>
      <c r="J50" s="88">
        <f t="shared" si="37"/>
        <v>3013316.25</v>
      </c>
      <c r="K50" s="88">
        <f t="shared" si="33"/>
        <v>3465313.6874999995</v>
      </c>
      <c r="L50" s="88">
        <f t="shared" si="37"/>
        <v>3811845.0562499994</v>
      </c>
      <c r="M50" s="88">
        <f t="shared" si="37"/>
        <v>4193029.5618749997</v>
      </c>
      <c r="N50" s="88">
        <f t="shared" si="37"/>
        <v>4612332.5180624994</v>
      </c>
      <c r="O50" s="88">
        <f t="shared" si="37"/>
        <v>5073565.7698687501</v>
      </c>
      <c r="P50" s="88">
        <f t="shared" si="37"/>
        <v>5479451.0314582502</v>
      </c>
      <c r="Q50" s="88">
        <f t="shared" si="37"/>
        <v>5917807.1139749112</v>
      </c>
      <c r="R50" s="88">
        <f t="shared" si="37"/>
        <v>6391231.6830929043</v>
      </c>
      <c r="S50" s="88">
        <f t="shared" si="37"/>
        <v>7888605.9631318143</v>
      </c>
      <c r="T50" s="88">
        <f t="shared" si="37"/>
        <v>8283036.2612884054</v>
      </c>
      <c r="U50" s="88">
        <f t="shared" si="37"/>
        <v>8697188.0743528251</v>
      </c>
      <c r="V50" s="88">
        <f t="shared" si="37"/>
        <v>9132047.4780704677</v>
      </c>
      <c r="W50" s="88">
        <f t="shared" si="37"/>
        <v>9588649.8519739918</v>
      </c>
      <c r="X50" s="118"/>
    </row>
    <row r="51" spans="2:24" s="96" customFormat="1" x14ac:dyDescent="0.25">
      <c r="B51" s="276" t="str">
        <f t="shared" si="30"/>
        <v>Bread Premix - 6 G</v>
      </c>
      <c r="C51" s="281">
        <f>'Products (Premixes)'!H11</f>
        <v>56</v>
      </c>
      <c r="D51" s="88">
        <f t="shared" si="31"/>
        <v>0</v>
      </c>
      <c r="E51" s="88">
        <f t="shared" si="31"/>
        <v>0</v>
      </c>
      <c r="F51" s="88">
        <f t="shared" ref="F51:W51" si="38">$C51*F17</f>
        <v>0</v>
      </c>
      <c r="G51" s="88">
        <f t="shared" si="38"/>
        <v>196000</v>
      </c>
      <c r="H51" s="88">
        <f t="shared" si="38"/>
        <v>840000</v>
      </c>
      <c r="I51" s="88">
        <f t="shared" si="38"/>
        <v>966000</v>
      </c>
      <c r="J51" s="88">
        <f t="shared" si="38"/>
        <v>1221989.9999999998</v>
      </c>
      <c r="K51" s="88">
        <f t="shared" si="33"/>
        <v>1405288.4999999995</v>
      </c>
      <c r="L51" s="88">
        <f t="shared" si="38"/>
        <v>1545817.3499999996</v>
      </c>
      <c r="M51" s="88">
        <f t="shared" si="38"/>
        <v>1854980.8199999996</v>
      </c>
      <c r="N51" s="88">
        <f t="shared" si="38"/>
        <v>2040478.9019999998</v>
      </c>
      <c r="O51" s="88">
        <f t="shared" si="38"/>
        <v>2244526.7922</v>
      </c>
      <c r="P51" s="88">
        <f t="shared" si="38"/>
        <v>2424088.9355760003</v>
      </c>
      <c r="Q51" s="88">
        <f t="shared" si="38"/>
        <v>2836184.0546239205</v>
      </c>
      <c r="R51" s="88">
        <f t="shared" si="38"/>
        <v>3063078.7789938343</v>
      </c>
      <c r="S51" s="88">
        <f t="shared" si="38"/>
        <v>3308125.0813133414</v>
      </c>
      <c r="T51" s="88">
        <f t="shared" si="38"/>
        <v>3473531.3353790087</v>
      </c>
      <c r="U51" s="88">
        <f t="shared" si="38"/>
        <v>3927762.3561593406</v>
      </c>
      <c r="V51" s="88">
        <f t="shared" si="38"/>
        <v>4124150.4739673082</v>
      </c>
      <c r="W51" s="88">
        <f t="shared" si="38"/>
        <v>4330357.9976656744</v>
      </c>
      <c r="X51" s="118"/>
    </row>
    <row r="52" spans="2:24" s="96" customFormat="1" x14ac:dyDescent="0.25">
      <c r="B52" s="276" t="str">
        <f t="shared" si="30"/>
        <v>Bread Premix- W 100</v>
      </c>
      <c r="C52" s="281">
        <f>'Products (Premixes)'!H12</f>
        <v>54</v>
      </c>
      <c r="D52" s="88">
        <f t="shared" si="31"/>
        <v>0</v>
      </c>
      <c r="E52" s="88">
        <f t="shared" si="31"/>
        <v>0</v>
      </c>
      <c r="F52" s="88">
        <f t="shared" ref="F52:W53" si="39">$C52*F18</f>
        <v>0</v>
      </c>
      <c r="G52" s="88">
        <f t="shared" si="39"/>
        <v>189000</v>
      </c>
      <c r="H52" s="88">
        <f t="shared" si="39"/>
        <v>810000</v>
      </c>
      <c r="I52" s="88">
        <f t="shared" si="39"/>
        <v>1024650</v>
      </c>
      <c r="J52" s="88">
        <f t="shared" si="39"/>
        <v>1178347.4999999998</v>
      </c>
      <c r="K52" s="88">
        <f t="shared" si="33"/>
        <v>1355099.6249999995</v>
      </c>
      <c r="L52" s="88">
        <f t="shared" si="39"/>
        <v>1626119.5499999996</v>
      </c>
      <c r="M52" s="88">
        <f t="shared" si="39"/>
        <v>1788731.5049999997</v>
      </c>
      <c r="N52" s="88">
        <f t="shared" si="39"/>
        <v>1967604.6554999999</v>
      </c>
      <c r="O52" s="88">
        <f t="shared" si="39"/>
        <v>2164365.1210499997</v>
      </c>
      <c r="P52" s="88">
        <f t="shared" si="39"/>
        <v>2532307.1916285004</v>
      </c>
      <c r="Q52" s="88">
        <f t="shared" si="39"/>
        <v>2734891.7669587806</v>
      </c>
      <c r="R52" s="88">
        <f t="shared" si="39"/>
        <v>2953683.1083154827</v>
      </c>
      <c r="S52" s="88">
        <f t="shared" si="39"/>
        <v>3189977.7569807218</v>
      </c>
      <c r="T52" s="88">
        <f t="shared" si="39"/>
        <v>3607128.6944320472</v>
      </c>
      <c r="U52" s="88">
        <f t="shared" si="39"/>
        <v>3787485.1291536503</v>
      </c>
      <c r="V52" s="88">
        <f t="shared" si="39"/>
        <v>3976859.3856113325</v>
      </c>
      <c r="W52" s="88">
        <f t="shared" si="39"/>
        <v>4175702.3548919</v>
      </c>
      <c r="X52" s="118"/>
    </row>
    <row r="53" spans="2:24" s="96" customFormat="1" x14ac:dyDescent="0.25">
      <c r="B53" s="276" t="str">
        <f t="shared" si="30"/>
        <v>Bread Premix- All Purpose</v>
      </c>
      <c r="C53" s="281">
        <f>'Products (Premixes)'!H13</f>
        <v>56</v>
      </c>
      <c r="D53" s="88">
        <f t="shared" si="31"/>
        <v>0</v>
      </c>
      <c r="E53" s="88">
        <f t="shared" si="31"/>
        <v>0</v>
      </c>
      <c r="F53" s="88">
        <f t="shared" si="39"/>
        <v>0</v>
      </c>
      <c r="G53" s="88">
        <f t="shared" si="39"/>
        <v>392000</v>
      </c>
      <c r="H53" s="88">
        <f t="shared" si="39"/>
        <v>840000</v>
      </c>
      <c r="I53" s="88">
        <f t="shared" si="39"/>
        <v>966000</v>
      </c>
      <c r="J53" s="88">
        <f t="shared" si="39"/>
        <v>1110900</v>
      </c>
      <c r="K53" s="88">
        <f t="shared" si="33"/>
        <v>1405288.4999999995</v>
      </c>
      <c r="L53" s="88">
        <f t="shared" si="39"/>
        <v>1686346.1999999997</v>
      </c>
      <c r="M53" s="88">
        <f t="shared" si="39"/>
        <v>1854980.8199999996</v>
      </c>
      <c r="N53" s="88">
        <f t="shared" si="39"/>
        <v>2040478.9019999998</v>
      </c>
      <c r="O53" s="88">
        <f t="shared" si="39"/>
        <v>2431570.6915500001</v>
      </c>
      <c r="P53" s="88">
        <f t="shared" si="39"/>
        <v>2626096.346874</v>
      </c>
      <c r="Q53" s="88">
        <f t="shared" si="39"/>
        <v>2836184.0546239205</v>
      </c>
      <c r="R53" s="88">
        <f t="shared" si="39"/>
        <v>3063078.7789938343</v>
      </c>
      <c r="S53" s="88">
        <f t="shared" si="39"/>
        <v>3308125.0813133414</v>
      </c>
      <c r="T53" s="88">
        <f t="shared" si="39"/>
        <v>3473531.3353790087</v>
      </c>
      <c r="U53" s="88">
        <f t="shared" si="39"/>
        <v>3927762.3561593406</v>
      </c>
      <c r="V53" s="88">
        <f t="shared" si="39"/>
        <v>4124150.4739673082</v>
      </c>
      <c r="W53" s="88">
        <f t="shared" si="39"/>
        <v>4330357.9976656744</v>
      </c>
      <c r="X53" s="118"/>
    </row>
    <row r="54" spans="2:24" s="96" customFormat="1" x14ac:dyDescent="0.25">
      <c r="B54" s="288" t="s">
        <v>372</v>
      </c>
      <c r="C54" s="281"/>
      <c r="D54" s="78">
        <f t="shared" ref="D54:W54" si="40">SUM(D46:D53)</f>
        <v>209500</v>
      </c>
      <c r="E54" s="78">
        <f t="shared" si="40"/>
        <v>8140300</v>
      </c>
      <c r="F54" s="78">
        <f t="shared" si="40"/>
        <v>8460000</v>
      </c>
      <c r="G54" s="78">
        <f t="shared" si="40"/>
        <v>8799000</v>
      </c>
      <c r="H54" s="78">
        <f t="shared" si="40"/>
        <v>17940000</v>
      </c>
      <c r="I54" s="78">
        <f t="shared" si="40"/>
        <v>20599950</v>
      </c>
      <c r="J54" s="78">
        <f t="shared" si="40"/>
        <v>23539177.499999996</v>
      </c>
      <c r="K54" s="78">
        <f t="shared" si="40"/>
        <v>26896674.374999996</v>
      </c>
      <c r="L54" s="78">
        <f t="shared" si="40"/>
        <v>29199887.474999994</v>
      </c>
      <c r="M54" s="78">
        <f t="shared" si="40"/>
        <v>31910086.724999994</v>
      </c>
      <c r="N54" s="78">
        <f t="shared" si="40"/>
        <v>35784291.458437495</v>
      </c>
      <c r="O54" s="78">
        <f t="shared" si="40"/>
        <v>39108875.312306255</v>
      </c>
      <c r="P54" s="78">
        <f t="shared" si="40"/>
        <v>41956217.871554255</v>
      </c>
      <c r="Q54" s="78">
        <f t="shared" si="40"/>
        <v>45016630.152718961</v>
      </c>
      <c r="R54" s="78">
        <f t="shared" si="40"/>
        <v>49143901.289351635</v>
      </c>
      <c r="S54" s="78">
        <f t="shared" si="40"/>
        <v>54188724.717941754</v>
      </c>
      <c r="T54" s="78">
        <f t="shared" si="40"/>
        <v>56525996.882191107</v>
      </c>
      <c r="U54" s="78">
        <f t="shared" si="40"/>
        <v>58590791.779698327</v>
      </c>
      <c r="V54" s="78">
        <f t="shared" si="40"/>
        <v>61520331.368683241</v>
      </c>
      <c r="W54" s="78">
        <f t="shared" si="40"/>
        <v>64596347.937117413</v>
      </c>
      <c r="X54" s="118"/>
    </row>
    <row r="55" spans="2:24" s="96" customFormat="1" x14ac:dyDescent="0.25">
      <c r="B55" s="289" t="str">
        <f>B43</f>
        <v>Growth %</v>
      </c>
      <c r="C55" s="281"/>
      <c r="D55" s="277"/>
      <c r="E55" s="277"/>
      <c r="F55" s="277">
        <f>F54/E54-1</f>
        <v>3.9273736840165663E-2</v>
      </c>
      <c r="G55" s="277">
        <f>G54/F54-1</f>
        <v>4.0070921985815522E-2</v>
      </c>
      <c r="H55" s="277">
        <f t="shared" ref="H55:U55" si="41">H54/G54-1</f>
        <v>1.0388680531878625</v>
      </c>
      <c r="I55" s="277">
        <f t="shared" si="41"/>
        <v>0.14826923076923082</v>
      </c>
      <c r="J55" s="277">
        <f t="shared" si="41"/>
        <v>0.14268129291575926</v>
      </c>
      <c r="K55" s="277">
        <f t="shared" si="41"/>
        <v>0.14263441766391383</v>
      </c>
      <c r="L55" s="277">
        <f t="shared" si="41"/>
        <v>8.5631891433417984E-2</v>
      </c>
      <c r="M55" s="277">
        <f t="shared" si="41"/>
        <v>9.2815400481265131E-2</v>
      </c>
      <c r="N55" s="277">
        <f t="shared" si="41"/>
        <v>0.12141003460207611</v>
      </c>
      <c r="O55" s="277">
        <f t="shared" si="41"/>
        <v>9.2906236741620907E-2</v>
      </c>
      <c r="P55" s="277">
        <f t="shared" si="41"/>
        <v>7.2805534204458011E-2</v>
      </c>
      <c r="Q55" s="277">
        <f t="shared" si="41"/>
        <v>7.2942997162754875E-2</v>
      </c>
      <c r="R55" s="277">
        <f t="shared" si="41"/>
        <v>9.168325400259647E-2</v>
      </c>
      <c r="S55" s="277">
        <f t="shared" si="41"/>
        <v>0.10265410958904098</v>
      </c>
      <c r="T55" s="277">
        <f t="shared" si="41"/>
        <v>4.3132075471698395E-2</v>
      </c>
      <c r="U55" s="277">
        <f t="shared" si="41"/>
        <v>3.6528234996201281E-2</v>
      </c>
      <c r="V55" s="277">
        <f>V54/U54-1</f>
        <v>5.0000000000000044E-2</v>
      </c>
      <c r="W55" s="277">
        <f>W54/V54-1</f>
        <v>5.0000000000000044E-2</v>
      </c>
      <c r="X55" s="118"/>
    </row>
    <row r="56" spans="2:24" s="96" customFormat="1" x14ac:dyDescent="0.25">
      <c r="B56" s="276"/>
      <c r="C56" s="281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118"/>
    </row>
    <row r="57" spans="2:24" s="96" customFormat="1" x14ac:dyDescent="0.25">
      <c r="B57" s="288" t="s">
        <v>382</v>
      </c>
      <c r="C57" s="281"/>
      <c r="D57" s="277">
        <f t="shared" ref="D57" si="42">D54/D42</f>
        <v>0.60839704078002599</v>
      </c>
      <c r="E57" s="277">
        <f t="shared" ref="E57:W57" si="43">E54/E42</f>
        <v>0.75864659825243719</v>
      </c>
      <c r="F57" s="277">
        <f t="shared" si="43"/>
        <v>0.75839886401531853</v>
      </c>
      <c r="G57" s="277">
        <f t="shared" si="43"/>
        <v>0.73947483755967425</v>
      </c>
      <c r="H57" s="277">
        <f t="shared" si="43"/>
        <v>0.72542552788202741</v>
      </c>
      <c r="I57" s="277">
        <f t="shared" si="43"/>
        <v>0.72074138227599049</v>
      </c>
      <c r="J57" s="277">
        <f t="shared" si="43"/>
        <v>0.71946546371750097</v>
      </c>
      <c r="K57" s="277">
        <f t="shared" si="43"/>
        <v>0.71840743877694024</v>
      </c>
      <c r="L57" s="277">
        <f t="shared" si="43"/>
        <v>0.71604391276522428</v>
      </c>
      <c r="M57" s="277">
        <f t="shared" si="43"/>
        <v>0.71472071175301333</v>
      </c>
      <c r="N57" s="277">
        <f t="shared" si="43"/>
        <v>0.71283942664362099</v>
      </c>
      <c r="O57" s="277">
        <f t="shared" si="43"/>
        <v>0.71175112721282474</v>
      </c>
      <c r="P57" s="277">
        <f t="shared" si="43"/>
        <v>0.71043867190542154</v>
      </c>
      <c r="Q57" s="277">
        <f t="shared" si="43"/>
        <v>0.70909908209870021</v>
      </c>
      <c r="R57" s="277">
        <f t="shared" si="43"/>
        <v>0.70579775389533284</v>
      </c>
      <c r="S57" s="277">
        <f t="shared" si="43"/>
        <v>0.70140973062631329</v>
      </c>
      <c r="T57" s="277">
        <f t="shared" si="43"/>
        <v>0.70009144859599093</v>
      </c>
      <c r="U57" s="277">
        <f t="shared" si="43"/>
        <v>0.6976123404908936</v>
      </c>
      <c r="V57" s="277">
        <f t="shared" si="43"/>
        <v>0.6976123404908936</v>
      </c>
      <c r="W57" s="277">
        <f t="shared" si="43"/>
        <v>0.6976123404908936</v>
      </c>
      <c r="X57" s="118"/>
    </row>
    <row r="58" spans="2:24" s="96" customFormat="1" x14ac:dyDescent="0.25">
      <c r="B58" s="288"/>
      <c r="C58" s="281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118"/>
    </row>
    <row r="59" spans="2:24" s="96" customFormat="1" x14ac:dyDescent="0.25">
      <c r="B59" s="219" t="s">
        <v>321</v>
      </c>
      <c r="C59" s="281"/>
      <c r="D59" s="88">
        <f>D7</f>
        <v>1000</v>
      </c>
      <c r="E59" s="88">
        <f>E7</f>
        <v>58000</v>
      </c>
      <c r="F59" s="88">
        <f t="shared" ref="F59:W59" si="44">F7</f>
        <v>60000</v>
      </c>
      <c r="G59" s="88">
        <f t="shared" si="44"/>
        <v>70000</v>
      </c>
      <c r="H59" s="88">
        <f t="shared" si="44"/>
        <v>150000</v>
      </c>
      <c r="I59" s="88">
        <f t="shared" si="44"/>
        <v>172500</v>
      </c>
      <c r="J59" s="88">
        <f t="shared" si="44"/>
        <v>198374.99999999997</v>
      </c>
      <c r="K59" s="88">
        <f t="shared" si="44"/>
        <v>228131.24999999994</v>
      </c>
      <c r="L59" s="88">
        <f t="shared" si="44"/>
        <v>250944.37499999994</v>
      </c>
      <c r="M59" s="88">
        <f t="shared" si="44"/>
        <v>276038.81249999994</v>
      </c>
      <c r="N59" s="88">
        <f t="shared" si="44"/>
        <v>303642.69374999998</v>
      </c>
      <c r="O59" s="88">
        <f t="shared" si="44"/>
        <v>334006.96312500001</v>
      </c>
      <c r="P59" s="88">
        <f t="shared" si="44"/>
        <v>360727.52017500001</v>
      </c>
      <c r="Q59" s="88">
        <f t="shared" si="44"/>
        <v>389585.72178900003</v>
      </c>
      <c r="R59" s="88">
        <f t="shared" si="44"/>
        <v>420752.57953212009</v>
      </c>
      <c r="S59" s="88">
        <f t="shared" si="44"/>
        <v>454412.78589468973</v>
      </c>
      <c r="T59" s="88">
        <f t="shared" si="44"/>
        <v>477133.42518942425</v>
      </c>
      <c r="U59" s="88">
        <f t="shared" si="44"/>
        <v>500990.09644889546</v>
      </c>
      <c r="V59" s="88">
        <f t="shared" si="44"/>
        <v>526039.60127134027</v>
      </c>
      <c r="W59" s="88">
        <f t="shared" si="44"/>
        <v>552341.58133490733</v>
      </c>
      <c r="X59" s="118"/>
    </row>
    <row r="60" spans="2:24" s="97" customFormat="1" x14ac:dyDescent="0.25">
      <c r="B60" s="219" t="s">
        <v>114</v>
      </c>
      <c r="C60" s="281"/>
      <c r="D60" s="88">
        <f t="shared" ref="D60" si="45">D42</f>
        <v>344347.5</v>
      </c>
      <c r="E60" s="88">
        <f t="shared" ref="E60:W60" si="46">E42</f>
        <v>10730029</v>
      </c>
      <c r="F60" s="88">
        <f t="shared" si="46"/>
        <v>11155080</v>
      </c>
      <c r="G60" s="88">
        <f t="shared" si="46"/>
        <v>11898985</v>
      </c>
      <c r="H60" s="88">
        <f t="shared" si="46"/>
        <v>24730312.5</v>
      </c>
      <c r="I60" s="88">
        <f t="shared" si="46"/>
        <v>28581611.25</v>
      </c>
      <c r="J60" s="88">
        <f t="shared" si="46"/>
        <v>32717591.999999996</v>
      </c>
      <c r="K60" s="88">
        <f t="shared" si="46"/>
        <v>37439303.831249997</v>
      </c>
      <c r="L60" s="88">
        <f t="shared" si="46"/>
        <v>40779464.714999989</v>
      </c>
      <c r="M60" s="88">
        <f t="shared" si="46"/>
        <v>44646931.591968738</v>
      </c>
      <c r="N60" s="88">
        <f t="shared" si="46"/>
        <v>50199652.433545314</v>
      </c>
      <c r="O60" s="88">
        <f t="shared" si="46"/>
        <v>54947402.001952976</v>
      </c>
      <c r="P60" s="88">
        <f t="shared" si="46"/>
        <v>59056776.511090256</v>
      </c>
      <c r="Q60" s="88">
        <f t="shared" si="46"/>
        <v>63484259.519113369</v>
      </c>
      <c r="R60" s="88">
        <f t="shared" si="46"/>
        <v>69628871.752742201</v>
      </c>
      <c r="S60" s="88">
        <f t="shared" si="46"/>
        <v>77256876.190689206</v>
      </c>
      <c r="T60" s="88">
        <f t="shared" si="46"/>
        <v>80740876.060623258</v>
      </c>
      <c r="U60" s="88">
        <f t="shared" si="46"/>
        <v>83987607.986506298</v>
      </c>
      <c r="V60" s="88">
        <f t="shared" si="46"/>
        <v>88186988.385831609</v>
      </c>
      <c r="W60" s="88">
        <f t="shared" si="46"/>
        <v>92596337.80512321</v>
      </c>
      <c r="X60" s="118"/>
    </row>
    <row r="61" spans="2:24" s="97" customFormat="1" x14ac:dyDescent="0.25">
      <c r="B61" s="219" t="s">
        <v>115</v>
      </c>
      <c r="C61" s="281"/>
      <c r="D61" s="419">
        <f>D60/3</f>
        <v>114782.5</v>
      </c>
      <c r="E61" s="419">
        <f>E60/3</f>
        <v>3576676.3333333335</v>
      </c>
      <c r="F61" s="419">
        <f t="shared" ref="F61:W61" si="47">F60/3</f>
        <v>3718360</v>
      </c>
      <c r="G61" s="419">
        <f t="shared" si="47"/>
        <v>3966328.3333333335</v>
      </c>
      <c r="H61" s="419">
        <f t="shared" si="47"/>
        <v>8243437.5</v>
      </c>
      <c r="I61" s="419">
        <f t="shared" si="47"/>
        <v>9527203.75</v>
      </c>
      <c r="J61" s="419">
        <f t="shared" si="47"/>
        <v>10905863.999999998</v>
      </c>
      <c r="K61" s="419">
        <f t="shared" si="47"/>
        <v>12479767.94375</v>
      </c>
      <c r="L61" s="419">
        <f t="shared" si="47"/>
        <v>13593154.904999996</v>
      </c>
      <c r="M61" s="419">
        <f t="shared" si="47"/>
        <v>14882310.530656246</v>
      </c>
      <c r="N61" s="419">
        <f t="shared" si="47"/>
        <v>16733217.477848439</v>
      </c>
      <c r="O61" s="419">
        <f t="shared" si="47"/>
        <v>18315800.667317659</v>
      </c>
      <c r="P61" s="419">
        <f t="shared" si="47"/>
        <v>19685592.170363419</v>
      </c>
      <c r="Q61" s="419">
        <f t="shared" si="47"/>
        <v>21161419.839704458</v>
      </c>
      <c r="R61" s="419">
        <f t="shared" si="47"/>
        <v>23209623.917580735</v>
      </c>
      <c r="S61" s="419">
        <f t="shared" si="47"/>
        <v>25752292.063563067</v>
      </c>
      <c r="T61" s="419">
        <f t="shared" si="47"/>
        <v>26913625.353541087</v>
      </c>
      <c r="U61" s="419">
        <f t="shared" si="47"/>
        <v>27995869.328835431</v>
      </c>
      <c r="V61" s="419">
        <f t="shared" si="47"/>
        <v>29395662.795277204</v>
      </c>
      <c r="W61" s="419">
        <f t="shared" si="47"/>
        <v>30865445.93504107</v>
      </c>
      <c r="X61" s="118"/>
    </row>
    <row r="62" spans="2:24" s="97" customFormat="1" x14ac:dyDescent="0.25">
      <c r="B62" s="219"/>
      <c r="C62" s="281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118"/>
    </row>
    <row r="63" spans="2:24" s="96" customFormat="1" ht="26.25" hidden="1" x14ac:dyDescent="0.25">
      <c r="B63" s="221" t="s">
        <v>116</v>
      </c>
      <c r="C63" s="281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118"/>
    </row>
    <row r="64" spans="2:24" s="96" customFormat="1" ht="17.25" customHeight="1" x14ac:dyDescent="0.25">
      <c r="B64" s="220" t="s">
        <v>383</v>
      </c>
      <c r="C64" s="281"/>
      <c r="D64" s="88"/>
      <c r="E64" s="88"/>
      <c r="F64" s="88"/>
      <c r="G64" s="88">
        <f>SUM(D60:G60)</f>
        <v>34128441.5</v>
      </c>
      <c r="H64" s="88"/>
      <c r="I64" s="88"/>
      <c r="J64" s="88"/>
      <c r="K64" s="88">
        <f>SUM(H60:K60)</f>
        <v>123468819.58125</v>
      </c>
      <c r="L64" s="88"/>
      <c r="M64" s="88"/>
      <c r="N64" s="88"/>
      <c r="O64" s="88">
        <f>SUM(L60:O60)</f>
        <v>190573450.74246702</v>
      </c>
      <c r="P64" s="88"/>
      <c r="Q64" s="88"/>
      <c r="R64" s="88"/>
      <c r="S64" s="88">
        <f>SUM(P60:S60)</f>
        <v>269426783.97363502</v>
      </c>
      <c r="T64" s="88"/>
      <c r="U64" s="88"/>
      <c r="V64" s="88"/>
      <c r="W64" s="88">
        <f>SUM(T60:W60)</f>
        <v>345511810.23808438</v>
      </c>
      <c r="X64" s="118"/>
    </row>
    <row r="65" spans="2:24" x14ac:dyDescent="0.25">
      <c r="B65" s="220" t="s">
        <v>584</v>
      </c>
      <c r="C65" s="281"/>
      <c r="D65" s="88">
        <f t="shared" ref="D65" si="48">D54</f>
        <v>209500</v>
      </c>
      <c r="E65" s="88">
        <f t="shared" ref="E65:W65" si="49">E54</f>
        <v>8140300</v>
      </c>
      <c r="F65" s="88">
        <f t="shared" si="49"/>
        <v>8460000</v>
      </c>
      <c r="G65" s="88">
        <f t="shared" si="49"/>
        <v>8799000</v>
      </c>
      <c r="H65" s="88">
        <f t="shared" si="49"/>
        <v>17940000</v>
      </c>
      <c r="I65" s="88">
        <f t="shared" si="49"/>
        <v>20599950</v>
      </c>
      <c r="J65" s="88">
        <f t="shared" si="49"/>
        <v>23539177.499999996</v>
      </c>
      <c r="K65" s="88">
        <f t="shared" si="49"/>
        <v>26896674.374999996</v>
      </c>
      <c r="L65" s="88">
        <f t="shared" si="49"/>
        <v>29199887.474999994</v>
      </c>
      <c r="M65" s="88">
        <f t="shared" si="49"/>
        <v>31910086.724999994</v>
      </c>
      <c r="N65" s="88">
        <f t="shared" si="49"/>
        <v>35784291.458437495</v>
      </c>
      <c r="O65" s="88">
        <f t="shared" si="49"/>
        <v>39108875.312306255</v>
      </c>
      <c r="P65" s="88">
        <f t="shared" si="49"/>
        <v>41956217.871554255</v>
      </c>
      <c r="Q65" s="88">
        <f t="shared" si="49"/>
        <v>45016630.152718961</v>
      </c>
      <c r="R65" s="88">
        <f t="shared" si="49"/>
        <v>49143901.289351635</v>
      </c>
      <c r="S65" s="88">
        <f t="shared" si="49"/>
        <v>54188724.717941754</v>
      </c>
      <c r="T65" s="88">
        <f t="shared" si="49"/>
        <v>56525996.882191107</v>
      </c>
      <c r="U65" s="88">
        <f t="shared" si="49"/>
        <v>58590791.779698327</v>
      </c>
      <c r="V65" s="88">
        <f t="shared" si="49"/>
        <v>61520331.368683241</v>
      </c>
      <c r="W65" s="88">
        <f t="shared" si="49"/>
        <v>64596347.937117413</v>
      </c>
      <c r="X65" s="118"/>
    </row>
    <row r="66" spans="2:24" x14ac:dyDescent="0.25">
      <c r="B66" s="220" t="s">
        <v>583</v>
      </c>
      <c r="C66" s="281"/>
      <c r="D66" s="88"/>
      <c r="E66" s="88"/>
      <c r="F66" s="88"/>
      <c r="G66" s="88">
        <f>SUM(D65:G65)</f>
        <v>25608800</v>
      </c>
      <c r="H66" s="88"/>
      <c r="I66" s="88"/>
      <c r="J66" s="88"/>
      <c r="K66" s="88">
        <f>SUM(H65:K65)</f>
        <v>88975801.875</v>
      </c>
      <c r="L66" s="88"/>
      <c r="M66" s="88"/>
      <c r="N66" s="88"/>
      <c r="O66" s="88">
        <f>SUM(L65:O65)</f>
        <v>136003140.97074375</v>
      </c>
      <c r="P66" s="88"/>
      <c r="Q66" s="88"/>
      <c r="R66" s="88"/>
      <c r="S66" s="88">
        <f>SUM(P65:S65)</f>
        <v>190305474.03156662</v>
      </c>
      <c r="T66" s="88"/>
      <c r="U66" s="88"/>
      <c r="V66" s="88"/>
      <c r="W66" s="88">
        <f>SUM(T65:W65)</f>
        <v>241233467.96769011</v>
      </c>
      <c r="X66" s="118"/>
    </row>
    <row r="67" spans="2:24" x14ac:dyDescent="0.25">
      <c r="B67" s="222" t="s">
        <v>585</v>
      </c>
      <c r="C67" s="282"/>
      <c r="D67" s="223"/>
      <c r="E67" s="223"/>
      <c r="F67" s="223"/>
      <c r="G67" s="223">
        <f>G66/G64</f>
        <v>0.75036535143276317</v>
      </c>
      <c r="H67" s="223"/>
      <c r="I67" s="223"/>
      <c r="J67" s="223"/>
      <c r="K67" s="223">
        <f>K66/K64</f>
        <v>0.72063377763523939</v>
      </c>
      <c r="L67" s="223"/>
      <c r="M67" s="223"/>
      <c r="N67" s="223"/>
      <c r="O67" s="223">
        <f>O66/O64</f>
        <v>0.71365208763802412</v>
      </c>
      <c r="P67" s="223"/>
      <c r="Q67" s="223"/>
      <c r="R67" s="223"/>
      <c r="S67" s="223">
        <f>S66/S64</f>
        <v>0.7063346532399285</v>
      </c>
      <c r="T67" s="223"/>
      <c r="U67" s="223"/>
      <c r="V67" s="223"/>
      <c r="W67" s="223">
        <f>W66/W64</f>
        <v>0.69819167050024011</v>
      </c>
      <c r="X67" s="118"/>
    </row>
    <row r="68" spans="2:24" x14ac:dyDescent="0.25">
      <c r="D68" s="94"/>
      <c r="E68" s="94"/>
    </row>
    <row r="69" spans="2:24" ht="18" x14ac:dyDescent="0.25">
      <c r="B69" s="217" t="s">
        <v>319</v>
      </c>
      <c r="C69" s="284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24" x14ac:dyDescent="0.25">
      <c r="B70" s="100" t="s">
        <v>117</v>
      </c>
      <c r="C70" s="285"/>
      <c r="D70" s="285"/>
      <c r="E70" s="285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24" ht="45" x14ac:dyDescent="0.25">
      <c r="B71" s="216" t="s">
        <v>320</v>
      </c>
      <c r="C71" s="286"/>
      <c r="D71" s="286"/>
      <c r="E71" s="286"/>
      <c r="F71" s="95"/>
      <c r="G71" s="95"/>
      <c r="H71" s="95"/>
      <c r="I71" s="95"/>
      <c r="J71" s="95"/>
      <c r="K71" s="95"/>
      <c r="L71" s="95"/>
      <c r="M71" s="95"/>
      <c r="N71" s="95"/>
      <c r="O71" s="95"/>
    </row>
    <row r="72" spans="2:24" x14ac:dyDescent="0.25">
      <c r="B72" s="95"/>
      <c r="C72" s="287"/>
      <c r="D72" s="287"/>
      <c r="E72" s="287"/>
      <c r="F72" s="95"/>
      <c r="G72" s="95"/>
      <c r="H72" s="95"/>
      <c r="I72" s="95"/>
      <c r="J72" s="95"/>
      <c r="K72" s="95"/>
      <c r="L72" s="95"/>
      <c r="M72" s="95"/>
      <c r="N72" s="95"/>
      <c r="O72" s="95"/>
    </row>
    <row r="73" spans="2:24" x14ac:dyDescent="0.25">
      <c r="B73" s="95"/>
      <c r="C73" s="287"/>
      <c r="D73" s="287"/>
      <c r="E73" s="287"/>
      <c r="F73" s="95"/>
      <c r="G73" s="95"/>
      <c r="H73" s="95"/>
      <c r="I73" s="95"/>
      <c r="J73" s="95"/>
      <c r="K73" s="95"/>
      <c r="L73" s="95"/>
      <c r="M73" s="95"/>
      <c r="N73" s="95"/>
      <c r="O73" s="95"/>
    </row>
    <row r="74" spans="2:24" x14ac:dyDescent="0.25">
      <c r="B74" s="95"/>
      <c r="C74" s="287"/>
      <c r="D74" s="287"/>
      <c r="E74" s="287"/>
      <c r="F74" s="95"/>
      <c r="G74" s="95"/>
      <c r="H74" s="95"/>
      <c r="I74" s="95"/>
      <c r="J74" s="95"/>
      <c r="K74" s="95"/>
      <c r="L74" s="95"/>
      <c r="M74" s="95"/>
      <c r="N74" s="95"/>
      <c r="O74" s="95"/>
    </row>
    <row r="75" spans="2:24" x14ac:dyDescent="0.25">
      <c r="B75" s="95"/>
      <c r="C75" s="287"/>
      <c r="D75" s="287"/>
      <c r="E75" s="287"/>
      <c r="F75" s="95"/>
      <c r="G75" s="95"/>
      <c r="H75" s="95"/>
      <c r="I75" s="95"/>
      <c r="J75" s="95"/>
      <c r="K75" s="95"/>
      <c r="L75" s="95"/>
      <c r="M75" s="95"/>
      <c r="N75" s="98"/>
      <c r="O75" s="98"/>
    </row>
  </sheetData>
  <mergeCells count="5">
    <mergeCell ref="T4:W4"/>
    <mergeCell ref="D4:G4"/>
    <mergeCell ref="H4:K4"/>
    <mergeCell ref="L4:O4"/>
    <mergeCell ref="P4:S4"/>
  </mergeCells>
  <pageMargins left="0.7" right="0.7" top="0.75" bottom="0.75" header="0.3" footer="0.3"/>
  <pageSetup scale="54" orientation="portrait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3"/>
  <sheetViews>
    <sheetView showGridLines="0" topLeftCell="A4" zoomScale="90" zoomScaleNormal="90" workbookViewId="0"/>
  </sheetViews>
  <sheetFormatPr defaultRowHeight="15" x14ac:dyDescent="0.25"/>
  <cols>
    <col min="1" max="1" width="5" style="73" customWidth="1"/>
    <col min="2" max="2" width="7" style="73" customWidth="1"/>
    <col min="3" max="3" width="33.42578125" style="73" customWidth="1"/>
    <col min="4" max="4" width="15" style="73" customWidth="1"/>
    <col min="5" max="5" width="14.140625" style="73" bestFit="1" customWidth="1"/>
    <col min="6" max="7" width="13.28515625" style="73" customWidth="1"/>
    <col min="8" max="8" width="14" style="73" customWidth="1"/>
    <col min="9" max="9" width="13" style="73" customWidth="1"/>
    <col min="10" max="10" width="10.5703125" style="73" bestFit="1" customWidth="1"/>
    <col min="11" max="11" width="11" style="73" customWidth="1"/>
    <col min="12" max="12" width="11.85546875" style="73" customWidth="1"/>
    <col min="13" max="14" width="9.140625" style="73" customWidth="1"/>
    <col min="15" max="16384" width="9.140625" style="73"/>
  </cols>
  <sheetData>
    <row r="1" spans="1:14" s="495" customFormat="1" x14ac:dyDescent="0.25">
      <c r="A1" s="542" t="str">
        <f>Summary!A1</f>
        <v>ABC Nutri foods</v>
      </c>
      <c r="B1" s="494"/>
    </row>
    <row r="2" spans="1:14" s="497" customFormat="1" x14ac:dyDescent="0.25">
      <c r="A2" s="493" t="s">
        <v>646</v>
      </c>
      <c r="B2" s="496"/>
    </row>
    <row r="4" spans="1:14" s="130" customFormat="1" ht="18.75" x14ac:dyDescent="0.3">
      <c r="B4" s="638" t="s">
        <v>133</v>
      </c>
      <c r="C4" s="639"/>
      <c r="D4" s="639"/>
      <c r="E4" s="639"/>
      <c r="F4" s="639"/>
      <c r="G4" s="639"/>
      <c r="H4" s="639"/>
      <c r="I4" s="639"/>
      <c r="J4" s="73"/>
      <c r="K4" s="73"/>
      <c r="L4" s="73"/>
    </row>
    <row r="5" spans="1:14" s="91" customFormat="1" ht="74.25" customHeight="1" x14ac:dyDescent="0.3">
      <c r="B5" s="117" t="s">
        <v>132</v>
      </c>
      <c r="C5" s="117" t="s">
        <v>118</v>
      </c>
      <c r="D5" s="117" t="s">
        <v>543</v>
      </c>
      <c r="E5" s="117" t="s">
        <v>120</v>
      </c>
      <c r="F5" s="117" t="s">
        <v>568</v>
      </c>
      <c r="G5" s="117" t="s">
        <v>569</v>
      </c>
      <c r="H5" s="117" t="s">
        <v>571</v>
      </c>
      <c r="I5" s="117" t="s">
        <v>570</v>
      </c>
      <c r="L5" s="73"/>
      <c r="M5" s="130"/>
      <c r="N5" s="130"/>
    </row>
    <row r="6" spans="1:14" ht="18.75" x14ac:dyDescent="0.3">
      <c r="B6" s="92">
        <v>1</v>
      </c>
      <c r="C6" s="418" t="s">
        <v>499</v>
      </c>
      <c r="D6" s="194">
        <v>1000</v>
      </c>
      <c r="E6" s="88">
        <v>4</v>
      </c>
      <c r="F6" s="606">
        <f>(26+1.5)*(D6/100)+15</f>
        <v>290</v>
      </c>
      <c r="G6" s="88">
        <f>F6*E6</f>
        <v>1160</v>
      </c>
      <c r="H6" s="88">
        <f>'Products (RTE) - Inst.'!H6</f>
        <v>386.99751999999995</v>
      </c>
      <c r="I6" s="88">
        <f>H6*E6</f>
        <v>1547.9900799999998</v>
      </c>
      <c r="J6" s="529"/>
      <c r="M6" s="130"/>
      <c r="N6" s="130"/>
    </row>
    <row r="7" spans="1:14" ht="18.75" x14ac:dyDescent="0.3">
      <c r="B7" s="92">
        <v>2</v>
      </c>
      <c r="C7" s="418" t="s">
        <v>523</v>
      </c>
      <c r="D7" s="194">
        <v>1000</v>
      </c>
      <c r="E7" s="88">
        <v>3</v>
      </c>
      <c r="F7" s="606">
        <f>(26+1.5)*(D7/100)+15</f>
        <v>290</v>
      </c>
      <c r="G7" s="88">
        <f>F7*E7</f>
        <v>870</v>
      </c>
      <c r="H7" s="88">
        <f>'Products (RTE) - Inst.'!H9</f>
        <v>364.88337599999994</v>
      </c>
      <c r="I7" s="88">
        <f>H7*E7</f>
        <v>1094.6501279999998</v>
      </c>
      <c r="J7" s="529"/>
      <c r="M7" s="130"/>
      <c r="N7" s="130"/>
    </row>
    <row r="8" spans="1:14" ht="18.75" x14ac:dyDescent="0.3">
      <c r="B8" s="92">
        <v>3</v>
      </c>
      <c r="C8" s="88" t="s">
        <v>551</v>
      </c>
      <c r="D8" s="194">
        <v>1000</v>
      </c>
      <c r="E8" s="88">
        <v>6</v>
      </c>
      <c r="F8" s="606">
        <v>125</v>
      </c>
      <c r="G8" s="88">
        <f>F8*E8</f>
        <v>750</v>
      </c>
      <c r="H8" s="88">
        <v>265</v>
      </c>
      <c r="I8" s="88">
        <f>H8*E8</f>
        <v>1590</v>
      </c>
      <c r="J8" s="529"/>
      <c r="M8" s="130"/>
      <c r="N8" s="130"/>
    </row>
    <row r="9" spans="1:14" ht="18.75" x14ac:dyDescent="0.3">
      <c r="B9" s="92">
        <v>4</v>
      </c>
      <c r="C9" s="88" t="s">
        <v>524</v>
      </c>
      <c r="D9" s="194">
        <v>1000</v>
      </c>
      <c r="E9" s="88">
        <v>2</v>
      </c>
      <c r="F9" s="606">
        <v>168</v>
      </c>
      <c r="G9" s="88">
        <f t="shared" ref="G9:G14" si="0">F9*E9</f>
        <v>336</v>
      </c>
      <c r="H9" s="88">
        <f>'Products (RTE) - Inst.'!H10</f>
        <v>352.62689280000001</v>
      </c>
      <c r="I9" s="88">
        <f>H9*E9</f>
        <v>705.25378560000001</v>
      </c>
      <c r="J9" s="529"/>
      <c r="M9" s="130"/>
      <c r="N9" s="130"/>
    </row>
    <row r="10" spans="1:14" ht="18.75" x14ac:dyDescent="0.3">
      <c r="B10" s="92">
        <v>5</v>
      </c>
      <c r="C10" s="88" t="s">
        <v>340</v>
      </c>
      <c r="D10" s="194">
        <v>1000</v>
      </c>
      <c r="E10" s="88">
        <v>2</v>
      </c>
      <c r="F10" s="606">
        <f>'Products (Premixes)'!G8</f>
        <v>190</v>
      </c>
      <c r="G10" s="88">
        <f t="shared" si="0"/>
        <v>380</v>
      </c>
      <c r="H10" s="88">
        <f>'Products (Premixes)'!L8+15</f>
        <v>358.42874999999998</v>
      </c>
      <c r="I10" s="88">
        <f t="shared" ref="I10:I14" si="1">H10*E10</f>
        <v>716.85749999999996</v>
      </c>
      <c r="J10" s="529"/>
      <c r="M10" s="130"/>
      <c r="N10" s="130"/>
    </row>
    <row r="11" spans="1:14" ht="18.75" x14ac:dyDescent="0.3">
      <c r="B11" s="92">
        <v>6</v>
      </c>
      <c r="C11" s="88" t="s">
        <v>341</v>
      </c>
      <c r="D11" s="194">
        <v>1000</v>
      </c>
      <c r="E11" s="88">
        <v>2</v>
      </c>
      <c r="F11" s="606">
        <f>'Products (Premixes)'!G9</f>
        <v>290</v>
      </c>
      <c r="G11" s="88">
        <f t="shared" si="0"/>
        <v>580</v>
      </c>
      <c r="H11" s="88">
        <f>'Products (Premixes)'!L9+15</f>
        <v>468.67875000000009</v>
      </c>
      <c r="I11" s="88">
        <f t="shared" si="1"/>
        <v>937.35750000000019</v>
      </c>
      <c r="J11" s="529"/>
      <c r="M11" s="130"/>
      <c r="N11" s="130"/>
    </row>
    <row r="12" spans="1:14" ht="18.75" x14ac:dyDescent="0.3">
      <c r="B12" s="92">
        <v>7</v>
      </c>
      <c r="C12" s="88" t="s">
        <v>342</v>
      </c>
      <c r="D12" s="194">
        <v>1000</v>
      </c>
      <c r="E12" s="88">
        <v>2</v>
      </c>
      <c r="F12" s="606">
        <f>'Products (Premixes)'!G10</f>
        <v>215</v>
      </c>
      <c r="G12" s="88">
        <f t="shared" si="0"/>
        <v>430</v>
      </c>
      <c r="H12" s="88">
        <f>'Products (Premixes)'!L10+15</f>
        <v>384.33750000000003</v>
      </c>
      <c r="I12" s="88">
        <f t="shared" si="1"/>
        <v>768.67500000000007</v>
      </c>
      <c r="J12" s="529"/>
      <c r="M12" s="130"/>
      <c r="N12" s="130"/>
    </row>
    <row r="13" spans="1:14" ht="18.75" x14ac:dyDescent="0.3">
      <c r="B13" s="92">
        <v>8</v>
      </c>
      <c r="C13" s="88" t="s">
        <v>343</v>
      </c>
      <c r="D13" s="194">
        <v>1000</v>
      </c>
      <c r="E13" s="88">
        <v>2</v>
      </c>
      <c r="F13" s="606">
        <f>'Products (Premixes)'!G11</f>
        <v>54</v>
      </c>
      <c r="G13" s="88">
        <f t="shared" si="0"/>
        <v>108</v>
      </c>
      <c r="H13" s="88">
        <f>'Products (Premixes)'!L11+15</f>
        <v>108.71250000000001</v>
      </c>
      <c r="I13" s="88">
        <f t="shared" si="1"/>
        <v>217.42500000000001</v>
      </c>
      <c r="J13" s="529"/>
      <c r="M13" s="130"/>
      <c r="N13" s="130"/>
    </row>
    <row r="14" spans="1:14" ht="18.75" x14ac:dyDescent="0.3">
      <c r="B14" s="92">
        <v>9</v>
      </c>
      <c r="C14" s="88" t="s">
        <v>344</v>
      </c>
      <c r="D14" s="194">
        <v>1000</v>
      </c>
      <c r="E14" s="88">
        <v>2</v>
      </c>
      <c r="F14" s="606">
        <f>'Products (Premixes)'!G12</f>
        <v>52</v>
      </c>
      <c r="G14" s="88">
        <f t="shared" si="0"/>
        <v>104</v>
      </c>
      <c r="H14" s="88">
        <f>'Products (Premixes)'!L12+15</f>
        <v>105.40500000000002</v>
      </c>
      <c r="I14" s="88">
        <f t="shared" si="1"/>
        <v>210.81000000000003</v>
      </c>
      <c r="J14" s="529"/>
      <c r="M14" s="130"/>
      <c r="N14" s="130"/>
    </row>
    <row r="15" spans="1:14" ht="18.75" x14ac:dyDescent="0.3">
      <c r="B15" s="635" t="s">
        <v>0</v>
      </c>
      <c r="C15" s="636"/>
      <c r="D15" s="637"/>
      <c r="E15" s="78">
        <f>SUM(E6:E14)</f>
        <v>25</v>
      </c>
      <c r="F15" s="78">
        <f t="shared" ref="F15:I15" si="2">SUM(F6:F14)</f>
        <v>1674</v>
      </c>
      <c r="G15" s="78">
        <f t="shared" si="2"/>
        <v>4718</v>
      </c>
      <c r="H15" s="78">
        <f t="shared" si="2"/>
        <v>2795.0702888000005</v>
      </c>
      <c r="I15" s="78">
        <f t="shared" si="2"/>
        <v>7789.0189936000006</v>
      </c>
      <c r="J15" s="91"/>
      <c r="M15" s="130"/>
      <c r="N15" s="130"/>
    </row>
    <row r="16" spans="1:14" ht="18.75" x14ac:dyDescent="0.3">
      <c r="G16" s="93"/>
      <c r="J16" s="91"/>
      <c r="M16" s="130"/>
      <c r="N16" s="130"/>
    </row>
    <row r="17" spans="2:9" x14ac:dyDescent="0.25">
      <c r="B17" s="117" t="s">
        <v>132</v>
      </c>
      <c r="C17" s="267" t="s">
        <v>2</v>
      </c>
      <c r="D17" s="304"/>
      <c r="E17" s="214" t="s">
        <v>137</v>
      </c>
      <c r="F17" s="214" t="s">
        <v>153</v>
      </c>
      <c r="G17" s="214" t="s">
        <v>154</v>
      </c>
      <c r="H17" s="214" t="s">
        <v>412</v>
      </c>
      <c r="I17" s="214" t="s">
        <v>518</v>
      </c>
    </row>
    <row r="18" spans="2:9" x14ac:dyDescent="0.25">
      <c r="B18" s="92">
        <v>1</v>
      </c>
      <c r="C18" s="305" t="s">
        <v>148</v>
      </c>
      <c r="D18" s="306"/>
      <c r="E18" s="215">
        <f>I15/E15</f>
        <v>311.56075974400005</v>
      </c>
      <c r="F18" s="215">
        <f t="shared" ref="F18:I19" si="3">E18*(1+F22)</f>
        <v>319.34977873760005</v>
      </c>
      <c r="G18" s="215">
        <f t="shared" si="3"/>
        <v>327.33352320604001</v>
      </c>
      <c r="H18" s="215">
        <f t="shared" si="3"/>
        <v>335.51686128619099</v>
      </c>
      <c r="I18" s="215">
        <f t="shared" si="3"/>
        <v>343.90478281834572</v>
      </c>
    </row>
    <row r="19" spans="2:9" x14ac:dyDescent="0.25">
      <c r="B19" s="92">
        <v>2</v>
      </c>
      <c r="C19" s="308" t="s">
        <v>147</v>
      </c>
      <c r="D19" s="309"/>
      <c r="E19" s="131">
        <f>G15/E15</f>
        <v>188.72</v>
      </c>
      <c r="F19" s="131">
        <f t="shared" si="3"/>
        <v>193.43799999999999</v>
      </c>
      <c r="G19" s="131">
        <f t="shared" si="3"/>
        <v>198.27394999999996</v>
      </c>
      <c r="H19" s="131">
        <f t="shared" si="3"/>
        <v>203.23079874999993</v>
      </c>
      <c r="I19" s="131">
        <f t="shared" si="3"/>
        <v>208.31156871874992</v>
      </c>
    </row>
    <row r="20" spans="2:9" x14ac:dyDescent="0.25">
      <c r="B20" s="92">
        <v>3</v>
      </c>
      <c r="C20" s="308" t="s">
        <v>149</v>
      </c>
      <c r="D20" s="309"/>
      <c r="E20" s="131">
        <f>E18-E19</f>
        <v>122.84075974400005</v>
      </c>
      <c r="F20" s="131">
        <f>F18-F19</f>
        <v>125.91177873760006</v>
      </c>
      <c r="G20" s="131">
        <f>G18-G19</f>
        <v>129.05957320604006</v>
      </c>
      <c r="H20" s="131">
        <f>H18-H19</f>
        <v>132.28606253619105</v>
      </c>
      <c r="I20" s="131">
        <f>I18-I19</f>
        <v>135.5932140995958</v>
      </c>
    </row>
    <row r="21" spans="2:9" x14ac:dyDescent="0.25">
      <c r="B21" s="92">
        <v>4</v>
      </c>
      <c r="C21" s="308" t="s">
        <v>520</v>
      </c>
      <c r="D21" s="309"/>
      <c r="E21" s="277">
        <f>E20/E19</f>
        <v>0.65091542891055565</v>
      </c>
      <c r="F21" s="277">
        <f>F20/F19</f>
        <v>0.65091542891055565</v>
      </c>
      <c r="G21" s="277">
        <f>G20/G19</f>
        <v>0.65091542891055576</v>
      </c>
      <c r="H21" s="277">
        <f>H20/H19</f>
        <v>0.65091542891055576</v>
      </c>
      <c r="I21" s="277">
        <f>I20/I19</f>
        <v>0.65091542891055565</v>
      </c>
    </row>
    <row r="22" spans="2:9" x14ac:dyDescent="0.25">
      <c r="B22" s="92">
        <v>5</v>
      </c>
      <c r="C22" s="308" t="s">
        <v>151</v>
      </c>
      <c r="D22" s="309"/>
      <c r="E22" s="277"/>
      <c r="F22" s="290">
        <v>2.5000000000000001E-2</v>
      </c>
      <c r="G22" s="290">
        <v>2.5000000000000001E-2</v>
      </c>
      <c r="H22" s="290">
        <v>2.5000000000000001E-2</v>
      </c>
      <c r="I22" s="290">
        <v>2.5000000000000001E-2</v>
      </c>
    </row>
    <row r="23" spans="2:9" x14ac:dyDescent="0.25">
      <c r="B23" s="464">
        <v>6</v>
      </c>
      <c r="C23" s="311" t="s">
        <v>152</v>
      </c>
      <c r="D23" s="312"/>
      <c r="E23" s="223"/>
      <c r="F23" s="465">
        <v>2.5000000000000001E-2</v>
      </c>
      <c r="G23" s="465">
        <v>2.5000000000000001E-2</v>
      </c>
      <c r="H23" s="465">
        <v>2.5000000000000001E-2</v>
      </c>
      <c r="I23" s="465">
        <v>2.5000000000000001E-2</v>
      </c>
    </row>
  </sheetData>
  <mergeCells count="2">
    <mergeCell ref="B15:D15"/>
    <mergeCell ref="B4:I4"/>
  </mergeCells>
  <pageMargins left="0.7" right="0.7" top="0.75" bottom="0.75" header="0.3" footer="0.3"/>
  <pageSetup scale="70" orientation="portrait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40"/>
  <sheetViews>
    <sheetView showGridLines="0" zoomScale="90" zoomScaleNormal="90" workbookViewId="0"/>
  </sheetViews>
  <sheetFormatPr defaultRowHeight="15" x14ac:dyDescent="0.25"/>
  <cols>
    <col min="1" max="1" width="5" style="73" customWidth="1"/>
    <col min="2" max="2" width="7" style="73" customWidth="1"/>
    <col min="3" max="3" width="33.42578125" style="73" customWidth="1"/>
    <col min="4" max="9" width="13.5703125" style="73" customWidth="1"/>
    <col min="10" max="10" width="24.5703125" style="73" customWidth="1"/>
    <col min="11" max="11" width="11.85546875" style="73" customWidth="1"/>
    <col min="12" max="12" width="12.5703125" style="73" customWidth="1"/>
    <col min="13" max="17" width="9.140625" style="73" customWidth="1"/>
    <col min="18" max="18" width="10.42578125" style="73" customWidth="1"/>
    <col min="19" max="19" width="9.28515625" style="73" customWidth="1"/>
    <col min="20" max="16384" width="9.140625" style="73"/>
  </cols>
  <sheetData>
    <row r="1" spans="1:17" s="495" customFormat="1" x14ac:dyDescent="0.25">
      <c r="A1" s="542" t="str">
        <f>Summary!A1</f>
        <v>ABC Nutri foods</v>
      </c>
      <c r="B1" s="494"/>
    </row>
    <row r="2" spans="1:17" s="497" customFormat="1" x14ac:dyDescent="0.25">
      <c r="A2" s="493" t="s">
        <v>457</v>
      </c>
      <c r="B2" s="496"/>
    </row>
    <row r="4" spans="1:17" s="130" customFormat="1" ht="18.75" x14ac:dyDescent="0.3">
      <c r="B4" s="462" t="s">
        <v>133</v>
      </c>
      <c r="C4" s="463"/>
      <c r="D4" s="463"/>
      <c r="E4" s="463"/>
      <c r="F4" s="463"/>
      <c r="G4" s="463"/>
      <c r="H4" s="463"/>
      <c r="I4" s="463"/>
      <c r="K4" s="73"/>
      <c r="L4" s="73"/>
    </row>
    <row r="5" spans="1:17" s="91" customFormat="1" ht="60" x14ac:dyDescent="0.2">
      <c r="B5" s="117" t="s">
        <v>132</v>
      </c>
      <c r="C5" s="117" t="s">
        <v>118</v>
      </c>
      <c r="D5" s="117" t="s">
        <v>531</v>
      </c>
      <c r="E5" s="117" t="s">
        <v>120</v>
      </c>
      <c r="F5" s="117" t="s">
        <v>568</v>
      </c>
      <c r="G5" s="117" t="s">
        <v>576</v>
      </c>
      <c r="H5" s="117" t="s">
        <v>572</v>
      </c>
      <c r="I5" s="117" t="s">
        <v>350</v>
      </c>
    </row>
    <row r="6" spans="1:17" x14ac:dyDescent="0.25">
      <c r="B6" s="92">
        <v>1</v>
      </c>
      <c r="C6" s="418" t="s">
        <v>499</v>
      </c>
      <c r="D6" s="194">
        <v>1000</v>
      </c>
      <c r="E6" s="88">
        <v>4</v>
      </c>
      <c r="F6" s="604">
        <f>(16+1.5)*(D6/100)</f>
        <v>175</v>
      </c>
      <c r="G6" s="88"/>
      <c r="H6" s="88">
        <f>D31</f>
        <v>386.99751999999995</v>
      </c>
      <c r="I6" s="88"/>
      <c r="M6" s="91"/>
      <c r="N6" s="91"/>
      <c r="O6" s="91"/>
      <c r="P6" s="91"/>
      <c r="Q6" s="91"/>
    </row>
    <row r="7" spans="1:17" x14ac:dyDescent="0.25">
      <c r="B7" s="92">
        <v>2</v>
      </c>
      <c r="C7" s="418" t="s">
        <v>367</v>
      </c>
      <c r="D7" s="194">
        <v>1000</v>
      </c>
      <c r="E7" s="88">
        <v>2</v>
      </c>
      <c r="F7" s="604">
        <f>(19+1.5)*(D7/100)</f>
        <v>205</v>
      </c>
      <c r="G7" s="88"/>
      <c r="H7" s="88">
        <f>E31</f>
        <v>453.33995199999993</v>
      </c>
      <c r="I7" s="88"/>
      <c r="M7" s="91"/>
      <c r="N7" s="91"/>
      <c r="O7" s="91"/>
      <c r="P7" s="91"/>
      <c r="Q7" s="91"/>
    </row>
    <row r="8" spans="1:17" x14ac:dyDescent="0.25">
      <c r="B8" s="92">
        <v>3</v>
      </c>
      <c r="C8" s="418" t="s">
        <v>526</v>
      </c>
      <c r="D8" s="194">
        <v>1000</v>
      </c>
      <c r="E8" s="88">
        <v>3</v>
      </c>
      <c r="F8" s="604">
        <f>(15+1.5)*(D8/100)</f>
        <v>165</v>
      </c>
      <c r="G8" s="88"/>
      <c r="H8" s="88">
        <f>F31</f>
        <v>364.88337599999994</v>
      </c>
      <c r="I8" s="88"/>
      <c r="M8" s="91"/>
      <c r="N8" s="91"/>
      <c r="O8" s="91"/>
      <c r="P8" s="91"/>
      <c r="Q8" s="91"/>
    </row>
    <row r="9" spans="1:17" x14ac:dyDescent="0.25">
      <c r="B9" s="92">
        <v>4</v>
      </c>
      <c r="C9" s="418" t="s">
        <v>527</v>
      </c>
      <c r="D9" s="194">
        <v>1000</v>
      </c>
      <c r="E9" s="88">
        <v>3</v>
      </c>
      <c r="F9" s="604">
        <f>(15+1.5)*(D9/100)</f>
        <v>165</v>
      </c>
      <c r="G9" s="88"/>
      <c r="H9" s="88">
        <f>G31</f>
        <v>364.88337599999994</v>
      </c>
      <c r="I9" s="88"/>
      <c r="M9" s="91"/>
      <c r="N9" s="91"/>
      <c r="O9" s="91"/>
      <c r="P9" s="91"/>
      <c r="Q9" s="91"/>
    </row>
    <row r="10" spans="1:17" x14ac:dyDescent="0.25">
      <c r="B10" s="92">
        <v>5</v>
      </c>
      <c r="C10" s="88" t="s">
        <v>498</v>
      </c>
      <c r="D10" s="194">
        <v>1000</v>
      </c>
      <c r="E10" s="88">
        <v>6</v>
      </c>
      <c r="F10" s="604">
        <f>160*1.05</f>
        <v>168</v>
      </c>
      <c r="G10" s="88"/>
      <c r="H10" s="88">
        <f>H31</f>
        <v>352.62689280000001</v>
      </c>
      <c r="I10" s="88"/>
      <c r="M10" s="91"/>
      <c r="N10" s="91"/>
      <c r="O10" s="91"/>
      <c r="P10" s="91"/>
      <c r="Q10" s="91"/>
    </row>
    <row r="11" spans="1:17" x14ac:dyDescent="0.25">
      <c r="B11" s="635" t="s">
        <v>0</v>
      </c>
      <c r="C11" s="636"/>
      <c r="D11" s="637"/>
      <c r="E11" s="78">
        <f>SUM(E6:E10)</f>
        <v>18</v>
      </c>
      <c r="F11" s="78">
        <f>SUM(F6:F10)</f>
        <v>878</v>
      </c>
      <c r="G11" s="132">
        <f>F11/E11</f>
        <v>48.777777777777779</v>
      </c>
      <c r="H11" s="78">
        <f>SUM(H6:H10)</f>
        <v>1922.7311167999999</v>
      </c>
      <c r="I11" s="78">
        <f>H11/E11</f>
        <v>106.81839537777778</v>
      </c>
      <c r="M11" s="91"/>
      <c r="N11" s="91"/>
      <c r="O11" s="91"/>
      <c r="P11" s="91"/>
      <c r="Q11" s="91"/>
    </row>
    <row r="12" spans="1:17" x14ac:dyDescent="0.25">
      <c r="G12" s="93"/>
      <c r="J12" s="91"/>
      <c r="L12" s="91"/>
      <c r="M12" s="91"/>
      <c r="N12" s="91"/>
      <c r="O12" s="91"/>
      <c r="P12" s="91"/>
      <c r="Q12" s="91"/>
    </row>
    <row r="13" spans="1:17" x14ac:dyDescent="0.25">
      <c r="J13" s="91"/>
      <c r="L13" s="91"/>
      <c r="M13" s="91"/>
      <c r="N13" s="91"/>
      <c r="O13" s="91"/>
      <c r="P13" s="91"/>
      <c r="Q13" s="91"/>
    </row>
    <row r="14" spans="1:17" x14ac:dyDescent="0.25">
      <c r="B14" s="117" t="s">
        <v>132</v>
      </c>
      <c r="C14" s="267" t="s">
        <v>2</v>
      </c>
      <c r="D14" s="304"/>
      <c r="E14" s="214" t="s">
        <v>137</v>
      </c>
      <c r="F14" s="214" t="s">
        <v>153</v>
      </c>
      <c r="G14" s="214" t="s">
        <v>154</v>
      </c>
      <c r="H14" s="214" t="s">
        <v>412</v>
      </c>
      <c r="I14" s="214" t="s">
        <v>518</v>
      </c>
      <c r="J14" s="91"/>
      <c r="L14" s="91"/>
      <c r="M14" s="91"/>
      <c r="N14" s="91"/>
      <c r="O14" s="91"/>
      <c r="P14" s="91"/>
      <c r="Q14" s="91"/>
    </row>
    <row r="15" spans="1:17" x14ac:dyDescent="0.25">
      <c r="B15" s="92">
        <v>1</v>
      </c>
      <c r="C15" s="305" t="s">
        <v>148</v>
      </c>
      <c r="D15" s="306"/>
      <c r="E15" s="215">
        <f>I11</f>
        <v>106.81839537777778</v>
      </c>
      <c r="F15" s="215">
        <f t="shared" ref="F15:I16" si="0">E15*(1+F19)</f>
        <v>109.48885526222222</v>
      </c>
      <c r="G15" s="215">
        <f t="shared" si="0"/>
        <v>112.22607664377776</v>
      </c>
      <c r="H15" s="215">
        <f t="shared" si="0"/>
        <v>115.03172855987219</v>
      </c>
      <c r="I15" s="215">
        <f t="shared" si="0"/>
        <v>117.90752177386899</v>
      </c>
      <c r="J15" s="91"/>
      <c r="L15" s="91"/>
      <c r="M15" s="91"/>
      <c r="N15" s="91"/>
      <c r="O15" s="91"/>
      <c r="P15" s="91"/>
      <c r="Q15" s="91"/>
    </row>
    <row r="16" spans="1:17" x14ac:dyDescent="0.25">
      <c r="B16" s="92">
        <v>2</v>
      </c>
      <c r="C16" s="308" t="s">
        <v>147</v>
      </c>
      <c r="D16" s="309"/>
      <c r="E16" s="131">
        <f>G11</f>
        <v>48.777777777777779</v>
      </c>
      <c r="F16" s="131">
        <f t="shared" si="0"/>
        <v>49.99722222222222</v>
      </c>
      <c r="G16" s="131">
        <f t="shared" si="0"/>
        <v>51.247152777777771</v>
      </c>
      <c r="H16" s="131">
        <f t="shared" si="0"/>
        <v>52.528331597222213</v>
      </c>
      <c r="I16" s="131">
        <f t="shared" si="0"/>
        <v>53.841539887152763</v>
      </c>
      <c r="J16" s="91"/>
      <c r="L16" s="91"/>
      <c r="M16" s="91"/>
      <c r="N16" s="91"/>
      <c r="O16" s="91"/>
      <c r="P16" s="91"/>
      <c r="Q16" s="91"/>
    </row>
    <row r="17" spans="2:13" x14ac:dyDescent="0.25">
      <c r="B17" s="92">
        <v>3</v>
      </c>
      <c r="C17" s="308" t="s">
        <v>149</v>
      </c>
      <c r="D17" s="309"/>
      <c r="E17" s="131">
        <f>E15-E16</f>
        <v>58.040617599999997</v>
      </c>
      <c r="F17" s="131">
        <f>F15-F16</f>
        <v>59.491633039999996</v>
      </c>
      <c r="G17" s="131">
        <f>G15-G16</f>
        <v>60.978923865999988</v>
      </c>
      <c r="H17" s="131">
        <f>H15-H16</f>
        <v>62.50339696264998</v>
      </c>
      <c r="I17" s="131">
        <f>I15-I16</f>
        <v>64.06598188671623</v>
      </c>
      <c r="J17" s="91"/>
      <c r="L17" s="91"/>
      <c r="M17" s="91"/>
    </row>
    <row r="18" spans="2:13" x14ac:dyDescent="0.25">
      <c r="B18" s="92">
        <v>4</v>
      </c>
      <c r="C18" s="308" t="s">
        <v>528</v>
      </c>
      <c r="D18" s="309"/>
      <c r="E18" s="277">
        <f>E17/E16</f>
        <v>1.189898766287016</v>
      </c>
      <c r="F18" s="277">
        <f>F17/F16</f>
        <v>1.189898766287016</v>
      </c>
      <c r="G18" s="277">
        <f>G17/G16</f>
        <v>1.189898766287016</v>
      </c>
      <c r="H18" s="277">
        <f>H17/H16</f>
        <v>1.1898987662870157</v>
      </c>
      <c r="I18" s="277">
        <f>I17/I16</f>
        <v>1.189898766287016</v>
      </c>
      <c r="J18" s="91"/>
      <c r="L18" s="91"/>
      <c r="M18" s="91"/>
    </row>
    <row r="19" spans="2:13" x14ac:dyDescent="0.25">
      <c r="B19" s="92">
        <v>5</v>
      </c>
      <c r="C19" s="308" t="s">
        <v>151</v>
      </c>
      <c r="D19" s="309"/>
      <c r="E19" s="277"/>
      <c r="F19" s="290">
        <v>2.5000000000000001E-2</v>
      </c>
      <c r="G19" s="290">
        <v>2.5000000000000001E-2</v>
      </c>
      <c r="H19" s="290">
        <v>2.5000000000000001E-2</v>
      </c>
      <c r="I19" s="290">
        <v>2.5000000000000001E-2</v>
      </c>
      <c r="J19" s="91"/>
      <c r="L19" s="91"/>
      <c r="M19" s="91"/>
    </row>
    <row r="20" spans="2:13" x14ac:dyDescent="0.25">
      <c r="B20" s="464">
        <v>6</v>
      </c>
      <c r="C20" s="311" t="s">
        <v>152</v>
      </c>
      <c r="D20" s="312"/>
      <c r="E20" s="223"/>
      <c r="F20" s="465">
        <v>2.5000000000000001E-2</v>
      </c>
      <c r="G20" s="465">
        <v>2.5000000000000001E-2</v>
      </c>
      <c r="H20" s="465">
        <v>2.5000000000000001E-2</v>
      </c>
      <c r="I20" s="465">
        <v>2.5000000000000001E-2</v>
      </c>
      <c r="J20" s="91"/>
      <c r="L20" s="91"/>
      <c r="M20" s="91"/>
    </row>
    <row r="21" spans="2:13" x14ac:dyDescent="0.25">
      <c r="J21" s="91"/>
      <c r="L21" s="91"/>
      <c r="M21" s="91"/>
    </row>
    <row r="22" spans="2:13" ht="60.75" thickBot="1" x14ac:dyDescent="0.3">
      <c r="B22" s="443" t="s">
        <v>132</v>
      </c>
      <c r="C22" s="466" t="s">
        <v>419</v>
      </c>
      <c r="D22" s="603" t="str">
        <f>C6</f>
        <v>GF, Lf COOKIE (VANILLA / CHOCOLATE)</v>
      </c>
      <c r="E22" s="603" t="str">
        <f>C7</f>
        <v>GF COOKIE  (VANILLA / CHOCOLATE) NAS</v>
      </c>
      <c r="F22" s="603" t="str">
        <f>C8</f>
        <v>Multigrain Cookie</v>
      </c>
      <c r="G22" s="603" t="str">
        <f>C9</f>
        <v>Multigran Jaggery Cookie</v>
      </c>
      <c r="H22" s="603" t="str">
        <f>C10</f>
        <v>Pasta</v>
      </c>
      <c r="I22" s="91"/>
      <c r="J22" s="91"/>
      <c r="L22" s="91"/>
      <c r="M22" s="91"/>
    </row>
    <row r="23" spans="2:13" ht="15.75" thickTop="1" x14ac:dyDescent="0.25">
      <c r="B23" s="470">
        <v>1</v>
      </c>
      <c r="C23" s="467" t="s">
        <v>357</v>
      </c>
      <c r="D23" s="468">
        <f>F6</f>
        <v>175</v>
      </c>
      <c r="E23" s="468">
        <f>F7</f>
        <v>205</v>
      </c>
      <c r="F23" s="468">
        <f>F8</f>
        <v>165</v>
      </c>
      <c r="G23" s="468">
        <f>F9</f>
        <v>165</v>
      </c>
      <c r="H23" s="468">
        <f>F10</f>
        <v>168</v>
      </c>
      <c r="I23" s="91"/>
      <c r="J23" s="91"/>
      <c r="L23" s="91"/>
      <c r="M23" s="91"/>
    </row>
    <row r="24" spans="2:13" x14ac:dyDescent="0.25">
      <c r="B24" s="445">
        <v>2</v>
      </c>
      <c r="C24" s="321" t="s">
        <v>354</v>
      </c>
      <c r="D24" s="469">
        <f t="shared" ref="D24:E24" si="1">D23*D37</f>
        <v>7</v>
      </c>
      <c r="E24" s="469">
        <f t="shared" si="1"/>
        <v>8.1999999999999993</v>
      </c>
      <c r="F24" s="469">
        <f t="shared" ref="F24:H24" si="2">F23*F37</f>
        <v>6.6000000000000005</v>
      </c>
      <c r="G24" s="469">
        <f t="shared" si="2"/>
        <v>6.6000000000000005</v>
      </c>
      <c r="H24" s="469">
        <f t="shared" si="2"/>
        <v>6.72</v>
      </c>
    </row>
    <row r="25" spans="2:13" x14ac:dyDescent="0.25">
      <c r="B25" s="444">
        <v>3</v>
      </c>
      <c r="C25" s="322" t="s">
        <v>358</v>
      </c>
      <c r="D25" s="417">
        <f t="shared" ref="D25:E25" si="3">D23+D24</f>
        <v>182</v>
      </c>
      <c r="E25" s="417">
        <f t="shared" si="3"/>
        <v>213.2</v>
      </c>
      <c r="F25" s="417">
        <f t="shared" ref="F25:H25" si="4">F23+F24</f>
        <v>171.6</v>
      </c>
      <c r="G25" s="417">
        <f t="shared" si="4"/>
        <v>171.6</v>
      </c>
      <c r="H25" s="417">
        <f t="shared" si="4"/>
        <v>174.72</v>
      </c>
    </row>
    <row r="26" spans="2:13" x14ac:dyDescent="0.25">
      <c r="B26" s="445">
        <v>4</v>
      </c>
      <c r="C26" s="321" t="s">
        <v>577</v>
      </c>
      <c r="D26" s="469">
        <f t="shared" ref="D26:E26" si="5">D25*D36</f>
        <v>10.92</v>
      </c>
      <c r="E26" s="469">
        <f t="shared" si="5"/>
        <v>12.791999999999998</v>
      </c>
      <c r="F26" s="469">
        <f t="shared" ref="F26:H26" si="6">F25*F36</f>
        <v>10.295999999999999</v>
      </c>
      <c r="G26" s="469">
        <f t="shared" si="6"/>
        <v>10.295999999999999</v>
      </c>
      <c r="H26" s="469">
        <f t="shared" si="6"/>
        <v>10.4832</v>
      </c>
    </row>
    <row r="27" spans="2:13" x14ac:dyDescent="0.25">
      <c r="B27" s="444">
        <v>5</v>
      </c>
      <c r="C27" s="322" t="s">
        <v>432</v>
      </c>
      <c r="D27" s="417">
        <f t="shared" ref="D27:E27" si="7">D25+D26</f>
        <v>192.92</v>
      </c>
      <c r="E27" s="417">
        <f t="shared" si="7"/>
        <v>225.99199999999999</v>
      </c>
      <c r="F27" s="417">
        <f t="shared" ref="F27:H27" si="8">F25+F26</f>
        <v>181.89599999999999</v>
      </c>
      <c r="G27" s="417">
        <f t="shared" si="8"/>
        <v>181.89599999999999</v>
      </c>
      <c r="H27" s="417">
        <f t="shared" si="8"/>
        <v>185.20320000000001</v>
      </c>
    </row>
    <row r="28" spans="2:13" x14ac:dyDescent="0.25">
      <c r="B28" s="445">
        <v>6</v>
      </c>
      <c r="C28" s="321" t="s">
        <v>355</v>
      </c>
      <c r="D28" s="469">
        <f t="shared" ref="D28:E28" si="9">D27*D34</f>
        <v>135.04399999999998</v>
      </c>
      <c r="E28" s="469">
        <f t="shared" si="9"/>
        <v>158.19439999999997</v>
      </c>
      <c r="F28" s="469">
        <f t="shared" ref="F28:H28" si="10">F27*F34</f>
        <v>127.32719999999998</v>
      </c>
      <c r="G28" s="469">
        <f t="shared" si="10"/>
        <v>127.32719999999998</v>
      </c>
      <c r="H28" s="469">
        <f t="shared" si="10"/>
        <v>129.64223999999999</v>
      </c>
    </row>
    <row r="29" spans="2:13" x14ac:dyDescent="0.25">
      <c r="B29" s="444">
        <v>7</v>
      </c>
      <c r="C29" s="322" t="s">
        <v>578</v>
      </c>
      <c r="D29" s="417">
        <f t="shared" ref="D29:E29" si="11">D27+D28</f>
        <v>327.96399999999994</v>
      </c>
      <c r="E29" s="417">
        <f t="shared" si="11"/>
        <v>384.18639999999994</v>
      </c>
      <c r="F29" s="417">
        <f t="shared" ref="F29:H29" si="12">F27+F28</f>
        <v>309.22319999999996</v>
      </c>
      <c r="G29" s="417">
        <f t="shared" si="12"/>
        <v>309.22319999999996</v>
      </c>
      <c r="H29" s="417">
        <f t="shared" si="12"/>
        <v>314.84544</v>
      </c>
    </row>
    <row r="30" spans="2:13" x14ac:dyDescent="0.25">
      <c r="B30" s="445">
        <v>8</v>
      </c>
      <c r="C30" s="321" t="s">
        <v>360</v>
      </c>
      <c r="D30" s="469">
        <f t="shared" ref="D30:E30" si="13">D29*D38</f>
        <v>59.033519999999989</v>
      </c>
      <c r="E30" s="469">
        <f t="shared" si="13"/>
        <v>69.153551999999991</v>
      </c>
      <c r="F30" s="469">
        <f t="shared" ref="F30:H30" si="14">F29*F38</f>
        <v>55.660175999999993</v>
      </c>
      <c r="G30" s="469">
        <f t="shared" si="14"/>
        <v>55.660175999999993</v>
      </c>
      <c r="H30" s="469">
        <f t="shared" si="14"/>
        <v>37.781452799999997</v>
      </c>
    </row>
    <row r="31" spans="2:13" x14ac:dyDescent="0.25">
      <c r="B31" s="444">
        <v>9</v>
      </c>
      <c r="C31" s="322" t="s">
        <v>521</v>
      </c>
      <c r="D31" s="417">
        <f t="shared" ref="D31:E31" si="15">D29+D30</f>
        <v>386.99751999999995</v>
      </c>
      <c r="E31" s="417">
        <f t="shared" si="15"/>
        <v>453.33995199999993</v>
      </c>
      <c r="F31" s="417">
        <f t="shared" ref="F31:H31" si="16">F29+F30</f>
        <v>364.88337599999994</v>
      </c>
      <c r="G31" s="417">
        <f t="shared" si="16"/>
        <v>364.88337599999994</v>
      </c>
      <c r="H31" s="417">
        <f t="shared" si="16"/>
        <v>352.62689280000001</v>
      </c>
    </row>
    <row r="32" spans="2:13" x14ac:dyDescent="0.25">
      <c r="D32" s="93">
        <f t="shared" ref="D32:E32" si="17">D27/D31</f>
        <v>0.49850448654037888</v>
      </c>
      <c r="E32" s="93">
        <f t="shared" si="17"/>
        <v>0.49850448654037893</v>
      </c>
      <c r="F32" s="93">
        <f t="shared" ref="F32:H32" si="18">F27/F31</f>
        <v>0.49850448654037893</v>
      </c>
      <c r="G32" s="93">
        <f t="shared" si="18"/>
        <v>0.49850448654037893</v>
      </c>
      <c r="H32" s="93">
        <f t="shared" si="18"/>
        <v>0.52521008403361347</v>
      </c>
    </row>
    <row r="33" spans="2:8" ht="15.75" thickBot="1" x14ac:dyDescent="0.3">
      <c r="B33" s="443" t="s">
        <v>132</v>
      </c>
      <c r="C33" s="323" t="s">
        <v>421</v>
      </c>
      <c r="D33" s="324"/>
      <c r="E33" s="324"/>
      <c r="F33" s="324"/>
      <c r="G33" s="324"/>
      <c r="H33" s="324"/>
    </row>
    <row r="34" spans="2:8" ht="15.75" thickTop="1" x14ac:dyDescent="0.25">
      <c r="B34" s="470">
        <v>1</v>
      </c>
      <c r="C34" s="317" t="s">
        <v>363</v>
      </c>
      <c r="D34" s="318">
        <v>0.7</v>
      </c>
      <c r="E34" s="318">
        <v>0.7</v>
      </c>
      <c r="F34" s="318">
        <v>0.7</v>
      </c>
      <c r="G34" s="318">
        <v>0.7</v>
      </c>
      <c r="H34" s="318">
        <v>0.7</v>
      </c>
    </row>
    <row r="35" spans="2:8" ht="15.75" thickBot="1" x14ac:dyDescent="0.3">
      <c r="B35" s="445">
        <v>2</v>
      </c>
      <c r="C35" s="319" t="s">
        <v>639</v>
      </c>
      <c r="D35" s="315">
        <v>0.08</v>
      </c>
      <c r="E35" s="315">
        <v>0.08</v>
      </c>
      <c r="F35" s="315">
        <v>0.08</v>
      </c>
      <c r="G35" s="315">
        <v>0.08</v>
      </c>
      <c r="H35" s="315">
        <v>0.08</v>
      </c>
    </row>
    <row r="36" spans="2:8" ht="15.75" thickTop="1" x14ac:dyDescent="0.25">
      <c r="B36" s="444">
        <v>3</v>
      </c>
      <c r="C36" s="425" t="s">
        <v>420</v>
      </c>
      <c r="D36" s="318">
        <v>0.06</v>
      </c>
      <c r="E36" s="318">
        <v>0.06</v>
      </c>
      <c r="F36" s="318">
        <v>0.06</v>
      </c>
      <c r="G36" s="318">
        <v>0.06</v>
      </c>
      <c r="H36" s="318">
        <v>0.06</v>
      </c>
    </row>
    <row r="37" spans="2:8" ht="15.75" thickBot="1" x14ac:dyDescent="0.3">
      <c r="B37" s="445">
        <v>4</v>
      </c>
      <c r="C37" s="426" t="s">
        <v>354</v>
      </c>
      <c r="D37" s="315">
        <v>0.04</v>
      </c>
      <c r="E37" s="315">
        <v>0.04</v>
      </c>
      <c r="F37" s="315">
        <v>0.04</v>
      </c>
      <c r="G37" s="315">
        <v>0.04</v>
      </c>
      <c r="H37" s="315">
        <v>0.04</v>
      </c>
    </row>
    <row r="38" spans="2:8" ht="15.75" thickTop="1" x14ac:dyDescent="0.25">
      <c r="B38" s="444">
        <v>5</v>
      </c>
      <c r="C38" s="425" t="s">
        <v>360</v>
      </c>
      <c r="D38" s="318">
        <v>0.18</v>
      </c>
      <c r="E38" s="318">
        <v>0.18</v>
      </c>
      <c r="F38" s="318">
        <v>0.18</v>
      </c>
      <c r="G38" s="318">
        <v>0.18</v>
      </c>
      <c r="H38" s="318">
        <v>0.12</v>
      </c>
    </row>
    <row r="40" spans="2:8" x14ac:dyDescent="0.25">
      <c r="D40" s="605"/>
    </row>
  </sheetData>
  <mergeCells count="1">
    <mergeCell ref="B11:D11"/>
  </mergeCells>
  <pageMargins left="0.7" right="0.7" top="0.75" bottom="0.75" header="0.3" footer="0.3"/>
  <pageSetup scale="71" orientation="portrait" r:id="rId1"/>
  <colBreaks count="1" manualBreakCount="1">
    <brk id="9" max="1048575" man="1"/>
  </col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5"/>
  <sheetViews>
    <sheetView showGridLines="0" zoomScaleNormal="100" workbookViewId="0">
      <selection activeCell="G6" sqref="G6:G15"/>
    </sheetView>
  </sheetViews>
  <sheetFormatPr defaultRowHeight="15" x14ac:dyDescent="0.25"/>
  <cols>
    <col min="1" max="1" width="5" style="73" customWidth="1"/>
    <col min="2" max="2" width="7" style="73" customWidth="1"/>
    <col min="3" max="3" width="36.42578125" style="73" customWidth="1"/>
    <col min="4" max="4" width="9.42578125" style="73" customWidth="1"/>
    <col min="5" max="9" width="12.28515625" style="73" customWidth="1"/>
    <col min="10" max="10" width="14" style="73" customWidth="1"/>
    <col min="11" max="11" width="13" style="73" customWidth="1"/>
    <col min="12" max="12" width="12.5703125" style="73" customWidth="1"/>
    <col min="13" max="13" width="11.85546875" style="73" customWidth="1"/>
    <col min="14" max="14" width="12.5703125" style="73" customWidth="1"/>
    <col min="15" max="19" width="9.140625" style="73" customWidth="1"/>
    <col min="20" max="20" width="10.42578125" style="73" customWidth="1"/>
    <col min="21" max="21" width="9.28515625" style="73" customWidth="1"/>
    <col min="22" max="16384" width="9.140625" style="73"/>
  </cols>
  <sheetData>
    <row r="1" spans="1:19" s="368" customFormat="1" x14ac:dyDescent="0.25">
      <c r="A1" s="366" t="str">
        <f>Summary!A1</f>
        <v>ABC Nutri foods</v>
      </c>
      <c r="B1" s="367"/>
    </row>
    <row r="2" spans="1:19" s="371" customFormat="1" x14ac:dyDescent="0.25">
      <c r="A2" s="369" t="s">
        <v>457</v>
      </c>
      <c r="B2" s="370"/>
    </row>
    <row r="4" spans="1:19" s="130" customFormat="1" ht="18.75" x14ac:dyDescent="0.3">
      <c r="B4" s="638" t="s">
        <v>133</v>
      </c>
      <c r="C4" s="639"/>
      <c r="D4" s="639"/>
      <c r="E4" s="639"/>
      <c r="F4" s="639"/>
      <c r="G4" s="639"/>
      <c r="H4" s="639"/>
      <c r="I4" s="639"/>
      <c r="J4" s="639"/>
      <c r="K4" s="639"/>
      <c r="L4" s="639"/>
      <c r="M4" s="73"/>
      <c r="N4" s="73"/>
    </row>
    <row r="5" spans="1:19" s="91" customFormat="1" ht="90" x14ac:dyDescent="0.25">
      <c r="B5" s="117" t="s">
        <v>132</v>
      </c>
      <c r="C5" s="117" t="s">
        <v>118</v>
      </c>
      <c r="D5" s="117" t="s">
        <v>529</v>
      </c>
      <c r="E5" s="117" t="s">
        <v>120</v>
      </c>
      <c r="F5" s="117" t="s">
        <v>308</v>
      </c>
      <c r="G5" s="117" t="s">
        <v>121</v>
      </c>
      <c r="H5" s="117" t="s">
        <v>348</v>
      </c>
      <c r="I5" s="117" t="s">
        <v>349</v>
      </c>
      <c r="J5" s="117" t="s">
        <v>350</v>
      </c>
      <c r="K5" s="117" t="s">
        <v>150</v>
      </c>
      <c r="L5" s="117" t="s">
        <v>146</v>
      </c>
      <c r="M5" s="73"/>
    </row>
    <row r="6" spans="1:19" x14ac:dyDescent="0.25">
      <c r="B6" s="92">
        <v>1</v>
      </c>
      <c r="C6" s="418" t="s">
        <v>365</v>
      </c>
      <c r="D6" s="194">
        <v>250</v>
      </c>
      <c r="E6" s="88">
        <v>4</v>
      </c>
      <c r="F6" s="88">
        <v>260</v>
      </c>
      <c r="G6" s="131">
        <f>45.275+15</f>
        <v>60.274999999999999</v>
      </c>
      <c r="H6" s="88">
        <f>D38</f>
        <v>159.8309764</v>
      </c>
      <c r="I6" s="88">
        <f t="shared" ref="I6:I15" si="0">H6*E6</f>
        <v>639.32390559999999</v>
      </c>
      <c r="J6" s="88"/>
      <c r="K6" s="88">
        <f t="shared" ref="K6:K15" si="1">G6*E6</f>
        <v>241.1</v>
      </c>
      <c r="L6" s="88"/>
      <c r="O6" s="91"/>
      <c r="P6" s="91"/>
      <c r="Q6" s="91"/>
      <c r="R6" s="91"/>
      <c r="S6" s="91"/>
    </row>
    <row r="7" spans="1:19" x14ac:dyDescent="0.25">
      <c r="B7" s="92">
        <v>2</v>
      </c>
      <c r="C7" s="418" t="s">
        <v>366</v>
      </c>
      <c r="D7" s="194">
        <v>250</v>
      </c>
      <c r="E7" s="88">
        <v>2</v>
      </c>
      <c r="F7" s="88">
        <v>325</v>
      </c>
      <c r="G7" s="131">
        <f>59.185+15</f>
        <v>74.185000000000002</v>
      </c>
      <c r="H7" s="88">
        <f>E38</f>
        <v>196.71606775999999</v>
      </c>
      <c r="I7" s="88">
        <f t="shared" si="0"/>
        <v>393.43213551999997</v>
      </c>
      <c r="J7" s="88"/>
      <c r="K7" s="88">
        <f t="shared" si="1"/>
        <v>148.37</v>
      </c>
      <c r="L7" s="88"/>
      <c r="O7" s="91"/>
      <c r="P7" s="91"/>
      <c r="Q7" s="91"/>
      <c r="R7" s="91"/>
      <c r="S7" s="91"/>
    </row>
    <row r="8" spans="1:19" x14ac:dyDescent="0.25">
      <c r="B8" s="92">
        <v>3</v>
      </c>
      <c r="C8" s="418" t="s">
        <v>499</v>
      </c>
      <c r="D8" s="194">
        <v>140</v>
      </c>
      <c r="E8" s="88">
        <v>4</v>
      </c>
      <c r="F8" s="88">
        <v>125</v>
      </c>
      <c r="G8" s="131">
        <f>23.978+5</f>
        <v>28.978000000000002</v>
      </c>
      <c r="H8" s="88">
        <f>F38</f>
        <v>76.840846687999999</v>
      </c>
      <c r="I8" s="88">
        <f t="shared" si="0"/>
        <v>307.363386752</v>
      </c>
      <c r="J8" s="88"/>
      <c r="K8" s="88">
        <f t="shared" si="1"/>
        <v>115.91200000000001</v>
      </c>
      <c r="L8" s="88"/>
      <c r="O8" s="91"/>
      <c r="P8" s="91"/>
      <c r="Q8" s="91"/>
      <c r="R8" s="91"/>
      <c r="S8" s="91"/>
    </row>
    <row r="9" spans="1:19" x14ac:dyDescent="0.25">
      <c r="B9" s="92">
        <v>4</v>
      </c>
      <c r="C9" s="418" t="s">
        <v>367</v>
      </c>
      <c r="D9" s="194">
        <v>140</v>
      </c>
      <c r="E9" s="88">
        <v>2</v>
      </c>
      <c r="F9" s="88">
        <v>150</v>
      </c>
      <c r="G9" s="131">
        <f>29.775+5</f>
        <v>34.774999999999999</v>
      </c>
      <c r="H9" s="88">
        <f>G38</f>
        <v>92.212728399999989</v>
      </c>
      <c r="I9" s="88">
        <f t="shared" si="0"/>
        <v>184.42545679999998</v>
      </c>
      <c r="J9" s="88"/>
      <c r="K9" s="88">
        <f t="shared" si="1"/>
        <v>69.55</v>
      </c>
      <c r="L9" s="88"/>
      <c r="O9" s="91"/>
      <c r="P9" s="91"/>
      <c r="Q9" s="91"/>
      <c r="R9" s="91"/>
      <c r="S9" s="91"/>
    </row>
    <row r="10" spans="1:19" x14ac:dyDescent="0.25">
      <c r="B10" s="92">
        <v>5</v>
      </c>
      <c r="C10" s="418" t="s">
        <v>522</v>
      </c>
      <c r="D10" s="194">
        <v>140</v>
      </c>
      <c r="E10" s="88">
        <v>3</v>
      </c>
      <c r="F10" s="88">
        <v>90</v>
      </c>
      <c r="G10" s="131">
        <f>15.865+5</f>
        <v>20.865000000000002</v>
      </c>
      <c r="H10" s="88">
        <f>H38</f>
        <v>55.327637039999999</v>
      </c>
      <c r="I10" s="88">
        <f t="shared" si="0"/>
        <v>165.98291111999998</v>
      </c>
      <c r="J10" s="88"/>
      <c r="K10" s="88">
        <f t="shared" si="1"/>
        <v>62.595000000000006</v>
      </c>
      <c r="L10" s="88"/>
      <c r="O10" s="91"/>
      <c r="P10" s="91"/>
      <c r="Q10" s="91"/>
      <c r="R10" s="91"/>
      <c r="S10" s="91"/>
    </row>
    <row r="11" spans="1:19" x14ac:dyDescent="0.25">
      <c r="B11" s="92">
        <v>6</v>
      </c>
      <c r="C11" s="418" t="s">
        <v>523</v>
      </c>
      <c r="D11" s="194">
        <v>140</v>
      </c>
      <c r="E11" s="88">
        <v>3</v>
      </c>
      <c r="F11" s="88">
        <v>95</v>
      </c>
      <c r="G11" s="131">
        <f>17.024+5</f>
        <v>22.024000000000001</v>
      </c>
      <c r="H11" s="88">
        <f>I38</f>
        <v>58.400952703999998</v>
      </c>
      <c r="I11" s="88">
        <f t="shared" si="0"/>
        <v>175.202858112</v>
      </c>
      <c r="J11" s="88"/>
      <c r="K11" s="88">
        <f t="shared" si="1"/>
        <v>66.072000000000003</v>
      </c>
      <c r="L11" s="88"/>
      <c r="O11" s="91"/>
      <c r="P11" s="91"/>
      <c r="Q11" s="91"/>
      <c r="R11" s="91"/>
      <c r="S11" s="91"/>
    </row>
    <row r="12" spans="1:19" x14ac:dyDescent="0.25">
      <c r="B12" s="92">
        <v>7</v>
      </c>
      <c r="C12" s="418" t="s">
        <v>368</v>
      </c>
      <c r="D12" s="194">
        <v>400</v>
      </c>
      <c r="E12" s="88">
        <v>2</v>
      </c>
      <c r="F12" s="88">
        <v>180</v>
      </c>
      <c r="G12" s="131">
        <f>44.75+10+5</f>
        <v>59.75</v>
      </c>
      <c r="H12" s="88">
        <f>J38</f>
        <v>83.918874999999986</v>
      </c>
      <c r="I12" s="88">
        <f t="shared" si="0"/>
        <v>167.83774999999997</v>
      </c>
      <c r="J12" s="88"/>
      <c r="K12" s="88">
        <f t="shared" si="1"/>
        <v>119.5</v>
      </c>
      <c r="L12" s="88"/>
      <c r="O12" s="91"/>
      <c r="P12" s="91"/>
      <c r="Q12" s="91"/>
      <c r="R12" s="91"/>
      <c r="S12" s="91"/>
    </row>
    <row r="13" spans="1:19" x14ac:dyDescent="0.25">
      <c r="B13" s="92">
        <v>8</v>
      </c>
      <c r="C13" s="194" t="s">
        <v>530</v>
      </c>
      <c r="D13" s="194">
        <v>12</v>
      </c>
      <c r="E13" s="88">
        <v>4</v>
      </c>
      <c r="F13" s="88">
        <v>236</v>
      </c>
      <c r="G13" s="131">
        <f>40.237+10+15</f>
        <v>65.236999999999995</v>
      </c>
      <c r="H13" s="88">
        <f>K38</f>
        <v>151.36510545800002</v>
      </c>
      <c r="I13" s="88">
        <f t="shared" si="0"/>
        <v>605.46042183200007</v>
      </c>
      <c r="J13" s="88"/>
      <c r="K13" s="88">
        <f t="shared" si="1"/>
        <v>260.94799999999998</v>
      </c>
      <c r="L13" s="88"/>
      <c r="O13" s="91"/>
      <c r="P13" s="91"/>
      <c r="Q13" s="91"/>
      <c r="R13" s="91"/>
      <c r="S13" s="91"/>
    </row>
    <row r="14" spans="1:19" x14ac:dyDescent="0.25">
      <c r="B14" s="88">
        <v>9</v>
      </c>
      <c r="C14" s="88" t="s">
        <v>498</v>
      </c>
      <c r="D14" s="88">
        <v>200</v>
      </c>
      <c r="E14" s="88">
        <v>6</v>
      </c>
      <c r="F14" s="88">
        <v>175</v>
      </c>
      <c r="G14" s="131">
        <f>39.325+10.595</f>
        <v>49.92</v>
      </c>
      <c r="H14" s="88">
        <f>L38</f>
        <v>116.21871206399999</v>
      </c>
      <c r="I14" s="88">
        <f t="shared" si="0"/>
        <v>697.31227238399993</v>
      </c>
      <c r="J14" s="88"/>
      <c r="K14" s="88">
        <f t="shared" si="1"/>
        <v>299.52</v>
      </c>
      <c r="L14" s="88"/>
      <c r="O14" s="91"/>
      <c r="P14" s="91"/>
      <c r="Q14" s="91"/>
      <c r="R14" s="91"/>
      <c r="S14" s="91"/>
    </row>
    <row r="15" spans="1:19" x14ac:dyDescent="0.25">
      <c r="B15" s="195">
        <v>10</v>
      </c>
      <c r="C15" s="88" t="s">
        <v>525</v>
      </c>
      <c r="D15" s="88">
        <v>70</v>
      </c>
      <c r="E15" s="88">
        <v>2</v>
      </c>
      <c r="F15" s="88">
        <v>75</v>
      </c>
      <c r="G15" s="131">
        <f>11.395+10</f>
        <v>21.395</v>
      </c>
      <c r="H15" s="88">
        <f>M38</f>
        <v>49.809682383999991</v>
      </c>
      <c r="I15" s="88">
        <f t="shared" si="0"/>
        <v>99.619364767999983</v>
      </c>
      <c r="J15" s="88"/>
      <c r="K15" s="88">
        <f t="shared" si="1"/>
        <v>42.79</v>
      </c>
      <c r="L15" s="88"/>
      <c r="O15" s="91"/>
      <c r="P15" s="91"/>
      <c r="Q15" s="91"/>
      <c r="R15" s="91"/>
      <c r="S15" s="91"/>
    </row>
    <row r="16" spans="1:19" x14ac:dyDescent="0.25">
      <c r="B16" s="635" t="s">
        <v>0</v>
      </c>
      <c r="C16" s="636"/>
      <c r="D16" s="637"/>
      <c r="E16" s="78">
        <f>SUM(E6:E15)</f>
        <v>32</v>
      </c>
      <c r="F16" s="78">
        <f>SUM(F6:F15)</f>
        <v>1711</v>
      </c>
      <c r="G16" s="78">
        <f>SUM(G6:G15)</f>
        <v>437.40400000000005</v>
      </c>
      <c r="H16" s="78">
        <f>SUM(H6:H15)</f>
        <v>1040.6415838979999</v>
      </c>
      <c r="I16" s="78">
        <f>SUM(I6:I15)</f>
        <v>3435.9604628879997</v>
      </c>
      <c r="J16" s="78">
        <f>I16/E16</f>
        <v>107.37376446524999</v>
      </c>
      <c r="K16" s="78">
        <f>SUM(K6:K15)</f>
        <v>1426.357</v>
      </c>
      <c r="L16" s="132">
        <f>K16/E16</f>
        <v>44.573656249999999</v>
      </c>
      <c r="O16" s="91"/>
      <c r="P16" s="91"/>
      <c r="Q16" s="91"/>
      <c r="R16" s="91"/>
      <c r="S16" s="91"/>
    </row>
    <row r="17" spans="3:19" x14ac:dyDescent="0.25">
      <c r="G17" s="93">
        <f>G16/F16</f>
        <v>0.25564231443600238</v>
      </c>
      <c r="O17" s="91"/>
      <c r="P17" s="91"/>
      <c r="Q17" s="91"/>
      <c r="R17" s="91"/>
      <c r="S17" s="91"/>
    </row>
    <row r="18" spans="3:19" x14ac:dyDescent="0.25">
      <c r="O18" s="91"/>
      <c r="P18" s="91"/>
      <c r="Q18" s="91"/>
      <c r="R18" s="91"/>
      <c r="S18" s="91"/>
    </row>
    <row r="19" spans="3:19" x14ac:dyDescent="0.25">
      <c r="C19" s="267" t="s">
        <v>2</v>
      </c>
      <c r="D19" s="304"/>
      <c r="E19" s="304"/>
      <c r="F19" s="304"/>
      <c r="G19" s="268"/>
      <c r="H19" s="214" t="s">
        <v>137</v>
      </c>
      <c r="I19" s="214" t="s">
        <v>153</v>
      </c>
      <c r="J19" s="214" t="s">
        <v>154</v>
      </c>
      <c r="K19" s="214" t="s">
        <v>412</v>
      </c>
      <c r="L19" s="214" t="s">
        <v>518</v>
      </c>
      <c r="O19" s="91"/>
      <c r="P19" s="91"/>
      <c r="Q19" s="91"/>
      <c r="R19" s="91"/>
      <c r="S19" s="91"/>
    </row>
    <row r="20" spans="3:19" x14ac:dyDescent="0.25">
      <c r="C20" s="305" t="s">
        <v>148</v>
      </c>
      <c r="D20" s="306"/>
      <c r="E20" s="306"/>
      <c r="F20" s="306"/>
      <c r="G20" s="307"/>
      <c r="H20" s="215">
        <f>J16</f>
        <v>107.37376446524999</v>
      </c>
      <c r="I20" s="215">
        <f t="shared" ref="I20:L21" si="2">H20*(1+I24)</f>
        <v>107.37376446524999</v>
      </c>
      <c r="J20" s="215">
        <f t="shared" si="2"/>
        <v>110.05810857688122</v>
      </c>
      <c r="K20" s="215">
        <f t="shared" si="2"/>
        <v>110.05810857688122</v>
      </c>
      <c r="L20" s="215">
        <f t="shared" si="2"/>
        <v>110.05810857688122</v>
      </c>
      <c r="O20" s="91"/>
      <c r="P20" s="91"/>
      <c r="Q20" s="91"/>
      <c r="R20" s="91"/>
      <c r="S20" s="91"/>
    </row>
    <row r="21" spans="3:19" x14ac:dyDescent="0.25">
      <c r="C21" s="308" t="s">
        <v>147</v>
      </c>
      <c r="D21" s="309"/>
      <c r="E21" s="309"/>
      <c r="F21" s="309"/>
      <c r="G21" s="310"/>
      <c r="H21" s="131">
        <f>L16</f>
        <v>44.573656249999999</v>
      </c>
      <c r="I21" s="131">
        <f t="shared" si="2"/>
        <v>45.687997656249998</v>
      </c>
      <c r="J21" s="131">
        <f t="shared" si="2"/>
        <v>45.687997656249998</v>
      </c>
      <c r="K21" s="131">
        <f t="shared" si="2"/>
        <v>46.830197597656245</v>
      </c>
      <c r="L21" s="131">
        <f t="shared" si="2"/>
        <v>48.000952537597648</v>
      </c>
      <c r="O21" s="91"/>
      <c r="P21" s="91"/>
      <c r="Q21" s="91"/>
      <c r="R21" s="91"/>
      <c r="S21" s="91"/>
    </row>
    <row r="22" spans="3:19" x14ac:dyDescent="0.25">
      <c r="C22" s="308" t="s">
        <v>149</v>
      </c>
      <c r="D22" s="309"/>
      <c r="E22" s="309"/>
      <c r="F22" s="309"/>
      <c r="G22" s="310"/>
      <c r="H22" s="131">
        <f>H20-H21</f>
        <v>62.800108215249992</v>
      </c>
      <c r="I22" s="131">
        <f>I20-I21</f>
        <v>61.685766808999993</v>
      </c>
      <c r="J22" s="131">
        <f>J20-J21</f>
        <v>64.37011092063122</v>
      </c>
      <c r="K22" s="131">
        <f>K20-K21</f>
        <v>63.22791097922498</v>
      </c>
      <c r="L22" s="131">
        <f>L20-L21</f>
        <v>62.057156039283576</v>
      </c>
    </row>
    <row r="23" spans="3:19" x14ac:dyDescent="0.25">
      <c r="C23" s="311" t="s">
        <v>528</v>
      </c>
      <c r="D23" s="312"/>
      <c r="E23" s="312"/>
      <c r="F23" s="312"/>
      <c r="G23" s="313"/>
      <c r="H23" s="223">
        <f>H22/H21</f>
        <v>1.4089063697854043</v>
      </c>
      <c r="I23" s="223">
        <f>I22/I21</f>
        <v>1.3501525558881993</v>
      </c>
      <c r="J23" s="223">
        <f>J22/J21</f>
        <v>1.4089063697854038</v>
      </c>
      <c r="K23" s="223">
        <f>K22/K21</f>
        <v>1.350152555888199</v>
      </c>
      <c r="L23" s="223">
        <f>L22/L21</f>
        <v>1.2928317618421457</v>
      </c>
    </row>
    <row r="24" spans="3:19" x14ac:dyDescent="0.25">
      <c r="G24" s="133" t="s">
        <v>151</v>
      </c>
      <c r="I24" s="135">
        <v>0</v>
      </c>
      <c r="J24" s="135">
        <v>2.5000000000000001E-2</v>
      </c>
      <c r="K24" s="135">
        <v>0</v>
      </c>
      <c r="L24" s="135">
        <v>0</v>
      </c>
    </row>
    <row r="25" spans="3:19" x14ac:dyDescent="0.25">
      <c r="G25" s="133" t="s">
        <v>152</v>
      </c>
      <c r="I25" s="135">
        <v>2.5000000000000001E-2</v>
      </c>
      <c r="J25" s="135">
        <v>0</v>
      </c>
      <c r="K25" s="135">
        <v>2.5000000000000001E-2</v>
      </c>
      <c r="L25" s="135">
        <v>2.5000000000000001E-2</v>
      </c>
    </row>
    <row r="27" spans="3:19" hidden="1" x14ac:dyDescent="0.25">
      <c r="C27" s="73" t="s">
        <v>318</v>
      </c>
    </row>
    <row r="28" spans="3:19" hidden="1" x14ac:dyDescent="0.25"/>
    <row r="29" spans="3:19" s="275" customFormat="1" ht="61.5" customHeight="1" thickBot="1" x14ac:dyDescent="0.3">
      <c r="C29" s="325" t="s">
        <v>419</v>
      </c>
      <c r="D29" s="325" t="s">
        <v>413</v>
      </c>
      <c r="E29" s="325" t="s">
        <v>414</v>
      </c>
      <c r="F29" s="325" t="s">
        <v>415</v>
      </c>
      <c r="G29" s="325" t="s">
        <v>416</v>
      </c>
      <c r="H29" s="325" t="s">
        <v>522</v>
      </c>
      <c r="I29" s="325" t="s">
        <v>523</v>
      </c>
      <c r="J29" s="413" t="s">
        <v>417</v>
      </c>
      <c r="K29" s="414" t="s">
        <v>418</v>
      </c>
      <c r="L29" s="413" t="s">
        <v>524</v>
      </c>
      <c r="M29" s="414" t="s">
        <v>525</v>
      </c>
    </row>
    <row r="30" spans="3:19" ht="15.75" thickTop="1" x14ac:dyDescent="0.25">
      <c r="C30" s="73" t="s">
        <v>357</v>
      </c>
      <c r="D30" s="274">
        <f>G6</f>
        <v>60.274999999999999</v>
      </c>
      <c r="E30" s="274">
        <f>G7</f>
        <v>74.185000000000002</v>
      </c>
      <c r="F30" s="274">
        <f>G8</f>
        <v>28.978000000000002</v>
      </c>
      <c r="G30" s="274">
        <f>G9</f>
        <v>34.774999999999999</v>
      </c>
      <c r="H30" s="274">
        <f>G10</f>
        <v>20.865000000000002</v>
      </c>
      <c r="I30" s="274">
        <f>G11</f>
        <v>22.024000000000001</v>
      </c>
      <c r="J30" s="415">
        <f>G12</f>
        <v>59.75</v>
      </c>
      <c r="K30" s="415">
        <f>G13</f>
        <v>65.236999999999995</v>
      </c>
      <c r="L30" s="415">
        <f>G14</f>
        <v>49.92</v>
      </c>
      <c r="M30" s="415">
        <f>G15</f>
        <v>21.395</v>
      </c>
    </row>
    <row r="31" spans="3:19" x14ac:dyDescent="0.25">
      <c r="C31" s="73" t="s">
        <v>354</v>
      </c>
      <c r="D31" s="274">
        <f t="shared" ref="D31:M31" si="3">D30*D54</f>
        <v>3.6164999999999998</v>
      </c>
      <c r="E31" s="274">
        <f t="shared" si="3"/>
        <v>4.4511000000000003</v>
      </c>
      <c r="F31" s="274">
        <f t="shared" si="3"/>
        <v>1.73868</v>
      </c>
      <c r="G31" s="274">
        <f t="shared" si="3"/>
        <v>2.0865</v>
      </c>
      <c r="H31" s="274">
        <f t="shared" si="3"/>
        <v>1.2519</v>
      </c>
      <c r="I31" s="274">
        <f t="shared" si="3"/>
        <v>1.3214399999999999</v>
      </c>
      <c r="J31" s="416">
        <f t="shared" si="3"/>
        <v>3.585</v>
      </c>
      <c r="K31" s="416">
        <f t="shared" si="3"/>
        <v>3.9142199999999994</v>
      </c>
      <c r="L31" s="416">
        <f t="shared" si="3"/>
        <v>2.9952000000000001</v>
      </c>
      <c r="M31" s="416">
        <f t="shared" si="3"/>
        <v>1.2836999999999998</v>
      </c>
    </row>
    <row r="32" spans="3:19" x14ac:dyDescent="0.25">
      <c r="C32" s="73" t="s">
        <v>358</v>
      </c>
      <c r="D32" s="274">
        <f t="shared" ref="D32:M32" si="4">D30+D31</f>
        <v>63.891500000000001</v>
      </c>
      <c r="E32" s="274">
        <f t="shared" si="4"/>
        <v>78.636099999999999</v>
      </c>
      <c r="F32" s="274">
        <f t="shared" si="4"/>
        <v>30.71668</v>
      </c>
      <c r="G32" s="274">
        <f t="shared" si="4"/>
        <v>36.861499999999999</v>
      </c>
      <c r="H32" s="274">
        <f t="shared" si="4"/>
        <v>22.116900000000001</v>
      </c>
      <c r="I32" s="274">
        <f t="shared" si="4"/>
        <v>23.34544</v>
      </c>
      <c r="J32" s="415">
        <f t="shared" si="4"/>
        <v>63.335000000000001</v>
      </c>
      <c r="K32" s="415">
        <f t="shared" si="4"/>
        <v>69.151219999999995</v>
      </c>
      <c r="L32" s="415">
        <f t="shared" si="4"/>
        <v>52.915199999999999</v>
      </c>
      <c r="M32" s="415">
        <f t="shared" si="4"/>
        <v>22.678699999999999</v>
      </c>
    </row>
    <row r="33" spans="3:13" x14ac:dyDescent="0.25">
      <c r="C33" s="73" t="s">
        <v>353</v>
      </c>
      <c r="D33" s="274">
        <f t="shared" ref="D33:I33" si="5">D32*D53</f>
        <v>3.8334899999999998</v>
      </c>
      <c r="E33" s="274">
        <f t="shared" si="5"/>
        <v>4.7181660000000001</v>
      </c>
      <c r="F33" s="274">
        <f t="shared" si="5"/>
        <v>1.8430008</v>
      </c>
      <c r="G33" s="274">
        <f t="shared" si="5"/>
        <v>2.2116899999999999</v>
      </c>
      <c r="H33" s="274">
        <f t="shared" si="5"/>
        <v>1.3270139999999999</v>
      </c>
      <c r="I33" s="274">
        <f t="shared" si="5"/>
        <v>1.4007263999999999</v>
      </c>
      <c r="J33" s="416">
        <f>J32*J53</f>
        <v>3.8001</v>
      </c>
      <c r="K33" s="416">
        <f>K32*K53</f>
        <v>4.1490731999999992</v>
      </c>
      <c r="L33" s="416">
        <f>L32*L53</f>
        <v>3.174912</v>
      </c>
      <c r="M33" s="416">
        <f>M32*M53</f>
        <v>1.360722</v>
      </c>
    </row>
    <row r="34" spans="3:13" x14ac:dyDescent="0.25">
      <c r="C34" s="73" t="s">
        <v>432</v>
      </c>
      <c r="D34" s="274">
        <f t="shared" ref="D34:M34" si="6">D32+D33</f>
        <v>67.724990000000005</v>
      </c>
      <c r="E34" s="274">
        <f t="shared" si="6"/>
        <v>83.354265999999996</v>
      </c>
      <c r="F34" s="274">
        <f t="shared" si="6"/>
        <v>32.559680800000002</v>
      </c>
      <c r="G34" s="274">
        <f t="shared" si="6"/>
        <v>39.073189999999997</v>
      </c>
      <c r="H34" s="274">
        <f t="shared" si="6"/>
        <v>23.443913999999999</v>
      </c>
      <c r="I34" s="274">
        <f t="shared" si="6"/>
        <v>24.7461664</v>
      </c>
      <c r="J34" s="415">
        <f t="shared" si="6"/>
        <v>67.135099999999994</v>
      </c>
      <c r="K34" s="415">
        <f t="shared" si="6"/>
        <v>73.300293199999999</v>
      </c>
      <c r="L34" s="415">
        <f t="shared" si="6"/>
        <v>56.090111999999998</v>
      </c>
      <c r="M34" s="415">
        <f t="shared" si="6"/>
        <v>24.039421999999998</v>
      </c>
    </row>
    <row r="35" spans="3:13" x14ac:dyDescent="0.25">
      <c r="C35" s="73" t="s">
        <v>355</v>
      </c>
      <c r="D35" s="274">
        <f t="shared" ref="D35:I35" si="7">D34*D50</f>
        <v>67.724990000000005</v>
      </c>
      <c r="E35" s="274">
        <f t="shared" si="7"/>
        <v>83.354265999999996</v>
      </c>
      <c r="F35" s="274">
        <f t="shared" si="7"/>
        <v>32.559680800000002</v>
      </c>
      <c r="G35" s="274">
        <f t="shared" si="7"/>
        <v>39.073189999999997</v>
      </c>
      <c r="H35" s="274">
        <f t="shared" si="7"/>
        <v>23.443913999999999</v>
      </c>
      <c r="I35" s="274">
        <f t="shared" si="7"/>
        <v>24.7461664</v>
      </c>
      <c r="J35" s="416">
        <f>J34*J50</f>
        <v>16.783774999999999</v>
      </c>
      <c r="K35" s="416">
        <f>K34*K50</f>
        <v>54.975219899999999</v>
      </c>
      <c r="L35" s="416">
        <f>L34*L50</f>
        <v>47.676595199999994</v>
      </c>
      <c r="M35" s="416">
        <f>M34*M50</f>
        <v>20.433508699999997</v>
      </c>
    </row>
    <row r="36" spans="3:13" x14ac:dyDescent="0.25">
      <c r="C36" s="73" t="s">
        <v>359</v>
      </c>
      <c r="D36" s="274">
        <f t="shared" ref="D36:M36" si="8">D34+D35</f>
        <v>135.44998000000001</v>
      </c>
      <c r="E36" s="274">
        <f t="shared" si="8"/>
        <v>166.70853199999999</v>
      </c>
      <c r="F36" s="274">
        <f t="shared" si="8"/>
        <v>65.119361600000005</v>
      </c>
      <c r="G36" s="274">
        <f t="shared" si="8"/>
        <v>78.146379999999994</v>
      </c>
      <c r="H36" s="274">
        <f t="shared" si="8"/>
        <v>46.887827999999999</v>
      </c>
      <c r="I36" s="274">
        <f t="shared" si="8"/>
        <v>49.4923328</v>
      </c>
      <c r="J36" s="415">
        <f t="shared" si="8"/>
        <v>83.918874999999986</v>
      </c>
      <c r="K36" s="415">
        <f t="shared" si="8"/>
        <v>128.27551310000001</v>
      </c>
      <c r="L36" s="415">
        <f t="shared" si="8"/>
        <v>103.76670719999998</v>
      </c>
      <c r="M36" s="415">
        <f t="shared" si="8"/>
        <v>44.472930699999992</v>
      </c>
    </row>
    <row r="37" spans="3:13" x14ac:dyDescent="0.25">
      <c r="C37" s="73" t="s">
        <v>360</v>
      </c>
      <c r="D37" s="274">
        <f t="shared" ref="D37:I37" si="9">D36*D55</f>
        <v>24.380996400000001</v>
      </c>
      <c r="E37" s="274">
        <f t="shared" si="9"/>
        <v>30.007535759999996</v>
      </c>
      <c r="F37" s="274">
        <f t="shared" si="9"/>
        <v>11.721485088</v>
      </c>
      <c r="G37" s="274">
        <f t="shared" si="9"/>
        <v>14.066348399999999</v>
      </c>
      <c r="H37" s="274">
        <f t="shared" si="9"/>
        <v>8.4398090400000001</v>
      </c>
      <c r="I37" s="274">
        <f t="shared" si="9"/>
        <v>8.908619904</v>
      </c>
      <c r="J37" s="416">
        <f>J36*J55</f>
        <v>0</v>
      </c>
      <c r="K37" s="416">
        <f>K36*K55</f>
        <v>23.089592358000001</v>
      </c>
      <c r="L37" s="416">
        <f>L36*L55</f>
        <v>12.452004863999997</v>
      </c>
      <c r="M37" s="416">
        <f>M36*M55</f>
        <v>5.3367516839999984</v>
      </c>
    </row>
    <row r="38" spans="3:13" x14ac:dyDescent="0.25">
      <c r="C38" s="73" t="s">
        <v>521</v>
      </c>
      <c r="D38" s="274">
        <f t="shared" ref="D38:M38" si="10">D36+D37</f>
        <v>159.8309764</v>
      </c>
      <c r="E38" s="274">
        <f t="shared" si="10"/>
        <v>196.71606775999999</v>
      </c>
      <c r="F38" s="274">
        <f t="shared" si="10"/>
        <v>76.840846687999999</v>
      </c>
      <c r="G38" s="274">
        <f t="shared" si="10"/>
        <v>92.212728399999989</v>
      </c>
      <c r="H38" s="274">
        <f t="shared" si="10"/>
        <v>55.327637039999999</v>
      </c>
      <c r="I38" s="274">
        <f t="shared" si="10"/>
        <v>58.400952703999998</v>
      </c>
      <c r="J38" s="415">
        <f t="shared" si="10"/>
        <v>83.918874999999986</v>
      </c>
      <c r="K38" s="415">
        <f t="shared" si="10"/>
        <v>151.36510545800002</v>
      </c>
      <c r="L38" s="415">
        <f t="shared" si="10"/>
        <v>116.21871206399999</v>
      </c>
      <c r="M38" s="415">
        <f t="shared" si="10"/>
        <v>49.809682383999991</v>
      </c>
    </row>
    <row r="39" spans="3:13" x14ac:dyDescent="0.25">
      <c r="C39" s="73" t="s">
        <v>356</v>
      </c>
      <c r="D39" s="274">
        <f t="shared" ref="D39:I39" si="11">D38*D51</f>
        <v>15.98309764</v>
      </c>
      <c r="E39" s="274">
        <f t="shared" si="11"/>
        <v>19.671606776000001</v>
      </c>
      <c r="F39" s="274">
        <f t="shared" si="11"/>
        <v>7.6840846688000006</v>
      </c>
      <c r="G39" s="274">
        <f t="shared" si="11"/>
        <v>9.2212728399999992</v>
      </c>
      <c r="H39" s="274">
        <f t="shared" si="11"/>
        <v>5.5327637040000006</v>
      </c>
      <c r="I39" s="274">
        <f t="shared" si="11"/>
        <v>5.8400952704</v>
      </c>
      <c r="J39" s="416">
        <f>J38*J51</f>
        <v>8.3918874999999993</v>
      </c>
      <c r="K39" s="416">
        <f>K38*K51</f>
        <v>15.136510545800002</v>
      </c>
      <c r="L39" s="416">
        <f>L38*L51</f>
        <v>11.6218712064</v>
      </c>
      <c r="M39" s="416">
        <f>M38*M51</f>
        <v>4.9809682383999991</v>
      </c>
    </row>
    <row r="40" spans="3:13" x14ac:dyDescent="0.25">
      <c r="C40" s="73" t="s">
        <v>123</v>
      </c>
      <c r="D40" s="274">
        <f t="shared" ref="D40:M40" si="12">D38+D39</f>
        <v>175.81407404000001</v>
      </c>
      <c r="E40" s="274">
        <f t="shared" si="12"/>
        <v>216.38767453599999</v>
      </c>
      <c r="F40" s="274">
        <f t="shared" si="12"/>
        <v>84.524931356799996</v>
      </c>
      <c r="G40" s="274">
        <f t="shared" si="12"/>
        <v>101.43400123999999</v>
      </c>
      <c r="H40" s="274">
        <f t="shared" si="12"/>
        <v>60.860400744000003</v>
      </c>
      <c r="I40" s="274">
        <f t="shared" si="12"/>
        <v>64.241047974400004</v>
      </c>
      <c r="J40" s="415">
        <f t="shared" si="12"/>
        <v>92.310762499999981</v>
      </c>
      <c r="K40" s="415">
        <f t="shared" si="12"/>
        <v>166.50161600380002</v>
      </c>
      <c r="L40" s="415">
        <f t="shared" si="12"/>
        <v>127.84058327039999</v>
      </c>
      <c r="M40" s="415">
        <f t="shared" si="12"/>
        <v>54.790650622399994</v>
      </c>
    </row>
    <row r="41" spans="3:13" x14ac:dyDescent="0.25">
      <c r="C41" s="73" t="s">
        <v>360</v>
      </c>
      <c r="D41" s="274">
        <f t="shared" ref="D41:I41" si="13">D40*D55-D37</f>
        <v>7.2655369271999994</v>
      </c>
      <c r="E41" s="274">
        <f t="shared" si="13"/>
        <v>8.9422456564800044</v>
      </c>
      <c r="F41" s="274">
        <f t="shared" si="13"/>
        <v>3.493002556223999</v>
      </c>
      <c r="G41" s="274">
        <f t="shared" si="13"/>
        <v>4.1917718231999963</v>
      </c>
      <c r="H41" s="274">
        <f t="shared" si="13"/>
        <v>2.5150630939200003</v>
      </c>
      <c r="I41" s="274">
        <f t="shared" si="13"/>
        <v>2.6547687313920001</v>
      </c>
      <c r="J41" s="416">
        <f>J40*J55-J37</f>
        <v>0</v>
      </c>
      <c r="K41" s="416">
        <f>K40*K55-K37</f>
        <v>6.8806985226840034</v>
      </c>
      <c r="L41" s="416">
        <f>L40*L55-L37</f>
        <v>2.8888651284480016</v>
      </c>
      <c r="M41" s="416">
        <f>M40*M55-M37</f>
        <v>1.2381263906880005</v>
      </c>
    </row>
    <row r="42" spans="3:13" x14ac:dyDescent="0.25">
      <c r="C42" s="73" t="s">
        <v>361</v>
      </c>
      <c r="D42" s="274">
        <f t="shared" ref="D42:M42" si="14">D40+D41</f>
        <v>183.07961096720001</v>
      </c>
      <c r="E42" s="274">
        <f t="shared" si="14"/>
        <v>225.32992019247999</v>
      </c>
      <c r="F42" s="274">
        <f t="shared" si="14"/>
        <v>88.017933913023995</v>
      </c>
      <c r="G42" s="274">
        <f t="shared" si="14"/>
        <v>105.62577306319999</v>
      </c>
      <c r="H42" s="274">
        <f t="shared" si="14"/>
        <v>63.375463837920002</v>
      </c>
      <c r="I42" s="274">
        <f t="shared" si="14"/>
        <v>66.895816705792001</v>
      </c>
      <c r="J42" s="415">
        <f t="shared" si="14"/>
        <v>92.310762499999981</v>
      </c>
      <c r="K42" s="415">
        <f t="shared" si="14"/>
        <v>173.38231452648404</v>
      </c>
      <c r="L42" s="415">
        <f t="shared" si="14"/>
        <v>130.72944839884798</v>
      </c>
      <c r="M42" s="415">
        <f t="shared" si="14"/>
        <v>56.028777013087996</v>
      </c>
    </row>
    <row r="43" spans="3:13" x14ac:dyDescent="0.25">
      <c r="C43" s="73" t="s">
        <v>362</v>
      </c>
      <c r="D43" s="274">
        <f t="shared" ref="D43:I43" si="15">D42*D52</f>
        <v>64.077863838520003</v>
      </c>
      <c r="E43" s="274">
        <f t="shared" si="15"/>
        <v>78.865472067367989</v>
      </c>
      <c r="F43" s="274">
        <f t="shared" si="15"/>
        <v>30.806276869558396</v>
      </c>
      <c r="G43" s="274">
        <f t="shared" si="15"/>
        <v>36.969020572119994</v>
      </c>
      <c r="H43" s="274">
        <f t="shared" si="15"/>
        <v>22.181412343272001</v>
      </c>
      <c r="I43" s="274">
        <f t="shared" si="15"/>
        <v>23.413535847027198</v>
      </c>
      <c r="J43" s="416">
        <f>J42*J52</f>
        <v>27.693228749999992</v>
      </c>
      <c r="K43" s="416">
        <f>K42*K52</f>
        <v>52.01469435794521</v>
      </c>
      <c r="L43" s="416">
        <f>L42*L52</f>
        <v>39.218834519654393</v>
      </c>
      <c r="M43" s="416">
        <f>M42*M52</f>
        <v>16.808633103926397</v>
      </c>
    </row>
    <row r="44" spans="3:13" x14ac:dyDescent="0.25">
      <c r="C44" s="73" t="s">
        <v>123</v>
      </c>
      <c r="D44" s="274">
        <f t="shared" ref="D44:M44" si="16">D42+D43</f>
        <v>247.15747480572003</v>
      </c>
      <c r="E44" s="274">
        <f t="shared" si="16"/>
        <v>304.19539225984795</v>
      </c>
      <c r="F44" s="274">
        <f t="shared" si="16"/>
        <v>118.82421078258238</v>
      </c>
      <c r="G44" s="274">
        <f t="shared" si="16"/>
        <v>142.59479363531997</v>
      </c>
      <c r="H44" s="274">
        <f t="shared" si="16"/>
        <v>85.556876181191996</v>
      </c>
      <c r="I44" s="274">
        <f t="shared" si="16"/>
        <v>90.309352552819206</v>
      </c>
      <c r="J44" s="415">
        <f t="shared" si="16"/>
        <v>120.00399124999997</v>
      </c>
      <c r="K44" s="415">
        <f t="shared" si="16"/>
        <v>225.39700888442925</v>
      </c>
      <c r="L44" s="415">
        <f t="shared" si="16"/>
        <v>169.94828291850237</v>
      </c>
      <c r="M44" s="415">
        <f t="shared" si="16"/>
        <v>72.8374101170144</v>
      </c>
    </row>
    <row r="45" spans="3:13" x14ac:dyDescent="0.25">
      <c r="C45" s="73" t="s">
        <v>360</v>
      </c>
      <c r="D45" s="274">
        <f t="shared" ref="D45:I45" si="17">D44*D55-D37-D41</f>
        <v>12.841812137829603</v>
      </c>
      <c r="E45" s="274">
        <f t="shared" si="17"/>
        <v>15.80538919029263</v>
      </c>
      <c r="F45" s="274">
        <f t="shared" si="17"/>
        <v>6.1738702966408301</v>
      </c>
      <c r="G45" s="274">
        <f t="shared" si="17"/>
        <v>7.4089426311576005</v>
      </c>
      <c r="H45" s="274">
        <f t="shared" si="17"/>
        <v>4.4453655786945578</v>
      </c>
      <c r="I45" s="274">
        <f t="shared" si="17"/>
        <v>4.6922948241154554</v>
      </c>
      <c r="J45" s="416">
        <f>J44*J55-J37-J41</f>
        <v>0</v>
      </c>
      <c r="K45" s="416">
        <f>K44*K55-K37-K41</f>
        <v>10.601170718513259</v>
      </c>
      <c r="L45" s="416">
        <f>L44*L55-L37-L41</f>
        <v>5.0529239577722862</v>
      </c>
      <c r="M45" s="416">
        <f>M44*M55-M37-M41</f>
        <v>2.1656111393537296</v>
      </c>
    </row>
    <row r="46" spans="3:13" x14ac:dyDescent="0.25">
      <c r="C46" s="73" t="s">
        <v>352</v>
      </c>
      <c r="D46" s="274">
        <f t="shared" ref="D46:M46" si="18">D44+D45</f>
        <v>259.99928694354963</v>
      </c>
      <c r="E46" s="274">
        <f t="shared" si="18"/>
        <v>320.00078145014061</v>
      </c>
      <c r="F46" s="274">
        <f t="shared" si="18"/>
        <v>124.99808107922321</v>
      </c>
      <c r="G46" s="274">
        <f t="shared" si="18"/>
        <v>150.00373626647757</v>
      </c>
      <c r="H46" s="274">
        <f t="shared" si="18"/>
        <v>90.002241759886559</v>
      </c>
      <c r="I46" s="274">
        <f t="shared" si="18"/>
        <v>95.001647376934656</v>
      </c>
      <c r="J46" s="417">
        <f t="shared" si="18"/>
        <v>120.00399124999997</v>
      </c>
      <c r="K46" s="417">
        <f t="shared" si="18"/>
        <v>235.99817960294251</v>
      </c>
      <c r="L46" s="417">
        <f t="shared" si="18"/>
        <v>175.00120687627467</v>
      </c>
      <c r="M46" s="417">
        <f t="shared" si="18"/>
        <v>75.003021256368129</v>
      </c>
    </row>
    <row r="47" spans="3:13" x14ac:dyDescent="0.25">
      <c r="D47" s="274"/>
      <c r="E47" s="274"/>
    </row>
    <row r="48" spans="3:13" x14ac:dyDescent="0.25">
      <c r="D48" s="274"/>
      <c r="E48" s="274"/>
    </row>
    <row r="49" spans="3:13" ht="15.75" thickBot="1" x14ac:dyDescent="0.3">
      <c r="C49" s="323" t="s">
        <v>421</v>
      </c>
      <c r="D49" s="316"/>
      <c r="E49" s="316"/>
      <c r="F49" s="324"/>
      <c r="G49" s="324"/>
      <c r="H49" s="324"/>
      <c r="I49" s="324"/>
      <c r="J49" s="324"/>
      <c r="K49" s="324"/>
      <c r="L49" s="324"/>
      <c r="M49" s="324"/>
    </row>
    <row r="50" spans="3:13" ht="15.75" thickTop="1" x14ac:dyDescent="0.25">
      <c r="C50" s="317" t="s">
        <v>363</v>
      </c>
      <c r="D50" s="318">
        <v>1</v>
      </c>
      <c r="E50" s="318">
        <v>1</v>
      </c>
      <c r="F50" s="318">
        <v>1</v>
      </c>
      <c r="G50" s="318">
        <v>1</v>
      </c>
      <c r="H50" s="318">
        <v>1</v>
      </c>
      <c r="I50" s="318">
        <v>1</v>
      </c>
      <c r="J50" s="318">
        <v>0.25</v>
      </c>
      <c r="K50" s="318">
        <v>0.75</v>
      </c>
      <c r="L50" s="318">
        <v>0.85</v>
      </c>
      <c r="M50" s="318">
        <v>0.85</v>
      </c>
    </row>
    <row r="51" spans="3:13" x14ac:dyDescent="0.25">
      <c r="C51" s="319" t="s">
        <v>351</v>
      </c>
      <c r="D51" s="315">
        <v>0.1</v>
      </c>
      <c r="E51" s="315">
        <v>0.1</v>
      </c>
      <c r="F51" s="315">
        <v>0.1</v>
      </c>
      <c r="G51" s="315">
        <v>0.1</v>
      </c>
      <c r="H51" s="315">
        <v>0.1</v>
      </c>
      <c r="I51" s="315">
        <v>0.1</v>
      </c>
      <c r="J51" s="315">
        <v>0.1</v>
      </c>
      <c r="K51" s="315">
        <v>0.1</v>
      </c>
      <c r="L51" s="315">
        <v>0.1</v>
      </c>
      <c r="M51" s="315">
        <v>0.1</v>
      </c>
    </row>
    <row r="52" spans="3:13" x14ac:dyDescent="0.25">
      <c r="C52" s="320" t="s">
        <v>364</v>
      </c>
      <c r="D52" s="314">
        <v>0.35</v>
      </c>
      <c r="E52" s="314">
        <v>0.35</v>
      </c>
      <c r="F52" s="314">
        <v>0.35</v>
      </c>
      <c r="G52" s="314">
        <v>0.35</v>
      </c>
      <c r="H52" s="314">
        <v>0.35</v>
      </c>
      <c r="I52" s="314">
        <v>0.35</v>
      </c>
      <c r="J52" s="314">
        <v>0.3</v>
      </c>
      <c r="K52" s="314">
        <v>0.3</v>
      </c>
      <c r="L52" s="314">
        <v>0.3</v>
      </c>
      <c r="M52" s="314">
        <v>0.3</v>
      </c>
    </row>
    <row r="53" spans="3:13" x14ac:dyDescent="0.25">
      <c r="C53" s="321" t="s">
        <v>420</v>
      </c>
      <c r="D53" s="315">
        <v>0.06</v>
      </c>
      <c r="E53" s="315">
        <v>0.06</v>
      </c>
      <c r="F53" s="315">
        <v>0.06</v>
      </c>
      <c r="G53" s="315">
        <v>0.06</v>
      </c>
      <c r="H53" s="315">
        <v>0.06</v>
      </c>
      <c r="I53" s="315">
        <v>0.06</v>
      </c>
      <c r="J53" s="315">
        <v>0.06</v>
      </c>
      <c r="K53" s="315">
        <v>0.06</v>
      </c>
      <c r="L53" s="315">
        <v>0.06</v>
      </c>
      <c r="M53" s="315">
        <v>0.06</v>
      </c>
    </row>
    <row r="54" spans="3:13" x14ac:dyDescent="0.25">
      <c r="C54" s="322" t="s">
        <v>354</v>
      </c>
      <c r="D54" s="314">
        <v>0.06</v>
      </c>
      <c r="E54" s="314">
        <v>0.06</v>
      </c>
      <c r="F54" s="314">
        <v>0.06</v>
      </c>
      <c r="G54" s="314">
        <v>0.06</v>
      </c>
      <c r="H54" s="314">
        <v>0.06</v>
      </c>
      <c r="I54" s="314">
        <v>0.06</v>
      </c>
      <c r="J54" s="314">
        <v>0.06</v>
      </c>
      <c r="K54" s="314">
        <v>0.06</v>
      </c>
      <c r="L54" s="314">
        <v>0.06</v>
      </c>
      <c r="M54" s="314">
        <v>0.06</v>
      </c>
    </row>
    <row r="55" spans="3:13" x14ac:dyDescent="0.25">
      <c r="C55" s="321" t="s">
        <v>360</v>
      </c>
      <c r="D55" s="315">
        <v>0.18</v>
      </c>
      <c r="E55" s="315">
        <v>0.18</v>
      </c>
      <c r="F55" s="315">
        <v>0.18</v>
      </c>
      <c r="G55" s="315">
        <v>0.18</v>
      </c>
      <c r="H55" s="315">
        <v>0.18</v>
      </c>
      <c r="I55" s="315">
        <v>0.18</v>
      </c>
      <c r="J55" s="315">
        <v>0</v>
      </c>
      <c r="K55" s="315">
        <v>0.18</v>
      </c>
      <c r="L55" s="315">
        <v>0.12</v>
      </c>
      <c r="M55" s="315">
        <v>0.12</v>
      </c>
    </row>
  </sheetData>
  <mergeCells count="2">
    <mergeCell ref="B4:L4"/>
    <mergeCell ref="B16:D16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5"/>
  <sheetViews>
    <sheetView showGridLines="0" zoomScale="90" zoomScaleNormal="90" workbookViewId="0">
      <pane xSplit="5" ySplit="5" topLeftCell="F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" style="73" customWidth="1"/>
    <col min="2" max="2" width="7" style="73" customWidth="1"/>
    <col min="3" max="3" width="33.42578125" style="73" customWidth="1"/>
    <col min="4" max="4" width="15" style="73" customWidth="1"/>
    <col min="5" max="5" width="14.140625" style="73" bestFit="1" customWidth="1"/>
    <col min="6" max="7" width="13.28515625" style="73" customWidth="1"/>
    <col min="8" max="8" width="14" style="73" customWidth="1"/>
    <col min="9" max="9" width="13" style="73" customWidth="1"/>
    <col min="10" max="10" width="10.5703125" style="73" bestFit="1" customWidth="1"/>
    <col min="11" max="11" width="11" style="73" customWidth="1"/>
    <col min="12" max="12" width="11.85546875" style="73" customWidth="1"/>
    <col min="13" max="13" width="13.85546875" style="73" customWidth="1"/>
    <col min="14" max="14" width="9.140625" style="73" customWidth="1"/>
    <col min="15" max="16384" width="9.140625" style="73"/>
  </cols>
  <sheetData>
    <row r="1" spans="1:14" s="495" customFormat="1" x14ac:dyDescent="0.25">
      <c r="A1" s="542" t="str">
        <f>Summary!A1</f>
        <v>ABC Nutri foods</v>
      </c>
      <c r="B1" s="494"/>
    </row>
    <row r="2" spans="1:14" s="497" customFormat="1" x14ac:dyDescent="0.25">
      <c r="A2" s="493" t="s">
        <v>456</v>
      </c>
      <c r="B2" s="496"/>
    </row>
    <row r="4" spans="1:14" s="130" customFormat="1" ht="18.75" x14ac:dyDescent="0.3">
      <c r="B4" s="638" t="s">
        <v>497</v>
      </c>
      <c r="C4" s="639"/>
      <c r="D4" s="639"/>
      <c r="E4" s="639"/>
      <c r="F4" s="639"/>
      <c r="G4" s="639"/>
      <c r="H4" s="639"/>
      <c r="I4" s="639"/>
      <c r="J4" s="639"/>
      <c r="K4" s="639"/>
      <c r="L4" s="639"/>
      <c r="M4" s="639"/>
    </row>
    <row r="5" spans="1:14" s="91" customFormat="1" ht="75" x14ac:dyDescent="0.2">
      <c r="B5" s="117" t="s">
        <v>132</v>
      </c>
      <c r="C5" s="117" t="s">
        <v>118</v>
      </c>
      <c r="D5" s="117" t="s">
        <v>119</v>
      </c>
      <c r="E5" s="117" t="s">
        <v>575</v>
      </c>
      <c r="F5" s="117" t="s">
        <v>574</v>
      </c>
      <c r="G5" s="117" t="s">
        <v>519</v>
      </c>
      <c r="H5" s="117" t="s">
        <v>568</v>
      </c>
      <c r="I5" s="117" t="s">
        <v>569</v>
      </c>
      <c r="J5" s="117" t="s">
        <v>570</v>
      </c>
      <c r="K5" s="117" t="s">
        <v>571</v>
      </c>
      <c r="L5" s="117" t="s">
        <v>572</v>
      </c>
      <c r="M5" s="117" t="s">
        <v>573</v>
      </c>
    </row>
    <row r="6" spans="1:14" x14ac:dyDescent="0.25">
      <c r="B6" s="92">
        <v>1</v>
      </c>
      <c r="C6" s="194" t="s">
        <v>517</v>
      </c>
      <c r="D6" s="194" t="s">
        <v>541</v>
      </c>
      <c r="E6" s="88">
        <v>6</v>
      </c>
      <c r="F6" s="88">
        <f>116+145+141+120+118+140</f>
        <v>780</v>
      </c>
      <c r="G6" s="88">
        <f t="shared" ref="G6:G12" si="0">F6/E6</f>
        <v>130</v>
      </c>
      <c r="H6" s="88">
        <f>(F6/E6)+2</f>
        <v>132</v>
      </c>
      <c r="I6" s="88">
        <f t="shared" ref="I6:I12" si="1">H6*E6</f>
        <v>792</v>
      </c>
      <c r="J6" s="88">
        <f>135+158+160+155+190+195</f>
        <v>993</v>
      </c>
      <c r="K6" s="88">
        <f t="shared" ref="K6:K12" si="2">J6/E6</f>
        <v>165.5</v>
      </c>
      <c r="L6" s="88">
        <f>K6*1.05</f>
        <v>173.77500000000001</v>
      </c>
      <c r="M6" s="88">
        <f t="shared" ref="M6:M12" si="3">L6*E6</f>
        <v>1042.6500000000001</v>
      </c>
      <c r="N6" s="93">
        <f>H6/K6</f>
        <v>0.797583081570997</v>
      </c>
    </row>
    <row r="7" spans="1:14" x14ac:dyDescent="0.25">
      <c r="B7" s="92">
        <v>2</v>
      </c>
      <c r="C7" s="194" t="s">
        <v>339</v>
      </c>
      <c r="D7" s="194" t="str">
        <f t="shared" ref="D7:D13" si="4">D6</f>
        <v>1000 GM</v>
      </c>
      <c r="E7" s="88">
        <v>2</v>
      </c>
      <c r="F7" s="88">
        <f>180+210</f>
        <v>390</v>
      </c>
      <c r="G7" s="88">
        <f t="shared" si="0"/>
        <v>195</v>
      </c>
      <c r="H7" s="88">
        <f t="shared" ref="H7:H12" si="5">(F7/E7)+2</f>
        <v>197</v>
      </c>
      <c r="I7" s="88">
        <f t="shared" si="1"/>
        <v>394</v>
      </c>
      <c r="J7" s="88">
        <f>(235+255)*1.05</f>
        <v>514.5</v>
      </c>
      <c r="K7" s="88">
        <f t="shared" si="2"/>
        <v>257.25</v>
      </c>
      <c r="L7" s="88">
        <f t="shared" ref="L7:L12" si="6">K7*1.05</f>
        <v>270.11250000000001</v>
      </c>
      <c r="M7" s="88">
        <f t="shared" si="3"/>
        <v>540.22500000000002</v>
      </c>
      <c r="N7" s="93">
        <f t="shared" ref="N7:N13" si="7">H7/K7</f>
        <v>0.76579203109815353</v>
      </c>
    </row>
    <row r="8" spans="1:14" x14ac:dyDescent="0.25">
      <c r="B8" s="92">
        <v>3</v>
      </c>
      <c r="C8" s="194" t="s">
        <v>340</v>
      </c>
      <c r="D8" s="194" t="str">
        <f t="shared" si="4"/>
        <v>1000 GM</v>
      </c>
      <c r="E8" s="88">
        <v>2</v>
      </c>
      <c r="F8" s="88">
        <f>180+200</f>
        <v>380</v>
      </c>
      <c r="G8" s="88">
        <f t="shared" si="0"/>
        <v>190</v>
      </c>
      <c r="H8" s="88">
        <f t="shared" si="5"/>
        <v>192</v>
      </c>
      <c r="I8" s="88">
        <f t="shared" si="1"/>
        <v>384</v>
      </c>
      <c r="J8" s="88">
        <f>(308+315)*1.05</f>
        <v>654.15</v>
      </c>
      <c r="K8" s="88">
        <f t="shared" si="2"/>
        <v>327.07499999999999</v>
      </c>
      <c r="L8" s="88">
        <f t="shared" si="6"/>
        <v>343.42874999999998</v>
      </c>
      <c r="M8" s="88">
        <f t="shared" si="3"/>
        <v>686.85749999999996</v>
      </c>
      <c r="N8" s="93">
        <f t="shared" si="7"/>
        <v>0.58702132538408625</v>
      </c>
    </row>
    <row r="9" spans="1:14" x14ac:dyDescent="0.25">
      <c r="B9" s="92">
        <v>4</v>
      </c>
      <c r="C9" s="194" t="s">
        <v>341</v>
      </c>
      <c r="D9" s="194" t="str">
        <f t="shared" si="4"/>
        <v>1000 GM</v>
      </c>
      <c r="E9" s="88">
        <v>2</v>
      </c>
      <c r="F9" s="88">
        <f>280+300</f>
        <v>580</v>
      </c>
      <c r="G9" s="88">
        <f t="shared" si="0"/>
        <v>290</v>
      </c>
      <c r="H9" s="88">
        <f t="shared" si="5"/>
        <v>292</v>
      </c>
      <c r="I9" s="88">
        <f t="shared" si="1"/>
        <v>584</v>
      </c>
      <c r="J9" s="88">
        <f>(408+415)*1.05</f>
        <v>864.15000000000009</v>
      </c>
      <c r="K9" s="88">
        <f t="shared" si="2"/>
        <v>432.07500000000005</v>
      </c>
      <c r="L9" s="88">
        <f t="shared" si="6"/>
        <v>453.67875000000009</v>
      </c>
      <c r="M9" s="88">
        <f t="shared" si="3"/>
        <v>907.35750000000019</v>
      </c>
      <c r="N9" s="93">
        <f t="shared" si="7"/>
        <v>0.67580859804432092</v>
      </c>
    </row>
    <row r="10" spans="1:14" x14ac:dyDescent="0.25">
      <c r="B10" s="92">
        <v>5</v>
      </c>
      <c r="C10" s="194" t="s">
        <v>342</v>
      </c>
      <c r="D10" s="194" t="str">
        <f t="shared" si="4"/>
        <v>1000 GM</v>
      </c>
      <c r="E10" s="88">
        <v>2</v>
      </c>
      <c r="F10" s="88">
        <f>210+220</f>
        <v>430</v>
      </c>
      <c r="G10" s="88">
        <f t="shared" si="0"/>
        <v>215</v>
      </c>
      <c r="H10" s="88">
        <f t="shared" si="5"/>
        <v>217</v>
      </c>
      <c r="I10" s="88">
        <f t="shared" si="1"/>
        <v>434</v>
      </c>
      <c r="J10" s="88">
        <f>(330+340)*1.05</f>
        <v>703.5</v>
      </c>
      <c r="K10" s="88">
        <f t="shared" si="2"/>
        <v>351.75</v>
      </c>
      <c r="L10" s="88">
        <f t="shared" si="6"/>
        <v>369.33750000000003</v>
      </c>
      <c r="M10" s="88">
        <f t="shared" si="3"/>
        <v>738.67500000000007</v>
      </c>
      <c r="N10" s="93">
        <f t="shared" si="7"/>
        <v>0.61691542288557211</v>
      </c>
    </row>
    <row r="11" spans="1:14" x14ac:dyDescent="0.25">
      <c r="B11" s="92">
        <v>6</v>
      </c>
      <c r="C11" s="194" t="s">
        <v>343</v>
      </c>
      <c r="D11" s="194" t="str">
        <f t="shared" si="4"/>
        <v>1000 GM</v>
      </c>
      <c r="E11" s="88">
        <v>2</v>
      </c>
      <c r="F11" s="88">
        <f>54+54</f>
        <v>108</v>
      </c>
      <c r="G11" s="88">
        <f t="shared" si="0"/>
        <v>54</v>
      </c>
      <c r="H11" s="88">
        <f t="shared" si="5"/>
        <v>56</v>
      </c>
      <c r="I11" s="88">
        <f t="shared" si="1"/>
        <v>112</v>
      </c>
      <c r="J11" s="88">
        <f>(85+85)*1.05</f>
        <v>178.5</v>
      </c>
      <c r="K11" s="88">
        <f t="shared" si="2"/>
        <v>89.25</v>
      </c>
      <c r="L11" s="88">
        <f t="shared" si="6"/>
        <v>93.712500000000006</v>
      </c>
      <c r="M11" s="88">
        <f t="shared" si="3"/>
        <v>187.42500000000001</v>
      </c>
      <c r="N11" s="93">
        <f t="shared" si="7"/>
        <v>0.62745098039215685</v>
      </c>
    </row>
    <row r="12" spans="1:14" x14ac:dyDescent="0.25">
      <c r="B12" s="92">
        <v>7</v>
      </c>
      <c r="C12" s="194" t="s">
        <v>344</v>
      </c>
      <c r="D12" s="194" t="str">
        <f t="shared" si="4"/>
        <v>1000 GM</v>
      </c>
      <c r="E12" s="88">
        <v>2</v>
      </c>
      <c r="F12" s="88">
        <f>52+52</f>
        <v>104</v>
      </c>
      <c r="G12" s="88">
        <f t="shared" si="0"/>
        <v>52</v>
      </c>
      <c r="H12" s="88">
        <f t="shared" si="5"/>
        <v>54</v>
      </c>
      <c r="I12" s="88">
        <f t="shared" si="1"/>
        <v>108</v>
      </c>
      <c r="J12" s="88">
        <f>(82+82)*1.05</f>
        <v>172.20000000000002</v>
      </c>
      <c r="K12" s="88">
        <f t="shared" si="2"/>
        <v>86.100000000000009</v>
      </c>
      <c r="L12" s="88">
        <f t="shared" si="6"/>
        <v>90.405000000000015</v>
      </c>
      <c r="M12" s="88">
        <f t="shared" si="3"/>
        <v>180.81000000000003</v>
      </c>
      <c r="N12" s="93">
        <f t="shared" si="7"/>
        <v>0.62717770034843201</v>
      </c>
    </row>
    <row r="13" spans="1:14" x14ac:dyDescent="0.25">
      <c r="B13" s="92">
        <v>8</v>
      </c>
      <c r="C13" s="194" t="s">
        <v>690</v>
      </c>
      <c r="D13" s="194" t="str">
        <f t="shared" si="4"/>
        <v>1000 GM</v>
      </c>
      <c r="E13" s="88">
        <v>2</v>
      </c>
      <c r="F13" s="88">
        <f>54+54</f>
        <v>108</v>
      </c>
      <c r="G13" s="88">
        <f t="shared" ref="G13" si="8">F13/E13</f>
        <v>54</v>
      </c>
      <c r="H13" s="88">
        <f t="shared" ref="H13" si="9">(F13/E13)+2</f>
        <v>56</v>
      </c>
      <c r="I13" s="88">
        <f t="shared" ref="I13" si="10">H13*E13</f>
        <v>112</v>
      </c>
      <c r="J13" s="88">
        <f>(80+80)*1.05</f>
        <v>168</v>
      </c>
      <c r="K13" s="88">
        <f t="shared" ref="K13" si="11">J13/E13</f>
        <v>84</v>
      </c>
      <c r="L13" s="88">
        <f t="shared" ref="L13" si="12">K13*1.05</f>
        <v>88.2</v>
      </c>
      <c r="M13" s="88">
        <f t="shared" ref="M13" si="13">L13*E13</f>
        <v>176.4</v>
      </c>
      <c r="N13" s="93">
        <f t="shared" si="7"/>
        <v>0.66666666666666663</v>
      </c>
    </row>
    <row r="14" spans="1:14" x14ac:dyDescent="0.25">
      <c r="B14" s="635" t="s">
        <v>0</v>
      </c>
      <c r="C14" s="636"/>
      <c r="D14" s="637"/>
      <c r="E14" s="78">
        <f>SUM(E6:E13)</f>
        <v>20</v>
      </c>
      <c r="F14" s="78"/>
      <c r="G14" s="78"/>
      <c r="H14" s="78">
        <f>SUM(H6:H13)</f>
        <v>1196</v>
      </c>
      <c r="I14" s="78">
        <f>SUM(I6:I13)</f>
        <v>2920</v>
      </c>
      <c r="J14" s="78"/>
      <c r="K14" s="78"/>
      <c r="L14" s="78">
        <f>SUM(L6:L13)</f>
        <v>1882.6500000000003</v>
      </c>
      <c r="M14" s="78">
        <f>SUM(M6:M13)</f>
        <v>4460.4000000000005</v>
      </c>
    </row>
    <row r="15" spans="1:14" x14ac:dyDescent="0.25">
      <c r="G15" s="93"/>
    </row>
    <row r="17" spans="2:10" ht="30" x14ac:dyDescent="0.25">
      <c r="B17" s="427" t="s">
        <v>132</v>
      </c>
      <c r="C17" s="379" t="s">
        <v>2</v>
      </c>
      <c r="D17" s="379"/>
      <c r="E17" s="382"/>
      <c r="F17" s="214" t="s">
        <v>137</v>
      </c>
      <c r="G17" s="214" t="s">
        <v>153</v>
      </c>
      <c r="H17" s="214" t="s">
        <v>154</v>
      </c>
      <c r="I17" s="214" t="s">
        <v>412</v>
      </c>
      <c r="J17" s="214" t="s">
        <v>518</v>
      </c>
    </row>
    <row r="18" spans="2:10" x14ac:dyDescent="0.25">
      <c r="B18" s="428">
        <v>1</v>
      </c>
      <c r="C18" s="383" t="s">
        <v>148</v>
      </c>
      <c r="D18" s="383"/>
      <c r="E18" s="384"/>
      <c r="F18" s="215">
        <f>M14/E14</f>
        <v>223.02000000000004</v>
      </c>
      <c r="G18" s="215">
        <f t="shared" ref="G18:J19" si="14">F18*(1+G22)</f>
        <v>228.59550000000002</v>
      </c>
      <c r="H18" s="215">
        <f t="shared" si="14"/>
        <v>234.31038749999999</v>
      </c>
      <c r="I18" s="215">
        <f t="shared" si="14"/>
        <v>240.16814718749998</v>
      </c>
      <c r="J18" s="215">
        <f t="shared" si="14"/>
        <v>246.17235086718745</v>
      </c>
    </row>
    <row r="19" spans="2:10" x14ac:dyDescent="0.25">
      <c r="B19" s="429">
        <v>2</v>
      </c>
      <c r="C19" s="385" t="s">
        <v>147</v>
      </c>
      <c r="D19" s="385"/>
      <c r="E19" s="386"/>
      <c r="F19" s="131">
        <f>I14/E14</f>
        <v>146</v>
      </c>
      <c r="G19" s="131">
        <f t="shared" si="14"/>
        <v>149.64999999999998</v>
      </c>
      <c r="H19" s="131">
        <f t="shared" si="14"/>
        <v>153.39124999999996</v>
      </c>
      <c r="I19" s="131">
        <f t="shared" si="14"/>
        <v>157.22603124999995</v>
      </c>
      <c r="J19" s="131">
        <f t="shared" si="14"/>
        <v>161.15668203124994</v>
      </c>
    </row>
    <row r="20" spans="2:10" x14ac:dyDescent="0.25">
      <c r="B20" s="429">
        <v>3</v>
      </c>
      <c r="C20" s="385" t="s">
        <v>149</v>
      </c>
      <c r="D20" s="385"/>
      <c r="E20" s="386"/>
      <c r="F20" s="131">
        <f>F18-F19</f>
        <v>77.020000000000039</v>
      </c>
      <c r="G20" s="131">
        <f>G18-G19</f>
        <v>78.945500000000038</v>
      </c>
      <c r="H20" s="131">
        <f>H18-H19</f>
        <v>80.919137500000033</v>
      </c>
      <c r="I20" s="131">
        <f>I18-I19</f>
        <v>82.942115937500034</v>
      </c>
      <c r="J20" s="131">
        <f>J18-J19</f>
        <v>85.015668835937504</v>
      </c>
    </row>
    <row r="21" spans="2:10" x14ac:dyDescent="0.25">
      <c r="B21" s="430">
        <v>4</v>
      </c>
      <c r="C21" s="380" t="s">
        <v>520</v>
      </c>
      <c r="D21" s="380"/>
      <c r="E21" s="381"/>
      <c r="F21" s="223">
        <f>F20/F19</f>
        <v>0.52753424657534276</v>
      </c>
      <c r="G21" s="223">
        <f>G20/G19</f>
        <v>0.52753424657534276</v>
      </c>
      <c r="H21" s="223">
        <f>H20/H19</f>
        <v>0.52753424657534287</v>
      </c>
      <c r="I21" s="223">
        <f>I20/I19</f>
        <v>0.52753424657534287</v>
      </c>
      <c r="J21" s="223">
        <f>J20/J19</f>
        <v>0.52753424657534265</v>
      </c>
    </row>
    <row r="22" spans="2:10" x14ac:dyDescent="0.25">
      <c r="E22" s="133" t="s">
        <v>151</v>
      </c>
      <c r="G22" s="135">
        <v>2.5000000000000001E-2</v>
      </c>
      <c r="H22" s="135">
        <v>2.5000000000000001E-2</v>
      </c>
      <c r="I22" s="135">
        <v>2.5000000000000001E-2</v>
      </c>
      <c r="J22" s="135">
        <v>2.5000000000000001E-2</v>
      </c>
    </row>
    <row r="23" spans="2:10" x14ac:dyDescent="0.25">
      <c r="E23" s="133" t="s">
        <v>152</v>
      </c>
      <c r="G23" s="135">
        <v>2.5000000000000001E-2</v>
      </c>
      <c r="H23" s="135">
        <v>2.5000000000000001E-2</v>
      </c>
      <c r="I23" s="135">
        <v>2.5000000000000001E-2</v>
      </c>
      <c r="J23" s="135">
        <v>2.5000000000000001E-2</v>
      </c>
    </row>
    <row r="25" spans="2:10" x14ac:dyDescent="0.25">
      <c r="C25" s="73" t="s">
        <v>318</v>
      </c>
    </row>
  </sheetData>
  <mergeCells count="2">
    <mergeCell ref="B14:D14"/>
    <mergeCell ref="B4:M4"/>
  </mergeCells>
  <pageMargins left="0.7" right="0.7" top="0.75" bottom="0.75" header="0.3" footer="0.3"/>
  <pageSetup scale="51" orientation="portrait" r:id="rId1"/>
  <colBreaks count="1" manualBreakCount="1">
    <brk id="13" max="2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R56"/>
  <sheetViews>
    <sheetView zoomScale="90" zoomScaleNormal="90" workbookViewId="0">
      <selection activeCell="B1" sqref="B1"/>
    </sheetView>
  </sheetViews>
  <sheetFormatPr defaultRowHeight="15" outlineLevelCol="1" x14ac:dyDescent="0.25"/>
  <cols>
    <col min="1" max="1" width="3.28515625" style="136" customWidth="1"/>
    <col min="2" max="2" width="42.42578125" style="136" bestFit="1" customWidth="1"/>
    <col min="3" max="3" width="15.5703125" style="136" bestFit="1" customWidth="1"/>
    <col min="4" max="4" width="15.140625" style="136" bestFit="1" customWidth="1"/>
    <col min="5" max="5" width="14" style="136" bestFit="1" customWidth="1"/>
    <col min="6" max="6" width="14.28515625" style="136" bestFit="1" customWidth="1"/>
    <col min="7" max="8" width="14.42578125" style="136" bestFit="1" customWidth="1"/>
    <col min="9" max="9" width="12.7109375" style="136" customWidth="1"/>
    <col min="10" max="10" width="36.85546875" style="136" hidden="1" customWidth="1" outlineLevel="1"/>
    <col min="11" max="11" width="16.42578125" style="136" hidden="1" customWidth="1" outlineLevel="1"/>
    <col min="12" max="12" width="13.5703125" style="136" hidden="1" customWidth="1" outlineLevel="1"/>
    <col min="13" max="13" width="18.85546875" style="136" hidden="1" customWidth="1" outlineLevel="1"/>
    <col min="14" max="14" width="12.5703125" style="136" hidden="1" customWidth="1" outlineLevel="1"/>
    <col min="15" max="17" width="20.7109375" style="136" hidden="1" customWidth="1" outlineLevel="1"/>
    <col min="18" max="18" width="11.28515625" style="136" bestFit="1" customWidth="1" collapsed="1"/>
    <col min="19" max="256" width="9.140625" style="136"/>
    <col min="257" max="257" width="2" style="136" customWidth="1"/>
    <col min="258" max="258" width="36.5703125" style="136" bestFit="1" customWidth="1"/>
    <col min="259" max="264" width="11.140625" style="136" customWidth="1"/>
    <col min="265" max="265" width="5.140625" style="136" customWidth="1"/>
    <col min="266" max="266" width="33.140625" style="136" customWidth="1"/>
    <col min="267" max="267" width="12.7109375" style="136" bestFit="1" customWidth="1"/>
    <col min="268" max="268" width="13.5703125" style="136" customWidth="1"/>
    <col min="269" max="269" width="18.85546875" style="136" customWidth="1"/>
    <col min="270" max="271" width="11.28515625" style="136" bestFit="1" customWidth="1"/>
    <col min="272" max="272" width="18" style="136" bestFit="1" customWidth="1"/>
    <col min="273" max="273" width="9" style="136" bestFit="1" customWidth="1"/>
    <col min="274" max="274" width="11.28515625" style="136" bestFit="1" customWidth="1"/>
    <col min="275" max="512" width="9.140625" style="136"/>
    <col min="513" max="513" width="2" style="136" customWidth="1"/>
    <col min="514" max="514" width="36.5703125" style="136" bestFit="1" customWidth="1"/>
    <col min="515" max="520" width="11.140625" style="136" customWidth="1"/>
    <col min="521" max="521" width="5.140625" style="136" customWidth="1"/>
    <col min="522" max="522" width="33.140625" style="136" customWidth="1"/>
    <col min="523" max="523" width="12.7109375" style="136" bestFit="1" customWidth="1"/>
    <col min="524" max="524" width="13.5703125" style="136" customWidth="1"/>
    <col min="525" max="525" width="18.85546875" style="136" customWidth="1"/>
    <col min="526" max="527" width="11.28515625" style="136" bestFit="1" customWidth="1"/>
    <col min="528" max="528" width="18" style="136" bestFit="1" customWidth="1"/>
    <col min="529" max="529" width="9" style="136" bestFit="1" customWidth="1"/>
    <col min="530" max="530" width="11.28515625" style="136" bestFit="1" customWidth="1"/>
    <col min="531" max="768" width="9.140625" style="136"/>
    <col min="769" max="769" width="2" style="136" customWidth="1"/>
    <col min="770" max="770" width="36.5703125" style="136" bestFit="1" customWidth="1"/>
    <col min="771" max="776" width="11.140625" style="136" customWidth="1"/>
    <col min="777" max="777" width="5.140625" style="136" customWidth="1"/>
    <col min="778" max="778" width="33.140625" style="136" customWidth="1"/>
    <col min="779" max="779" width="12.7109375" style="136" bestFit="1" customWidth="1"/>
    <col min="780" max="780" width="13.5703125" style="136" customWidth="1"/>
    <col min="781" max="781" width="18.85546875" style="136" customWidth="1"/>
    <col min="782" max="783" width="11.28515625" style="136" bestFit="1" customWidth="1"/>
    <col min="784" max="784" width="18" style="136" bestFit="1" customWidth="1"/>
    <col min="785" max="785" width="9" style="136" bestFit="1" customWidth="1"/>
    <col min="786" max="786" width="11.28515625" style="136" bestFit="1" customWidth="1"/>
    <col min="787" max="1024" width="9.140625" style="136"/>
    <col min="1025" max="1025" width="2" style="136" customWidth="1"/>
    <col min="1026" max="1026" width="36.5703125" style="136" bestFit="1" customWidth="1"/>
    <col min="1027" max="1032" width="11.140625" style="136" customWidth="1"/>
    <col min="1033" max="1033" width="5.140625" style="136" customWidth="1"/>
    <col min="1034" max="1034" width="33.140625" style="136" customWidth="1"/>
    <col min="1035" max="1035" width="12.7109375" style="136" bestFit="1" customWidth="1"/>
    <col min="1036" max="1036" width="13.5703125" style="136" customWidth="1"/>
    <col min="1037" max="1037" width="18.85546875" style="136" customWidth="1"/>
    <col min="1038" max="1039" width="11.28515625" style="136" bestFit="1" customWidth="1"/>
    <col min="1040" max="1040" width="18" style="136" bestFit="1" customWidth="1"/>
    <col min="1041" max="1041" width="9" style="136" bestFit="1" customWidth="1"/>
    <col min="1042" max="1042" width="11.28515625" style="136" bestFit="1" customWidth="1"/>
    <col min="1043" max="1280" width="9.140625" style="136"/>
    <col min="1281" max="1281" width="2" style="136" customWidth="1"/>
    <col min="1282" max="1282" width="36.5703125" style="136" bestFit="1" customWidth="1"/>
    <col min="1283" max="1288" width="11.140625" style="136" customWidth="1"/>
    <col min="1289" max="1289" width="5.140625" style="136" customWidth="1"/>
    <col min="1290" max="1290" width="33.140625" style="136" customWidth="1"/>
    <col min="1291" max="1291" width="12.7109375" style="136" bestFit="1" customWidth="1"/>
    <col min="1292" max="1292" width="13.5703125" style="136" customWidth="1"/>
    <col min="1293" max="1293" width="18.85546875" style="136" customWidth="1"/>
    <col min="1294" max="1295" width="11.28515625" style="136" bestFit="1" customWidth="1"/>
    <col min="1296" max="1296" width="18" style="136" bestFit="1" customWidth="1"/>
    <col min="1297" max="1297" width="9" style="136" bestFit="1" customWidth="1"/>
    <col min="1298" max="1298" width="11.28515625" style="136" bestFit="1" customWidth="1"/>
    <col min="1299" max="1536" width="9.140625" style="136"/>
    <col min="1537" max="1537" width="2" style="136" customWidth="1"/>
    <col min="1538" max="1538" width="36.5703125" style="136" bestFit="1" customWidth="1"/>
    <col min="1539" max="1544" width="11.140625" style="136" customWidth="1"/>
    <col min="1545" max="1545" width="5.140625" style="136" customWidth="1"/>
    <col min="1546" max="1546" width="33.140625" style="136" customWidth="1"/>
    <col min="1547" max="1547" width="12.7109375" style="136" bestFit="1" customWidth="1"/>
    <col min="1548" max="1548" width="13.5703125" style="136" customWidth="1"/>
    <col min="1549" max="1549" width="18.85546875" style="136" customWidth="1"/>
    <col min="1550" max="1551" width="11.28515625" style="136" bestFit="1" customWidth="1"/>
    <col min="1552" max="1552" width="18" style="136" bestFit="1" customWidth="1"/>
    <col min="1553" max="1553" width="9" style="136" bestFit="1" customWidth="1"/>
    <col min="1554" max="1554" width="11.28515625" style="136" bestFit="1" customWidth="1"/>
    <col min="1555" max="1792" width="9.140625" style="136"/>
    <col min="1793" max="1793" width="2" style="136" customWidth="1"/>
    <col min="1794" max="1794" width="36.5703125" style="136" bestFit="1" customWidth="1"/>
    <col min="1795" max="1800" width="11.140625" style="136" customWidth="1"/>
    <col min="1801" max="1801" width="5.140625" style="136" customWidth="1"/>
    <col min="1802" max="1802" width="33.140625" style="136" customWidth="1"/>
    <col min="1803" max="1803" width="12.7109375" style="136" bestFit="1" customWidth="1"/>
    <col min="1804" max="1804" width="13.5703125" style="136" customWidth="1"/>
    <col min="1805" max="1805" width="18.85546875" style="136" customWidth="1"/>
    <col min="1806" max="1807" width="11.28515625" style="136" bestFit="1" customWidth="1"/>
    <col min="1808" max="1808" width="18" style="136" bestFit="1" customWidth="1"/>
    <col min="1809" max="1809" width="9" style="136" bestFit="1" customWidth="1"/>
    <col min="1810" max="1810" width="11.28515625" style="136" bestFit="1" customWidth="1"/>
    <col min="1811" max="2048" width="9.140625" style="136"/>
    <col min="2049" max="2049" width="2" style="136" customWidth="1"/>
    <col min="2050" max="2050" width="36.5703125" style="136" bestFit="1" customWidth="1"/>
    <col min="2051" max="2056" width="11.140625" style="136" customWidth="1"/>
    <col min="2057" max="2057" width="5.140625" style="136" customWidth="1"/>
    <col min="2058" max="2058" width="33.140625" style="136" customWidth="1"/>
    <col min="2059" max="2059" width="12.7109375" style="136" bestFit="1" customWidth="1"/>
    <col min="2060" max="2060" width="13.5703125" style="136" customWidth="1"/>
    <col min="2061" max="2061" width="18.85546875" style="136" customWidth="1"/>
    <col min="2062" max="2063" width="11.28515625" style="136" bestFit="1" customWidth="1"/>
    <col min="2064" max="2064" width="18" style="136" bestFit="1" customWidth="1"/>
    <col min="2065" max="2065" width="9" style="136" bestFit="1" customWidth="1"/>
    <col min="2066" max="2066" width="11.28515625" style="136" bestFit="1" customWidth="1"/>
    <col min="2067" max="2304" width="9.140625" style="136"/>
    <col min="2305" max="2305" width="2" style="136" customWidth="1"/>
    <col min="2306" max="2306" width="36.5703125" style="136" bestFit="1" customWidth="1"/>
    <col min="2307" max="2312" width="11.140625" style="136" customWidth="1"/>
    <col min="2313" max="2313" width="5.140625" style="136" customWidth="1"/>
    <col min="2314" max="2314" width="33.140625" style="136" customWidth="1"/>
    <col min="2315" max="2315" width="12.7109375" style="136" bestFit="1" customWidth="1"/>
    <col min="2316" max="2316" width="13.5703125" style="136" customWidth="1"/>
    <col min="2317" max="2317" width="18.85546875" style="136" customWidth="1"/>
    <col min="2318" max="2319" width="11.28515625" style="136" bestFit="1" customWidth="1"/>
    <col min="2320" max="2320" width="18" style="136" bestFit="1" customWidth="1"/>
    <col min="2321" max="2321" width="9" style="136" bestFit="1" customWidth="1"/>
    <col min="2322" max="2322" width="11.28515625" style="136" bestFit="1" customWidth="1"/>
    <col min="2323" max="2560" width="9.140625" style="136"/>
    <col min="2561" max="2561" width="2" style="136" customWidth="1"/>
    <col min="2562" max="2562" width="36.5703125" style="136" bestFit="1" customWidth="1"/>
    <col min="2563" max="2568" width="11.140625" style="136" customWidth="1"/>
    <col min="2569" max="2569" width="5.140625" style="136" customWidth="1"/>
    <col min="2570" max="2570" width="33.140625" style="136" customWidth="1"/>
    <col min="2571" max="2571" width="12.7109375" style="136" bestFit="1" customWidth="1"/>
    <col min="2572" max="2572" width="13.5703125" style="136" customWidth="1"/>
    <col min="2573" max="2573" width="18.85546875" style="136" customWidth="1"/>
    <col min="2574" max="2575" width="11.28515625" style="136" bestFit="1" customWidth="1"/>
    <col min="2576" max="2576" width="18" style="136" bestFit="1" customWidth="1"/>
    <col min="2577" max="2577" width="9" style="136" bestFit="1" customWidth="1"/>
    <col min="2578" max="2578" width="11.28515625" style="136" bestFit="1" customWidth="1"/>
    <col min="2579" max="2816" width="9.140625" style="136"/>
    <col min="2817" max="2817" width="2" style="136" customWidth="1"/>
    <col min="2818" max="2818" width="36.5703125" style="136" bestFit="1" customWidth="1"/>
    <col min="2819" max="2824" width="11.140625" style="136" customWidth="1"/>
    <col min="2825" max="2825" width="5.140625" style="136" customWidth="1"/>
    <col min="2826" max="2826" width="33.140625" style="136" customWidth="1"/>
    <col min="2827" max="2827" width="12.7109375" style="136" bestFit="1" customWidth="1"/>
    <col min="2828" max="2828" width="13.5703125" style="136" customWidth="1"/>
    <col min="2829" max="2829" width="18.85546875" style="136" customWidth="1"/>
    <col min="2830" max="2831" width="11.28515625" style="136" bestFit="1" customWidth="1"/>
    <col min="2832" max="2832" width="18" style="136" bestFit="1" customWidth="1"/>
    <col min="2833" max="2833" width="9" style="136" bestFit="1" customWidth="1"/>
    <col min="2834" max="2834" width="11.28515625" style="136" bestFit="1" customWidth="1"/>
    <col min="2835" max="3072" width="9.140625" style="136"/>
    <col min="3073" max="3073" width="2" style="136" customWidth="1"/>
    <col min="3074" max="3074" width="36.5703125" style="136" bestFit="1" customWidth="1"/>
    <col min="3075" max="3080" width="11.140625" style="136" customWidth="1"/>
    <col min="3081" max="3081" width="5.140625" style="136" customWidth="1"/>
    <col min="3082" max="3082" width="33.140625" style="136" customWidth="1"/>
    <col min="3083" max="3083" width="12.7109375" style="136" bestFit="1" customWidth="1"/>
    <col min="3084" max="3084" width="13.5703125" style="136" customWidth="1"/>
    <col min="3085" max="3085" width="18.85546875" style="136" customWidth="1"/>
    <col min="3086" max="3087" width="11.28515625" style="136" bestFit="1" customWidth="1"/>
    <col min="3088" max="3088" width="18" style="136" bestFit="1" customWidth="1"/>
    <col min="3089" max="3089" width="9" style="136" bestFit="1" customWidth="1"/>
    <col min="3090" max="3090" width="11.28515625" style="136" bestFit="1" customWidth="1"/>
    <col min="3091" max="3328" width="9.140625" style="136"/>
    <col min="3329" max="3329" width="2" style="136" customWidth="1"/>
    <col min="3330" max="3330" width="36.5703125" style="136" bestFit="1" customWidth="1"/>
    <col min="3331" max="3336" width="11.140625" style="136" customWidth="1"/>
    <col min="3337" max="3337" width="5.140625" style="136" customWidth="1"/>
    <col min="3338" max="3338" width="33.140625" style="136" customWidth="1"/>
    <col min="3339" max="3339" width="12.7109375" style="136" bestFit="1" customWidth="1"/>
    <col min="3340" max="3340" width="13.5703125" style="136" customWidth="1"/>
    <col min="3341" max="3341" width="18.85546875" style="136" customWidth="1"/>
    <col min="3342" max="3343" width="11.28515625" style="136" bestFit="1" customWidth="1"/>
    <col min="3344" max="3344" width="18" style="136" bestFit="1" customWidth="1"/>
    <col min="3345" max="3345" width="9" style="136" bestFit="1" customWidth="1"/>
    <col min="3346" max="3346" width="11.28515625" style="136" bestFit="1" customWidth="1"/>
    <col min="3347" max="3584" width="9.140625" style="136"/>
    <col min="3585" max="3585" width="2" style="136" customWidth="1"/>
    <col min="3586" max="3586" width="36.5703125" style="136" bestFit="1" customWidth="1"/>
    <col min="3587" max="3592" width="11.140625" style="136" customWidth="1"/>
    <col min="3593" max="3593" width="5.140625" style="136" customWidth="1"/>
    <col min="3594" max="3594" width="33.140625" style="136" customWidth="1"/>
    <col min="3595" max="3595" width="12.7109375" style="136" bestFit="1" customWidth="1"/>
    <col min="3596" max="3596" width="13.5703125" style="136" customWidth="1"/>
    <col min="3597" max="3597" width="18.85546875" style="136" customWidth="1"/>
    <col min="3598" max="3599" width="11.28515625" style="136" bestFit="1" customWidth="1"/>
    <col min="3600" max="3600" width="18" style="136" bestFit="1" customWidth="1"/>
    <col min="3601" max="3601" width="9" style="136" bestFit="1" customWidth="1"/>
    <col min="3602" max="3602" width="11.28515625" style="136" bestFit="1" customWidth="1"/>
    <col min="3603" max="3840" width="9.140625" style="136"/>
    <col min="3841" max="3841" width="2" style="136" customWidth="1"/>
    <col min="3842" max="3842" width="36.5703125" style="136" bestFit="1" customWidth="1"/>
    <col min="3843" max="3848" width="11.140625" style="136" customWidth="1"/>
    <col min="3849" max="3849" width="5.140625" style="136" customWidth="1"/>
    <col min="3850" max="3850" width="33.140625" style="136" customWidth="1"/>
    <col min="3851" max="3851" width="12.7109375" style="136" bestFit="1" customWidth="1"/>
    <col min="3852" max="3852" width="13.5703125" style="136" customWidth="1"/>
    <col min="3853" max="3853" width="18.85546875" style="136" customWidth="1"/>
    <col min="3854" max="3855" width="11.28515625" style="136" bestFit="1" customWidth="1"/>
    <col min="3856" max="3856" width="18" style="136" bestFit="1" customWidth="1"/>
    <col min="3857" max="3857" width="9" style="136" bestFit="1" customWidth="1"/>
    <col min="3858" max="3858" width="11.28515625" style="136" bestFit="1" customWidth="1"/>
    <col min="3859" max="4096" width="9.140625" style="136"/>
    <col min="4097" max="4097" width="2" style="136" customWidth="1"/>
    <col min="4098" max="4098" width="36.5703125" style="136" bestFit="1" customWidth="1"/>
    <col min="4099" max="4104" width="11.140625" style="136" customWidth="1"/>
    <col min="4105" max="4105" width="5.140625" style="136" customWidth="1"/>
    <col min="4106" max="4106" width="33.140625" style="136" customWidth="1"/>
    <col min="4107" max="4107" width="12.7109375" style="136" bestFit="1" customWidth="1"/>
    <col min="4108" max="4108" width="13.5703125" style="136" customWidth="1"/>
    <col min="4109" max="4109" width="18.85546875" style="136" customWidth="1"/>
    <col min="4110" max="4111" width="11.28515625" style="136" bestFit="1" customWidth="1"/>
    <col min="4112" max="4112" width="18" style="136" bestFit="1" customWidth="1"/>
    <col min="4113" max="4113" width="9" style="136" bestFit="1" customWidth="1"/>
    <col min="4114" max="4114" width="11.28515625" style="136" bestFit="1" customWidth="1"/>
    <col min="4115" max="4352" width="9.140625" style="136"/>
    <col min="4353" max="4353" width="2" style="136" customWidth="1"/>
    <col min="4354" max="4354" width="36.5703125" style="136" bestFit="1" customWidth="1"/>
    <col min="4355" max="4360" width="11.140625" style="136" customWidth="1"/>
    <col min="4361" max="4361" width="5.140625" style="136" customWidth="1"/>
    <col min="4362" max="4362" width="33.140625" style="136" customWidth="1"/>
    <col min="4363" max="4363" width="12.7109375" style="136" bestFit="1" customWidth="1"/>
    <col min="4364" max="4364" width="13.5703125" style="136" customWidth="1"/>
    <col min="4365" max="4365" width="18.85546875" style="136" customWidth="1"/>
    <col min="4366" max="4367" width="11.28515625" style="136" bestFit="1" customWidth="1"/>
    <col min="4368" max="4368" width="18" style="136" bestFit="1" customWidth="1"/>
    <col min="4369" max="4369" width="9" style="136" bestFit="1" customWidth="1"/>
    <col min="4370" max="4370" width="11.28515625" style="136" bestFit="1" customWidth="1"/>
    <col min="4371" max="4608" width="9.140625" style="136"/>
    <col min="4609" max="4609" width="2" style="136" customWidth="1"/>
    <col min="4610" max="4610" width="36.5703125" style="136" bestFit="1" customWidth="1"/>
    <col min="4611" max="4616" width="11.140625" style="136" customWidth="1"/>
    <col min="4617" max="4617" width="5.140625" style="136" customWidth="1"/>
    <col min="4618" max="4618" width="33.140625" style="136" customWidth="1"/>
    <col min="4619" max="4619" width="12.7109375" style="136" bestFit="1" customWidth="1"/>
    <col min="4620" max="4620" width="13.5703125" style="136" customWidth="1"/>
    <col min="4621" max="4621" width="18.85546875" style="136" customWidth="1"/>
    <col min="4622" max="4623" width="11.28515625" style="136" bestFit="1" customWidth="1"/>
    <col min="4624" max="4624" width="18" style="136" bestFit="1" customWidth="1"/>
    <col min="4625" max="4625" width="9" style="136" bestFit="1" customWidth="1"/>
    <col min="4626" max="4626" width="11.28515625" style="136" bestFit="1" customWidth="1"/>
    <col min="4627" max="4864" width="9.140625" style="136"/>
    <col min="4865" max="4865" width="2" style="136" customWidth="1"/>
    <col min="4866" max="4866" width="36.5703125" style="136" bestFit="1" customWidth="1"/>
    <col min="4867" max="4872" width="11.140625" style="136" customWidth="1"/>
    <col min="4873" max="4873" width="5.140625" style="136" customWidth="1"/>
    <col min="4874" max="4874" width="33.140625" style="136" customWidth="1"/>
    <col min="4875" max="4875" width="12.7109375" style="136" bestFit="1" customWidth="1"/>
    <col min="4876" max="4876" width="13.5703125" style="136" customWidth="1"/>
    <col min="4877" max="4877" width="18.85546875" style="136" customWidth="1"/>
    <col min="4878" max="4879" width="11.28515625" style="136" bestFit="1" customWidth="1"/>
    <col min="4880" max="4880" width="18" style="136" bestFit="1" customWidth="1"/>
    <col min="4881" max="4881" width="9" style="136" bestFit="1" customWidth="1"/>
    <col min="4882" max="4882" width="11.28515625" style="136" bestFit="1" customWidth="1"/>
    <col min="4883" max="5120" width="9.140625" style="136"/>
    <col min="5121" max="5121" width="2" style="136" customWidth="1"/>
    <col min="5122" max="5122" width="36.5703125" style="136" bestFit="1" customWidth="1"/>
    <col min="5123" max="5128" width="11.140625" style="136" customWidth="1"/>
    <col min="5129" max="5129" width="5.140625" style="136" customWidth="1"/>
    <col min="5130" max="5130" width="33.140625" style="136" customWidth="1"/>
    <col min="5131" max="5131" width="12.7109375" style="136" bestFit="1" customWidth="1"/>
    <col min="5132" max="5132" width="13.5703125" style="136" customWidth="1"/>
    <col min="5133" max="5133" width="18.85546875" style="136" customWidth="1"/>
    <col min="5134" max="5135" width="11.28515625" style="136" bestFit="1" customWidth="1"/>
    <col min="5136" max="5136" width="18" style="136" bestFit="1" customWidth="1"/>
    <col min="5137" max="5137" width="9" style="136" bestFit="1" customWidth="1"/>
    <col min="5138" max="5138" width="11.28515625" style="136" bestFit="1" customWidth="1"/>
    <col min="5139" max="5376" width="9.140625" style="136"/>
    <col min="5377" max="5377" width="2" style="136" customWidth="1"/>
    <col min="5378" max="5378" width="36.5703125" style="136" bestFit="1" customWidth="1"/>
    <col min="5379" max="5384" width="11.140625" style="136" customWidth="1"/>
    <col min="5385" max="5385" width="5.140625" style="136" customWidth="1"/>
    <col min="5386" max="5386" width="33.140625" style="136" customWidth="1"/>
    <col min="5387" max="5387" width="12.7109375" style="136" bestFit="1" customWidth="1"/>
    <col min="5388" max="5388" width="13.5703125" style="136" customWidth="1"/>
    <col min="5389" max="5389" width="18.85546875" style="136" customWidth="1"/>
    <col min="5390" max="5391" width="11.28515625" style="136" bestFit="1" customWidth="1"/>
    <col min="5392" max="5392" width="18" style="136" bestFit="1" customWidth="1"/>
    <col min="5393" max="5393" width="9" style="136" bestFit="1" customWidth="1"/>
    <col min="5394" max="5394" width="11.28515625" style="136" bestFit="1" customWidth="1"/>
    <col min="5395" max="5632" width="9.140625" style="136"/>
    <col min="5633" max="5633" width="2" style="136" customWidth="1"/>
    <col min="5634" max="5634" width="36.5703125" style="136" bestFit="1" customWidth="1"/>
    <col min="5635" max="5640" width="11.140625" style="136" customWidth="1"/>
    <col min="5641" max="5641" width="5.140625" style="136" customWidth="1"/>
    <col min="5642" max="5642" width="33.140625" style="136" customWidth="1"/>
    <col min="5643" max="5643" width="12.7109375" style="136" bestFit="1" customWidth="1"/>
    <col min="5644" max="5644" width="13.5703125" style="136" customWidth="1"/>
    <col min="5645" max="5645" width="18.85546875" style="136" customWidth="1"/>
    <col min="5646" max="5647" width="11.28515625" style="136" bestFit="1" customWidth="1"/>
    <col min="5648" max="5648" width="18" style="136" bestFit="1" customWidth="1"/>
    <col min="5649" max="5649" width="9" style="136" bestFit="1" customWidth="1"/>
    <col min="5650" max="5650" width="11.28515625" style="136" bestFit="1" customWidth="1"/>
    <col min="5651" max="5888" width="9.140625" style="136"/>
    <col min="5889" max="5889" width="2" style="136" customWidth="1"/>
    <col min="5890" max="5890" width="36.5703125" style="136" bestFit="1" customWidth="1"/>
    <col min="5891" max="5896" width="11.140625" style="136" customWidth="1"/>
    <col min="5897" max="5897" width="5.140625" style="136" customWidth="1"/>
    <col min="5898" max="5898" width="33.140625" style="136" customWidth="1"/>
    <col min="5899" max="5899" width="12.7109375" style="136" bestFit="1" customWidth="1"/>
    <col min="5900" max="5900" width="13.5703125" style="136" customWidth="1"/>
    <col min="5901" max="5901" width="18.85546875" style="136" customWidth="1"/>
    <col min="5902" max="5903" width="11.28515625" style="136" bestFit="1" customWidth="1"/>
    <col min="5904" max="5904" width="18" style="136" bestFit="1" customWidth="1"/>
    <col min="5905" max="5905" width="9" style="136" bestFit="1" customWidth="1"/>
    <col min="5906" max="5906" width="11.28515625" style="136" bestFit="1" customWidth="1"/>
    <col min="5907" max="6144" width="9.140625" style="136"/>
    <col min="6145" max="6145" width="2" style="136" customWidth="1"/>
    <col min="6146" max="6146" width="36.5703125" style="136" bestFit="1" customWidth="1"/>
    <col min="6147" max="6152" width="11.140625" style="136" customWidth="1"/>
    <col min="6153" max="6153" width="5.140625" style="136" customWidth="1"/>
    <col min="6154" max="6154" width="33.140625" style="136" customWidth="1"/>
    <col min="6155" max="6155" width="12.7109375" style="136" bestFit="1" customWidth="1"/>
    <col min="6156" max="6156" width="13.5703125" style="136" customWidth="1"/>
    <col min="6157" max="6157" width="18.85546875" style="136" customWidth="1"/>
    <col min="6158" max="6159" width="11.28515625" style="136" bestFit="1" customWidth="1"/>
    <col min="6160" max="6160" width="18" style="136" bestFit="1" customWidth="1"/>
    <col min="6161" max="6161" width="9" style="136" bestFit="1" customWidth="1"/>
    <col min="6162" max="6162" width="11.28515625" style="136" bestFit="1" customWidth="1"/>
    <col min="6163" max="6400" width="9.140625" style="136"/>
    <col min="6401" max="6401" width="2" style="136" customWidth="1"/>
    <col min="6402" max="6402" width="36.5703125" style="136" bestFit="1" customWidth="1"/>
    <col min="6403" max="6408" width="11.140625" style="136" customWidth="1"/>
    <col min="6409" max="6409" width="5.140625" style="136" customWidth="1"/>
    <col min="6410" max="6410" width="33.140625" style="136" customWidth="1"/>
    <col min="6411" max="6411" width="12.7109375" style="136" bestFit="1" customWidth="1"/>
    <col min="6412" max="6412" width="13.5703125" style="136" customWidth="1"/>
    <col min="6413" max="6413" width="18.85546875" style="136" customWidth="1"/>
    <col min="6414" max="6415" width="11.28515625" style="136" bestFit="1" customWidth="1"/>
    <col min="6416" max="6416" width="18" style="136" bestFit="1" customWidth="1"/>
    <col min="6417" max="6417" width="9" style="136" bestFit="1" customWidth="1"/>
    <col min="6418" max="6418" width="11.28515625" style="136" bestFit="1" customWidth="1"/>
    <col min="6419" max="6656" width="9.140625" style="136"/>
    <col min="6657" max="6657" width="2" style="136" customWidth="1"/>
    <col min="6658" max="6658" width="36.5703125" style="136" bestFit="1" customWidth="1"/>
    <col min="6659" max="6664" width="11.140625" style="136" customWidth="1"/>
    <col min="6665" max="6665" width="5.140625" style="136" customWidth="1"/>
    <col min="6666" max="6666" width="33.140625" style="136" customWidth="1"/>
    <col min="6667" max="6667" width="12.7109375" style="136" bestFit="1" customWidth="1"/>
    <col min="6668" max="6668" width="13.5703125" style="136" customWidth="1"/>
    <col min="6669" max="6669" width="18.85546875" style="136" customWidth="1"/>
    <col min="6670" max="6671" width="11.28515625" style="136" bestFit="1" customWidth="1"/>
    <col min="6672" max="6672" width="18" style="136" bestFit="1" customWidth="1"/>
    <col min="6673" max="6673" width="9" style="136" bestFit="1" customWidth="1"/>
    <col min="6674" max="6674" width="11.28515625" style="136" bestFit="1" customWidth="1"/>
    <col min="6675" max="6912" width="9.140625" style="136"/>
    <col min="6913" max="6913" width="2" style="136" customWidth="1"/>
    <col min="6914" max="6914" width="36.5703125" style="136" bestFit="1" customWidth="1"/>
    <col min="6915" max="6920" width="11.140625" style="136" customWidth="1"/>
    <col min="6921" max="6921" width="5.140625" style="136" customWidth="1"/>
    <col min="6922" max="6922" width="33.140625" style="136" customWidth="1"/>
    <col min="6923" max="6923" width="12.7109375" style="136" bestFit="1" customWidth="1"/>
    <col min="6924" max="6924" width="13.5703125" style="136" customWidth="1"/>
    <col min="6925" max="6925" width="18.85546875" style="136" customWidth="1"/>
    <col min="6926" max="6927" width="11.28515625" style="136" bestFit="1" customWidth="1"/>
    <col min="6928" max="6928" width="18" style="136" bestFit="1" customWidth="1"/>
    <col min="6929" max="6929" width="9" style="136" bestFit="1" customWidth="1"/>
    <col min="6930" max="6930" width="11.28515625" style="136" bestFit="1" customWidth="1"/>
    <col min="6931" max="7168" width="9.140625" style="136"/>
    <col min="7169" max="7169" width="2" style="136" customWidth="1"/>
    <col min="7170" max="7170" width="36.5703125" style="136" bestFit="1" customWidth="1"/>
    <col min="7171" max="7176" width="11.140625" style="136" customWidth="1"/>
    <col min="7177" max="7177" width="5.140625" style="136" customWidth="1"/>
    <col min="7178" max="7178" width="33.140625" style="136" customWidth="1"/>
    <col min="7179" max="7179" width="12.7109375" style="136" bestFit="1" customWidth="1"/>
    <col min="7180" max="7180" width="13.5703125" style="136" customWidth="1"/>
    <col min="7181" max="7181" width="18.85546875" style="136" customWidth="1"/>
    <col min="7182" max="7183" width="11.28515625" style="136" bestFit="1" customWidth="1"/>
    <col min="7184" max="7184" width="18" style="136" bestFit="1" customWidth="1"/>
    <col min="7185" max="7185" width="9" style="136" bestFit="1" customWidth="1"/>
    <col min="7186" max="7186" width="11.28515625" style="136" bestFit="1" customWidth="1"/>
    <col min="7187" max="7424" width="9.140625" style="136"/>
    <col min="7425" max="7425" width="2" style="136" customWidth="1"/>
    <col min="7426" max="7426" width="36.5703125" style="136" bestFit="1" customWidth="1"/>
    <col min="7427" max="7432" width="11.140625" style="136" customWidth="1"/>
    <col min="7433" max="7433" width="5.140625" style="136" customWidth="1"/>
    <col min="7434" max="7434" width="33.140625" style="136" customWidth="1"/>
    <col min="7435" max="7435" width="12.7109375" style="136" bestFit="1" customWidth="1"/>
    <col min="7436" max="7436" width="13.5703125" style="136" customWidth="1"/>
    <col min="7437" max="7437" width="18.85546875" style="136" customWidth="1"/>
    <col min="7438" max="7439" width="11.28515625" style="136" bestFit="1" customWidth="1"/>
    <col min="7440" max="7440" width="18" style="136" bestFit="1" customWidth="1"/>
    <col min="7441" max="7441" width="9" style="136" bestFit="1" customWidth="1"/>
    <col min="7442" max="7442" width="11.28515625" style="136" bestFit="1" customWidth="1"/>
    <col min="7443" max="7680" width="9.140625" style="136"/>
    <col min="7681" max="7681" width="2" style="136" customWidth="1"/>
    <col min="7682" max="7682" width="36.5703125" style="136" bestFit="1" customWidth="1"/>
    <col min="7683" max="7688" width="11.140625" style="136" customWidth="1"/>
    <col min="7689" max="7689" width="5.140625" style="136" customWidth="1"/>
    <col min="7690" max="7690" width="33.140625" style="136" customWidth="1"/>
    <col min="7691" max="7691" width="12.7109375" style="136" bestFit="1" customWidth="1"/>
    <col min="7692" max="7692" width="13.5703125" style="136" customWidth="1"/>
    <col min="7693" max="7693" width="18.85546875" style="136" customWidth="1"/>
    <col min="7694" max="7695" width="11.28515625" style="136" bestFit="1" customWidth="1"/>
    <col min="7696" max="7696" width="18" style="136" bestFit="1" customWidth="1"/>
    <col min="7697" max="7697" width="9" style="136" bestFit="1" customWidth="1"/>
    <col min="7698" max="7698" width="11.28515625" style="136" bestFit="1" customWidth="1"/>
    <col min="7699" max="7936" width="9.140625" style="136"/>
    <col min="7937" max="7937" width="2" style="136" customWidth="1"/>
    <col min="7938" max="7938" width="36.5703125" style="136" bestFit="1" customWidth="1"/>
    <col min="7939" max="7944" width="11.140625" style="136" customWidth="1"/>
    <col min="7945" max="7945" width="5.140625" style="136" customWidth="1"/>
    <col min="7946" max="7946" width="33.140625" style="136" customWidth="1"/>
    <col min="7947" max="7947" width="12.7109375" style="136" bestFit="1" customWidth="1"/>
    <col min="7948" max="7948" width="13.5703125" style="136" customWidth="1"/>
    <col min="7949" max="7949" width="18.85546875" style="136" customWidth="1"/>
    <col min="7950" max="7951" width="11.28515625" style="136" bestFit="1" customWidth="1"/>
    <col min="7952" max="7952" width="18" style="136" bestFit="1" customWidth="1"/>
    <col min="7953" max="7953" width="9" style="136" bestFit="1" customWidth="1"/>
    <col min="7954" max="7954" width="11.28515625" style="136" bestFit="1" customWidth="1"/>
    <col min="7955" max="8192" width="9.140625" style="136"/>
    <col min="8193" max="8193" width="2" style="136" customWidth="1"/>
    <col min="8194" max="8194" width="36.5703125" style="136" bestFit="1" customWidth="1"/>
    <col min="8195" max="8200" width="11.140625" style="136" customWidth="1"/>
    <col min="8201" max="8201" width="5.140625" style="136" customWidth="1"/>
    <col min="8202" max="8202" width="33.140625" style="136" customWidth="1"/>
    <col min="8203" max="8203" width="12.7109375" style="136" bestFit="1" customWidth="1"/>
    <col min="8204" max="8204" width="13.5703125" style="136" customWidth="1"/>
    <col min="8205" max="8205" width="18.85546875" style="136" customWidth="1"/>
    <col min="8206" max="8207" width="11.28515625" style="136" bestFit="1" customWidth="1"/>
    <col min="8208" max="8208" width="18" style="136" bestFit="1" customWidth="1"/>
    <col min="8209" max="8209" width="9" style="136" bestFit="1" customWidth="1"/>
    <col min="8210" max="8210" width="11.28515625" style="136" bestFit="1" customWidth="1"/>
    <col min="8211" max="8448" width="9.140625" style="136"/>
    <col min="8449" max="8449" width="2" style="136" customWidth="1"/>
    <col min="8450" max="8450" width="36.5703125" style="136" bestFit="1" customWidth="1"/>
    <col min="8451" max="8456" width="11.140625" style="136" customWidth="1"/>
    <col min="8457" max="8457" width="5.140625" style="136" customWidth="1"/>
    <col min="8458" max="8458" width="33.140625" style="136" customWidth="1"/>
    <col min="8459" max="8459" width="12.7109375" style="136" bestFit="1" customWidth="1"/>
    <col min="8460" max="8460" width="13.5703125" style="136" customWidth="1"/>
    <col min="8461" max="8461" width="18.85546875" style="136" customWidth="1"/>
    <col min="8462" max="8463" width="11.28515625" style="136" bestFit="1" customWidth="1"/>
    <col min="8464" max="8464" width="18" style="136" bestFit="1" customWidth="1"/>
    <col min="8465" max="8465" width="9" style="136" bestFit="1" customWidth="1"/>
    <col min="8466" max="8466" width="11.28515625" style="136" bestFit="1" customWidth="1"/>
    <col min="8467" max="8704" width="9.140625" style="136"/>
    <col min="8705" max="8705" width="2" style="136" customWidth="1"/>
    <col min="8706" max="8706" width="36.5703125" style="136" bestFit="1" customWidth="1"/>
    <col min="8707" max="8712" width="11.140625" style="136" customWidth="1"/>
    <col min="8713" max="8713" width="5.140625" style="136" customWidth="1"/>
    <col min="8714" max="8714" width="33.140625" style="136" customWidth="1"/>
    <col min="8715" max="8715" width="12.7109375" style="136" bestFit="1" customWidth="1"/>
    <col min="8716" max="8716" width="13.5703125" style="136" customWidth="1"/>
    <col min="8717" max="8717" width="18.85546875" style="136" customWidth="1"/>
    <col min="8718" max="8719" width="11.28515625" style="136" bestFit="1" customWidth="1"/>
    <col min="8720" max="8720" width="18" style="136" bestFit="1" customWidth="1"/>
    <col min="8721" max="8721" width="9" style="136" bestFit="1" customWidth="1"/>
    <col min="8722" max="8722" width="11.28515625" style="136" bestFit="1" customWidth="1"/>
    <col min="8723" max="8960" width="9.140625" style="136"/>
    <col min="8961" max="8961" width="2" style="136" customWidth="1"/>
    <col min="8962" max="8962" width="36.5703125" style="136" bestFit="1" customWidth="1"/>
    <col min="8963" max="8968" width="11.140625" style="136" customWidth="1"/>
    <col min="8969" max="8969" width="5.140625" style="136" customWidth="1"/>
    <col min="8970" max="8970" width="33.140625" style="136" customWidth="1"/>
    <col min="8971" max="8971" width="12.7109375" style="136" bestFit="1" customWidth="1"/>
    <col min="8972" max="8972" width="13.5703125" style="136" customWidth="1"/>
    <col min="8973" max="8973" width="18.85546875" style="136" customWidth="1"/>
    <col min="8974" max="8975" width="11.28515625" style="136" bestFit="1" customWidth="1"/>
    <col min="8976" max="8976" width="18" style="136" bestFit="1" customWidth="1"/>
    <col min="8977" max="8977" width="9" style="136" bestFit="1" customWidth="1"/>
    <col min="8978" max="8978" width="11.28515625" style="136" bestFit="1" customWidth="1"/>
    <col min="8979" max="9216" width="9.140625" style="136"/>
    <col min="9217" max="9217" width="2" style="136" customWidth="1"/>
    <col min="9218" max="9218" width="36.5703125" style="136" bestFit="1" customWidth="1"/>
    <col min="9219" max="9224" width="11.140625" style="136" customWidth="1"/>
    <col min="9225" max="9225" width="5.140625" style="136" customWidth="1"/>
    <col min="9226" max="9226" width="33.140625" style="136" customWidth="1"/>
    <col min="9227" max="9227" width="12.7109375" style="136" bestFit="1" customWidth="1"/>
    <col min="9228" max="9228" width="13.5703125" style="136" customWidth="1"/>
    <col min="9229" max="9229" width="18.85546875" style="136" customWidth="1"/>
    <col min="9230" max="9231" width="11.28515625" style="136" bestFit="1" customWidth="1"/>
    <col min="9232" max="9232" width="18" style="136" bestFit="1" customWidth="1"/>
    <col min="9233" max="9233" width="9" style="136" bestFit="1" customWidth="1"/>
    <col min="9234" max="9234" width="11.28515625" style="136" bestFit="1" customWidth="1"/>
    <col min="9235" max="9472" width="9.140625" style="136"/>
    <col min="9473" max="9473" width="2" style="136" customWidth="1"/>
    <col min="9474" max="9474" width="36.5703125" style="136" bestFit="1" customWidth="1"/>
    <col min="9475" max="9480" width="11.140625" style="136" customWidth="1"/>
    <col min="9481" max="9481" width="5.140625" style="136" customWidth="1"/>
    <col min="9482" max="9482" width="33.140625" style="136" customWidth="1"/>
    <col min="9483" max="9483" width="12.7109375" style="136" bestFit="1" customWidth="1"/>
    <col min="9484" max="9484" width="13.5703125" style="136" customWidth="1"/>
    <col min="9485" max="9485" width="18.85546875" style="136" customWidth="1"/>
    <col min="9486" max="9487" width="11.28515625" style="136" bestFit="1" customWidth="1"/>
    <col min="9488" max="9488" width="18" style="136" bestFit="1" customWidth="1"/>
    <col min="9489" max="9489" width="9" style="136" bestFit="1" customWidth="1"/>
    <col min="9490" max="9490" width="11.28515625" style="136" bestFit="1" customWidth="1"/>
    <col min="9491" max="9728" width="9.140625" style="136"/>
    <col min="9729" max="9729" width="2" style="136" customWidth="1"/>
    <col min="9730" max="9730" width="36.5703125" style="136" bestFit="1" customWidth="1"/>
    <col min="9731" max="9736" width="11.140625" style="136" customWidth="1"/>
    <col min="9737" max="9737" width="5.140625" style="136" customWidth="1"/>
    <col min="9738" max="9738" width="33.140625" style="136" customWidth="1"/>
    <col min="9739" max="9739" width="12.7109375" style="136" bestFit="1" customWidth="1"/>
    <col min="9740" max="9740" width="13.5703125" style="136" customWidth="1"/>
    <col min="9741" max="9741" width="18.85546875" style="136" customWidth="1"/>
    <col min="9742" max="9743" width="11.28515625" style="136" bestFit="1" customWidth="1"/>
    <col min="9744" max="9744" width="18" style="136" bestFit="1" customWidth="1"/>
    <col min="9745" max="9745" width="9" style="136" bestFit="1" customWidth="1"/>
    <col min="9746" max="9746" width="11.28515625" style="136" bestFit="1" customWidth="1"/>
    <col min="9747" max="9984" width="9.140625" style="136"/>
    <col min="9985" max="9985" width="2" style="136" customWidth="1"/>
    <col min="9986" max="9986" width="36.5703125" style="136" bestFit="1" customWidth="1"/>
    <col min="9987" max="9992" width="11.140625" style="136" customWidth="1"/>
    <col min="9993" max="9993" width="5.140625" style="136" customWidth="1"/>
    <col min="9994" max="9994" width="33.140625" style="136" customWidth="1"/>
    <col min="9995" max="9995" width="12.7109375" style="136" bestFit="1" customWidth="1"/>
    <col min="9996" max="9996" width="13.5703125" style="136" customWidth="1"/>
    <col min="9997" max="9997" width="18.85546875" style="136" customWidth="1"/>
    <col min="9998" max="9999" width="11.28515625" style="136" bestFit="1" customWidth="1"/>
    <col min="10000" max="10000" width="18" style="136" bestFit="1" customWidth="1"/>
    <col min="10001" max="10001" width="9" style="136" bestFit="1" customWidth="1"/>
    <col min="10002" max="10002" width="11.28515625" style="136" bestFit="1" customWidth="1"/>
    <col min="10003" max="10240" width="9.140625" style="136"/>
    <col min="10241" max="10241" width="2" style="136" customWidth="1"/>
    <col min="10242" max="10242" width="36.5703125" style="136" bestFit="1" customWidth="1"/>
    <col min="10243" max="10248" width="11.140625" style="136" customWidth="1"/>
    <col min="10249" max="10249" width="5.140625" style="136" customWidth="1"/>
    <col min="10250" max="10250" width="33.140625" style="136" customWidth="1"/>
    <col min="10251" max="10251" width="12.7109375" style="136" bestFit="1" customWidth="1"/>
    <col min="10252" max="10252" width="13.5703125" style="136" customWidth="1"/>
    <col min="10253" max="10253" width="18.85546875" style="136" customWidth="1"/>
    <col min="10254" max="10255" width="11.28515625" style="136" bestFit="1" customWidth="1"/>
    <col min="10256" max="10256" width="18" style="136" bestFit="1" customWidth="1"/>
    <col min="10257" max="10257" width="9" style="136" bestFit="1" customWidth="1"/>
    <col min="10258" max="10258" width="11.28515625" style="136" bestFit="1" customWidth="1"/>
    <col min="10259" max="10496" width="9.140625" style="136"/>
    <col min="10497" max="10497" width="2" style="136" customWidth="1"/>
    <col min="10498" max="10498" width="36.5703125" style="136" bestFit="1" customWidth="1"/>
    <col min="10499" max="10504" width="11.140625" style="136" customWidth="1"/>
    <col min="10505" max="10505" width="5.140625" style="136" customWidth="1"/>
    <col min="10506" max="10506" width="33.140625" style="136" customWidth="1"/>
    <col min="10507" max="10507" width="12.7109375" style="136" bestFit="1" customWidth="1"/>
    <col min="10508" max="10508" width="13.5703125" style="136" customWidth="1"/>
    <col min="10509" max="10509" width="18.85546875" style="136" customWidth="1"/>
    <col min="10510" max="10511" width="11.28515625" style="136" bestFit="1" customWidth="1"/>
    <col min="10512" max="10512" width="18" style="136" bestFit="1" customWidth="1"/>
    <col min="10513" max="10513" width="9" style="136" bestFit="1" customWidth="1"/>
    <col min="10514" max="10514" width="11.28515625" style="136" bestFit="1" customWidth="1"/>
    <col min="10515" max="10752" width="9.140625" style="136"/>
    <col min="10753" max="10753" width="2" style="136" customWidth="1"/>
    <col min="10754" max="10754" width="36.5703125" style="136" bestFit="1" customWidth="1"/>
    <col min="10755" max="10760" width="11.140625" style="136" customWidth="1"/>
    <col min="10761" max="10761" width="5.140625" style="136" customWidth="1"/>
    <col min="10762" max="10762" width="33.140625" style="136" customWidth="1"/>
    <col min="10763" max="10763" width="12.7109375" style="136" bestFit="1" customWidth="1"/>
    <col min="10764" max="10764" width="13.5703125" style="136" customWidth="1"/>
    <col min="10765" max="10765" width="18.85546875" style="136" customWidth="1"/>
    <col min="10766" max="10767" width="11.28515625" style="136" bestFit="1" customWidth="1"/>
    <col min="10768" max="10768" width="18" style="136" bestFit="1" customWidth="1"/>
    <col min="10769" max="10769" width="9" style="136" bestFit="1" customWidth="1"/>
    <col min="10770" max="10770" width="11.28515625" style="136" bestFit="1" customWidth="1"/>
    <col min="10771" max="11008" width="9.140625" style="136"/>
    <col min="11009" max="11009" width="2" style="136" customWidth="1"/>
    <col min="11010" max="11010" width="36.5703125" style="136" bestFit="1" customWidth="1"/>
    <col min="11011" max="11016" width="11.140625" style="136" customWidth="1"/>
    <col min="11017" max="11017" width="5.140625" style="136" customWidth="1"/>
    <col min="11018" max="11018" width="33.140625" style="136" customWidth="1"/>
    <col min="11019" max="11019" width="12.7109375" style="136" bestFit="1" customWidth="1"/>
    <col min="11020" max="11020" width="13.5703125" style="136" customWidth="1"/>
    <col min="11021" max="11021" width="18.85546875" style="136" customWidth="1"/>
    <col min="11022" max="11023" width="11.28515625" style="136" bestFit="1" customWidth="1"/>
    <col min="11024" max="11024" width="18" style="136" bestFit="1" customWidth="1"/>
    <col min="11025" max="11025" width="9" style="136" bestFit="1" customWidth="1"/>
    <col min="11026" max="11026" width="11.28515625" style="136" bestFit="1" customWidth="1"/>
    <col min="11027" max="11264" width="9.140625" style="136"/>
    <col min="11265" max="11265" width="2" style="136" customWidth="1"/>
    <col min="11266" max="11266" width="36.5703125" style="136" bestFit="1" customWidth="1"/>
    <col min="11267" max="11272" width="11.140625" style="136" customWidth="1"/>
    <col min="11273" max="11273" width="5.140625" style="136" customWidth="1"/>
    <col min="11274" max="11274" width="33.140625" style="136" customWidth="1"/>
    <col min="11275" max="11275" width="12.7109375" style="136" bestFit="1" customWidth="1"/>
    <col min="11276" max="11276" width="13.5703125" style="136" customWidth="1"/>
    <col min="11277" max="11277" width="18.85546875" style="136" customWidth="1"/>
    <col min="11278" max="11279" width="11.28515625" style="136" bestFit="1" customWidth="1"/>
    <col min="11280" max="11280" width="18" style="136" bestFit="1" customWidth="1"/>
    <col min="11281" max="11281" width="9" style="136" bestFit="1" customWidth="1"/>
    <col min="11282" max="11282" width="11.28515625" style="136" bestFit="1" customWidth="1"/>
    <col min="11283" max="11520" width="9.140625" style="136"/>
    <col min="11521" max="11521" width="2" style="136" customWidth="1"/>
    <col min="11522" max="11522" width="36.5703125" style="136" bestFit="1" customWidth="1"/>
    <col min="11523" max="11528" width="11.140625" style="136" customWidth="1"/>
    <col min="11529" max="11529" width="5.140625" style="136" customWidth="1"/>
    <col min="11530" max="11530" width="33.140625" style="136" customWidth="1"/>
    <col min="11531" max="11531" width="12.7109375" style="136" bestFit="1" customWidth="1"/>
    <col min="11532" max="11532" width="13.5703125" style="136" customWidth="1"/>
    <col min="11533" max="11533" width="18.85546875" style="136" customWidth="1"/>
    <col min="11534" max="11535" width="11.28515625" style="136" bestFit="1" customWidth="1"/>
    <col min="11536" max="11536" width="18" style="136" bestFit="1" customWidth="1"/>
    <col min="11537" max="11537" width="9" style="136" bestFit="1" customWidth="1"/>
    <col min="11538" max="11538" width="11.28515625" style="136" bestFit="1" customWidth="1"/>
    <col min="11539" max="11776" width="9.140625" style="136"/>
    <col min="11777" max="11777" width="2" style="136" customWidth="1"/>
    <col min="11778" max="11778" width="36.5703125" style="136" bestFit="1" customWidth="1"/>
    <col min="11779" max="11784" width="11.140625" style="136" customWidth="1"/>
    <col min="11785" max="11785" width="5.140625" style="136" customWidth="1"/>
    <col min="11786" max="11786" width="33.140625" style="136" customWidth="1"/>
    <col min="11787" max="11787" width="12.7109375" style="136" bestFit="1" customWidth="1"/>
    <col min="11788" max="11788" width="13.5703125" style="136" customWidth="1"/>
    <col min="11789" max="11789" width="18.85546875" style="136" customWidth="1"/>
    <col min="11790" max="11791" width="11.28515625" style="136" bestFit="1" customWidth="1"/>
    <col min="11792" max="11792" width="18" style="136" bestFit="1" customWidth="1"/>
    <col min="11793" max="11793" width="9" style="136" bestFit="1" customWidth="1"/>
    <col min="11794" max="11794" width="11.28515625" style="136" bestFit="1" customWidth="1"/>
    <col min="11795" max="12032" width="9.140625" style="136"/>
    <col min="12033" max="12033" width="2" style="136" customWidth="1"/>
    <col min="12034" max="12034" width="36.5703125" style="136" bestFit="1" customWidth="1"/>
    <col min="12035" max="12040" width="11.140625" style="136" customWidth="1"/>
    <col min="12041" max="12041" width="5.140625" style="136" customWidth="1"/>
    <col min="12042" max="12042" width="33.140625" style="136" customWidth="1"/>
    <col min="12043" max="12043" width="12.7109375" style="136" bestFit="1" customWidth="1"/>
    <col min="12044" max="12044" width="13.5703125" style="136" customWidth="1"/>
    <col min="12045" max="12045" width="18.85546875" style="136" customWidth="1"/>
    <col min="12046" max="12047" width="11.28515625" style="136" bestFit="1" customWidth="1"/>
    <col min="12048" max="12048" width="18" style="136" bestFit="1" customWidth="1"/>
    <col min="12049" max="12049" width="9" style="136" bestFit="1" customWidth="1"/>
    <col min="12050" max="12050" width="11.28515625" style="136" bestFit="1" customWidth="1"/>
    <col min="12051" max="12288" width="9.140625" style="136"/>
    <col min="12289" max="12289" width="2" style="136" customWidth="1"/>
    <col min="12290" max="12290" width="36.5703125" style="136" bestFit="1" customWidth="1"/>
    <col min="12291" max="12296" width="11.140625" style="136" customWidth="1"/>
    <col min="12297" max="12297" width="5.140625" style="136" customWidth="1"/>
    <col min="12298" max="12298" width="33.140625" style="136" customWidth="1"/>
    <col min="12299" max="12299" width="12.7109375" style="136" bestFit="1" customWidth="1"/>
    <col min="12300" max="12300" width="13.5703125" style="136" customWidth="1"/>
    <col min="12301" max="12301" width="18.85546875" style="136" customWidth="1"/>
    <col min="12302" max="12303" width="11.28515625" style="136" bestFit="1" customWidth="1"/>
    <col min="12304" max="12304" width="18" style="136" bestFit="1" customWidth="1"/>
    <col min="12305" max="12305" width="9" style="136" bestFit="1" customWidth="1"/>
    <col min="12306" max="12306" width="11.28515625" style="136" bestFit="1" customWidth="1"/>
    <col min="12307" max="12544" width="9.140625" style="136"/>
    <col min="12545" max="12545" width="2" style="136" customWidth="1"/>
    <col min="12546" max="12546" width="36.5703125" style="136" bestFit="1" customWidth="1"/>
    <col min="12547" max="12552" width="11.140625" style="136" customWidth="1"/>
    <col min="12553" max="12553" width="5.140625" style="136" customWidth="1"/>
    <col min="12554" max="12554" width="33.140625" style="136" customWidth="1"/>
    <col min="12555" max="12555" width="12.7109375" style="136" bestFit="1" customWidth="1"/>
    <col min="12556" max="12556" width="13.5703125" style="136" customWidth="1"/>
    <col min="12557" max="12557" width="18.85546875" style="136" customWidth="1"/>
    <col min="12558" max="12559" width="11.28515625" style="136" bestFit="1" customWidth="1"/>
    <col min="12560" max="12560" width="18" style="136" bestFit="1" customWidth="1"/>
    <col min="12561" max="12561" width="9" style="136" bestFit="1" customWidth="1"/>
    <col min="12562" max="12562" width="11.28515625" style="136" bestFit="1" customWidth="1"/>
    <col min="12563" max="12800" width="9.140625" style="136"/>
    <col min="12801" max="12801" width="2" style="136" customWidth="1"/>
    <col min="12802" max="12802" width="36.5703125" style="136" bestFit="1" customWidth="1"/>
    <col min="12803" max="12808" width="11.140625" style="136" customWidth="1"/>
    <col min="12809" max="12809" width="5.140625" style="136" customWidth="1"/>
    <col min="12810" max="12810" width="33.140625" style="136" customWidth="1"/>
    <col min="12811" max="12811" width="12.7109375" style="136" bestFit="1" customWidth="1"/>
    <col min="12812" max="12812" width="13.5703125" style="136" customWidth="1"/>
    <col min="12813" max="12813" width="18.85546875" style="136" customWidth="1"/>
    <col min="12814" max="12815" width="11.28515625" style="136" bestFit="1" customWidth="1"/>
    <col min="12816" max="12816" width="18" style="136" bestFit="1" customWidth="1"/>
    <col min="12817" max="12817" width="9" style="136" bestFit="1" customWidth="1"/>
    <col min="12818" max="12818" width="11.28515625" style="136" bestFit="1" customWidth="1"/>
    <col min="12819" max="13056" width="9.140625" style="136"/>
    <col min="13057" max="13057" width="2" style="136" customWidth="1"/>
    <col min="13058" max="13058" width="36.5703125" style="136" bestFit="1" customWidth="1"/>
    <col min="13059" max="13064" width="11.140625" style="136" customWidth="1"/>
    <col min="13065" max="13065" width="5.140625" style="136" customWidth="1"/>
    <col min="13066" max="13066" width="33.140625" style="136" customWidth="1"/>
    <col min="13067" max="13067" width="12.7109375" style="136" bestFit="1" customWidth="1"/>
    <col min="13068" max="13068" width="13.5703125" style="136" customWidth="1"/>
    <col min="13069" max="13069" width="18.85546875" style="136" customWidth="1"/>
    <col min="13070" max="13071" width="11.28515625" style="136" bestFit="1" customWidth="1"/>
    <col min="13072" max="13072" width="18" style="136" bestFit="1" customWidth="1"/>
    <col min="13073" max="13073" width="9" style="136" bestFit="1" customWidth="1"/>
    <col min="13074" max="13074" width="11.28515625" style="136" bestFit="1" customWidth="1"/>
    <col min="13075" max="13312" width="9.140625" style="136"/>
    <col min="13313" max="13313" width="2" style="136" customWidth="1"/>
    <col min="13314" max="13314" width="36.5703125" style="136" bestFit="1" customWidth="1"/>
    <col min="13315" max="13320" width="11.140625" style="136" customWidth="1"/>
    <col min="13321" max="13321" width="5.140625" style="136" customWidth="1"/>
    <col min="13322" max="13322" width="33.140625" style="136" customWidth="1"/>
    <col min="13323" max="13323" width="12.7109375" style="136" bestFit="1" customWidth="1"/>
    <col min="13324" max="13324" width="13.5703125" style="136" customWidth="1"/>
    <col min="13325" max="13325" width="18.85546875" style="136" customWidth="1"/>
    <col min="13326" max="13327" width="11.28515625" style="136" bestFit="1" customWidth="1"/>
    <col min="13328" max="13328" width="18" style="136" bestFit="1" customWidth="1"/>
    <col min="13329" max="13329" width="9" style="136" bestFit="1" customWidth="1"/>
    <col min="13330" max="13330" width="11.28515625" style="136" bestFit="1" customWidth="1"/>
    <col min="13331" max="13568" width="9.140625" style="136"/>
    <col min="13569" max="13569" width="2" style="136" customWidth="1"/>
    <col min="13570" max="13570" width="36.5703125" style="136" bestFit="1" customWidth="1"/>
    <col min="13571" max="13576" width="11.140625" style="136" customWidth="1"/>
    <col min="13577" max="13577" width="5.140625" style="136" customWidth="1"/>
    <col min="13578" max="13578" width="33.140625" style="136" customWidth="1"/>
    <col min="13579" max="13579" width="12.7109375" style="136" bestFit="1" customWidth="1"/>
    <col min="13580" max="13580" width="13.5703125" style="136" customWidth="1"/>
    <col min="13581" max="13581" width="18.85546875" style="136" customWidth="1"/>
    <col min="13582" max="13583" width="11.28515625" style="136" bestFit="1" customWidth="1"/>
    <col min="13584" max="13584" width="18" style="136" bestFit="1" customWidth="1"/>
    <col min="13585" max="13585" width="9" style="136" bestFit="1" customWidth="1"/>
    <col min="13586" max="13586" width="11.28515625" style="136" bestFit="1" customWidth="1"/>
    <col min="13587" max="13824" width="9.140625" style="136"/>
    <col min="13825" max="13825" width="2" style="136" customWidth="1"/>
    <col min="13826" max="13826" width="36.5703125" style="136" bestFit="1" customWidth="1"/>
    <col min="13827" max="13832" width="11.140625" style="136" customWidth="1"/>
    <col min="13833" max="13833" width="5.140625" style="136" customWidth="1"/>
    <col min="13834" max="13834" width="33.140625" style="136" customWidth="1"/>
    <col min="13835" max="13835" width="12.7109375" style="136" bestFit="1" customWidth="1"/>
    <col min="13836" max="13836" width="13.5703125" style="136" customWidth="1"/>
    <col min="13837" max="13837" width="18.85546875" style="136" customWidth="1"/>
    <col min="13838" max="13839" width="11.28515625" style="136" bestFit="1" customWidth="1"/>
    <col min="13840" max="13840" width="18" style="136" bestFit="1" customWidth="1"/>
    <col min="13841" max="13841" width="9" style="136" bestFit="1" customWidth="1"/>
    <col min="13842" max="13842" width="11.28515625" style="136" bestFit="1" customWidth="1"/>
    <col min="13843" max="14080" width="9.140625" style="136"/>
    <col min="14081" max="14081" width="2" style="136" customWidth="1"/>
    <col min="14082" max="14082" width="36.5703125" style="136" bestFit="1" customWidth="1"/>
    <col min="14083" max="14088" width="11.140625" style="136" customWidth="1"/>
    <col min="14089" max="14089" width="5.140625" style="136" customWidth="1"/>
    <col min="14090" max="14090" width="33.140625" style="136" customWidth="1"/>
    <col min="14091" max="14091" width="12.7109375" style="136" bestFit="1" customWidth="1"/>
    <col min="14092" max="14092" width="13.5703125" style="136" customWidth="1"/>
    <col min="14093" max="14093" width="18.85546875" style="136" customWidth="1"/>
    <col min="14094" max="14095" width="11.28515625" style="136" bestFit="1" customWidth="1"/>
    <col min="14096" max="14096" width="18" style="136" bestFit="1" customWidth="1"/>
    <col min="14097" max="14097" width="9" style="136" bestFit="1" customWidth="1"/>
    <col min="14098" max="14098" width="11.28515625" style="136" bestFit="1" customWidth="1"/>
    <col min="14099" max="14336" width="9.140625" style="136"/>
    <col min="14337" max="14337" width="2" style="136" customWidth="1"/>
    <col min="14338" max="14338" width="36.5703125" style="136" bestFit="1" customWidth="1"/>
    <col min="14339" max="14344" width="11.140625" style="136" customWidth="1"/>
    <col min="14345" max="14345" width="5.140625" style="136" customWidth="1"/>
    <col min="14346" max="14346" width="33.140625" style="136" customWidth="1"/>
    <col min="14347" max="14347" width="12.7109375" style="136" bestFit="1" customWidth="1"/>
    <col min="14348" max="14348" width="13.5703125" style="136" customWidth="1"/>
    <col min="14349" max="14349" width="18.85546875" style="136" customWidth="1"/>
    <col min="14350" max="14351" width="11.28515625" style="136" bestFit="1" customWidth="1"/>
    <col min="14352" max="14352" width="18" style="136" bestFit="1" customWidth="1"/>
    <col min="14353" max="14353" width="9" style="136" bestFit="1" customWidth="1"/>
    <col min="14354" max="14354" width="11.28515625" style="136" bestFit="1" customWidth="1"/>
    <col min="14355" max="14592" width="9.140625" style="136"/>
    <col min="14593" max="14593" width="2" style="136" customWidth="1"/>
    <col min="14594" max="14594" width="36.5703125" style="136" bestFit="1" customWidth="1"/>
    <col min="14595" max="14600" width="11.140625" style="136" customWidth="1"/>
    <col min="14601" max="14601" width="5.140625" style="136" customWidth="1"/>
    <col min="14602" max="14602" width="33.140625" style="136" customWidth="1"/>
    <col min="14603" max="14603" width="12.7109375" style="136" bestFit="1" customWidth="1"/>
    <col min="14604" max="14604" width="13.5703125" style="136" customWidth="1"/>
    <col min="14605" max="14605" width="18.85546875" style="136" customWidth="1"/>
    <col min="14606" max="14607" width="11.28515625" style="136" bestFit="1" customWidth="1"/>
    <col min="14608" max="14608" width="18" style="136" bestFit="1" customWidth="1"/>
    <col min="14609" max="14609" width="9" style="136" bestFit="1" customWidth="1"/>
    <col min="14610" max="14610" width="11.28515625" style="136" bestFit="1" customWidth="1"/>
    <col min="14611" max="14848" width="9.140625" style="136"/>
    <col min="14849" max="14849" width="2" style="136" customWidth="1"/>
    <col min="14850" max="14850" width="36.5703125" style="136" bestFit="1" customWidth="1"/>
    <col min="14851" max="14856" width="11.140625" style="136" customWidth="1"/>
    <col min="14857" max="14857" width="5.140625" style="136" customWidth="1"/>
    <col min="14858" max="14858" width="33.140625" style="136" customWidth="1"/>
    <col min="14859" max="14859" width="12.7109375" style="136" bestFit="1" customWidth="1"/>
    <col min="14860" max="14860" width="13.5703125" style="136" customWidth="1"/>
    <col min="14861" max="14861" width="18.85546875" style="136" customWidth="1"/>
    <col min="14862" max="14863" width="11.28515625" style="136" bestFit="1" customWidth="1"/>
    <col min="14864" max="14864" width="18" style="136" bestFit="1" customWidth="1"/>
    <col min="14865" max="14865" width="9" style="136" bestFit="1" customWidth="1"/>
    <col min="14866" max="14866" width="11.28515625" style="136" bestFit="1" customWidth="1"/>
    <col min="14867" max="15104" width="9.140625" style="136"/>
    <col min="15105" max="15105" width="2" style="136" customWidth="1"/>
    <col min="15106" max="15106" width="36.5703125" style="136" bestFit="1" customWidth="1"/>
    <col min="15107" max="15112" width="11.140625" style="136" customWidth="1"/>
    <col min="15113" max="15113" width="5.140625" style="136" customWidth="1"/>
    <col min="15114" max="15114" width="33.140625" style="136" customWidth="1"/>
    <col min="15115" max="15115" width="12.7109375" style="136" bestFit="1" customWidth="1"/>
    <col min="15116" max="15116" width="13.5703125" style="136" customWidth="1"/>
    <col min="15117" max="15117" width="18.85546875" style="136" customWidth="1"/>
    <col min="15118" max="15119" width="11.28515625" style="136" bestFit="1" customWidth="1"/>
    <col min="15120" max="15120" width="18" style="136" bestFit="1" customWidth="1"/>
    <col min="15121" max="15121" width="9" style="136" bestFit="1" customWidth="1"/>
    <col min="15122" max="15122" width="11.28515625" style="136" bestFit="1" customWidth="1"/>
    <col min="15123" max="15360" width="9.140625" style="136"/>
    <col min="15361" max="15361" width="2" style="136" customWidth="1"/>
    <col min="15362" max="15362" width="36.5703125" style="136" bestFit="1" customWidth="1"/>
    <col min="15363" max="15368" width="11.140625" style="136" customWidth="1"/>
    <col min="15369" max="15369" width="5.140625" style="136" customWidth="1"/>
    <col min="15370" max="15370" width="33.140625" style="136" customWidth="1"/>
    <col min="15371" max="15371" width="12.7109375" style="136" bestFit="1" customWidth="1"/>
    <col min="15372" max="15372" width="13.5703125" style="136" customWidth="1"/>
    <col min="15373" max="15373" width="18.85546875" style="136" customWidth="1"/>
    <col min="15374" max="15375" width="11.28515625" style="136" bestFit="1" customWidth="1"/>
    <col min="15376" max="15376" width="18" style="136" bestFit="1" customWidth="1"/>
    <col min="15377" max="15377" width="9" style="136" bestFit="1" customWidth="1"/>
    <col min="15378" max="15378" width="11.28515625" style="136" bestFit="1" customWidth="1"/>
    <col min="15379" max="15616" width="9.140625" style="136"/>
    <col min="15617" max="15617" width="2" style="136" customWidth="1"/>
    <col min="15618" max="15618" width="36.5703125" style="136" bestFit="1" customWidth="1"/>
    <col min="15619" max="15624" width="11.140625" style="136" customWidth="1"/>
    <col min="15625" max="15625" width="5.140625" style="136" customWidth="1"/>
    <col min="15626" max="15626" width="33.140625" style="136" customWidth="1"/>
    <col min="15627" max="15627" width="12.7109375" style="136" bestFit="1" customWidth="1"/>
    <col min="15628" max="15628" width="13.5703125" style="136" customWidth="1"/>
    <col min="15629" max="15629" width="18.85546875" style="136" customWidth="1"/>
    <col min="15630" max="15631" width="11.28515625" style="136" bestFit="1" customWidth="1"/>
    <col min="15632" max="15632" width="18" style="136" bestFit="1" customWidth="1"/>
    <col min="15633" max="15633" width="9" style="136" bestFit="1" customWidth="1"/>
    <col min="15634" max="15634" width="11.28515625" style="136" bestFit="1" customWidth="1"/>
    <col min="15635" max="15872" width="9.140625" style="136"/>
    <col min="15873" max="15873" width="2" style="136" customWidth="1"/>
    <col min="15874" max="15874" width="36.5703125" style="136" bestFit="1" customWidth="1"/>
    <col min="15875" max="15880" width="11.140625" style="136" customWidth="1"/>
    <col min="15881" max="15881" width="5.140625" style="136" customWidth="1"/>
    <col min="15882" max="15882" width="33.140625" style="136" customWidth="1"/>
    <col min="15883" max="15883" width="12.7109375" style="136" bestFit="1" customWidth="1"/>
    <col min="15884" max="15884" width="13.5703125" style="136" customWidth="1"/>
    <col min="15885" max="15885" width="18.85546875" style="136" customWidth="1"/>
    <col min="15886" max="15887" width="11.28515625" style="136" bestFit="1" customWidth="1"/>
    <col min="15888" max="15888" width="18" style="136" bestFit="1" customWidth="1"/>
    <col min="15889" max="15889" width="9" style="136" bestFit="1" customWidth="1"/>
    <col min="15890" max="15890" width="11.28515625" style="136" bestFit="1" customWidth="1"/>
    <col min="15891" max="16128" width="9.140625" style="136"/>
    <col min="16129" max="16129" width="2" style="136" customWidth="1"/>
    <col min="16130" max="16130" width="36.5703125" style="136" bestFit="1" customWidth="1"/>
    <col min="16131" max="16136" width="11.140625" style="136" customWidth="1"/>
    <col min="16137" max="16137" width="5.140625" style="136" customWidth="1"/>
    <col min="16138" max="16138" width="33.140625" style="136" customWidth="1"/>
    <col min="16139" max="16139" width="12.7109375" style="136" bestFit="1" customWidth="1"/>
    <col min="16140" max="16140" width="13.5703125" style="136" customWidth="1"/>
    <col min="16141" max="16141" width="18.85546875" style="136" customWidth="1"/>
    <col min="16142" max="16143" width="11.28515625" style="136" bestFit="1" customWidth="1"/>
    <col min="16144" max="16144" width="18" style="136" bestFit="1" customWidth="1"/>
    <col min="16145" max="16145" width="9" style="136" bestFit="1" customWidth="1"/>
    <col min="16146" max="16146" width="11.28515625" style="136" bestFit="1" customWidth="1"/>
    <col min="16147" max="16384" width="9.140625" style="136"/>
  </cols>
  <sheetData>
    <row r="1" spans="1:18" s="368" customFormat="1" x14ac:dyDescent="0.25">
      <c r="A1" s="542" t="str">
        <f>Summary!A1</f>
        <v>ABC Nutri foods</v>
      </c>
      <c r="B1" s="367"/>
    </row>
    <row r="2" spans="1:18" s="492" customFormat="1" x14ac:dyDescent="0.25">
      <c r="A2" s="493" t="s">
        <v>18</v>
      </c>
      <c r="B2" s="491"/>
    </row>
    <row r="3" spans="1:18" ht="17.25" customHeight="1" x14ac:dyDescent="0.25">
      <c r="H3" s="365">
        <v>44951</v>
      </c>
    </row>
    <row r="4" spans="1:18" ht="42" customHeight="1" x14ac:dyDescent="0.25">
      <c r="B4" s="627" t="s">
        <v>337</v>
      </c>
      <c r="C4" s="628"/>
      <c r="D4" s="628"/>
      <c r="E4" s="628"/>
      <c r="F4" s="628"/>
      <c r="G4" s="628"/>
      <c r="H4" s="629"/>
      <c r="I4" s="608"/>
      <c r="J4" s="137"/>
      <c r="K4" s="137"/>
      <c r="L4" s="137"/>
      <c r="M4" s="137"/>
    </row>
    <row r="5" spans="1:18" x14ac:dyDescent="0.25">
      <c r="B5" s="43" t="s">
        <v>2</v>
      </c>
      <c r="C5" s="43"/>
      <c r="D5" s="234">
        <f>'Profit &amp; Loss St.'!I5</f>
        <v>45016</v>
      </c>
      <c r="E5" s="234">
        <f>'Profit &amp; Loss St.'!J5</f>
        <v>45382</v>
      </c>
      <c r="F5" s="234">
        <f>'Profit &amp; Loss St.'!K5</f>
        <v>45747</v>
      </c>
      <c r="G5" s="234">
        <f>'Profit &amp; Loss St.'!L5</f>
        <v>46112</v>
      </c>
      <c r="H5" s="234">
        <f>'Profit &amp; Loss St.'!M5</f>
        <v>46477</v>
      </c>
      <c r="I5" s="327"/>
      <c r="J5" s="139" t="s">
        <v>2</v>
      </c>
      <c r="K5" s="140" t="s">
        <v>187</v>
      </c>
      <c r="L5" s="138"/>
      <c r="M5" s="138"/>
      <c r="N5" s="138"/>
      <c r="O5" s="138"/>
      <c r="P5" s="138"/>
      <c r="Q5" s="138"/>
      <c r="R5" s="138"/>
    </row>
    <row r="6" spans="1:18" x14ac:dyDescent="0.25">
      <c r="B6" s="240" t="s">
        <v>188</v>
      </c>
      <c r="C6" s="240"/>
      <c r="D6" s="241">
        <v>1</v>
      </c>
      <c r="E6" s="241">
        <v>2</v>
      </c>
      <c r="F6" s="241">
        <v>3</v>
      </c>
      <c r="G6" s="241">
        <v>4</v>
      </c>
      <c r="H6" s="241">
        <v>5</v>
      </c>
      <c r="I6" s="327"/>
      <c r="J6" s="141" t="s">
        <v>189</v>
      </c>
      <c r="K6" s="229">
        <v>7.3499999999999996E-2</v>
      </c>
      <c r="L6" s="138" t="s">
        <v>190</v>
      </c>
      <c r="M6" s="473" t="s">
        <v>592</v>
      </c>
      <c r="N6" s="138"/>
      <c r="O6" s="142"/>
      <c r="P6" s="138"/>
      <c r="Q6" s="138"/>
      <c r="R6" s="138"/>
    </row>
    <row r="7" spans="1:18" x14ac:dyDescent="0.25">
      <c r="B7" s="240" t="s">
        <v>599</v>
      </c>
      <c r="C7" s="242">
        <v>0.05</v>
      </c>
      <c r="D7" s="326"/>
      <c r="E7" s="326"/>
      <c r="F7" s="326"/>
      <c r="G7" s="326"/>
      <c r="H7" s="609"/>
      <c r="I7" s="327"/>
      <c r="J7" s="141" t="s">
        <v>191</v>
      </c>
      <c r="K7" s="230">
        <f>K30</f>
        <v>0.49</v>
      </c>
      <c r="L7" s="138"/>
      <c r="M7" s="142"/>
      <c r="N7" s="138"/>
      <c r="O7" s="138"/>
      <c r="P7" s="138"/>
      <c r="Q7" s="138"/>
      <c r="R7" s="138"/>
    </row>
    <row r="8" spans="1:18" x14ac:dyDescent="0.25">
      <c r="B8" s="240" t="s">
        <v>192</v>
      </c>
      <c r="C8" s="243">
        <f>K18</f>
        <v>0.19101735835412287</v>
      </c>
      <c r="D8" s="326"/>
      <c r="E8" s="326"/>
      <c r="F8" s="326"/>
      <c r="G8" s="326"/>
      <c r="H8" s="610"/>
      <c r="I8" s="327"/>
      <c r="J8" s="141" t="s">
        <v>193</v>
      </c>
      <c r="K8" s="231">
        <f>L24</f>
        <v>0.15727827736977429</v>
      </c>
      <c r="L8" s="138" t="s">
        <v>624</v>
      </c>
      <c r="M8" s="138"/>
      <c r="N8" s="138"/>
      <c r="O8" s="138"/>
      <c r="P8" s="138"/>
      <c r="Q8" s="138"/>
      <c r="R8" s="138"/>
    </row>
    <row r="9" spans="1:18" x14ac:dyDescent="0.25">
      <c r="B9" s="244" t="s">
        <v>13</v>
      </c>
      <c r="C9" s="245"/>
      <c r="D9" s="246">
        <f>'Profit &amp; Loss St.'!I66</f>
        <v>5393536.1431282796</v>
      </c>
      <c r="E9" s="246">
        <f>'Profit &amp; Loss St.'!J66</f>
        <v>53998894.159521617</v>
      </c>
      <c r="F9" s="246">
        <f>'Profit &amp; Loss St.'!K66</f>
        <v>86440641.607401684</v>
      </c>
      <c r="G9" s="246">
        <f>'Profit &amp; Loss St.'!L66</f>
        <v>145672821.76421797</v>
      </c>
      <c r="H9" s="611">
        <f>'Profit &amp; Loss St.'!M66</f>
        <v>171261817.34468049</v>
      </c>
      <c r="I9" s="327"/>
      <c r="J9" s="141" t="s">
        <v>194</v>
      </c>
      <c r="K9" s="232">
        <f>K8-K6</f>
        <v>8.3778277369774293E-2</v>
      </c>
      <c r="L9" s="138"/>
      <c r="M9" s="138"/>
      <c r="N9" s="138"/>
      <c r="O9" s="138"/>
      <c r="P9" s="138"/>
      <c r="Q9" s="138"/>
      <c r="R9" s="138"/>
    </row>
    <row r="10" spans="1:18" x14ac:dyDescent="0.25">
      <c r="B10" s="247" t="s">
        <v>195</v>
      </c>
      <c r="C10" s="248"/>
      <c r="D10" s="249">
        <f>-'Profit &amp; Loss St.'!I73</f>
        <v>-1376718.8698547462</v>
      </c>
      <c r="E10" s="249">
        <f>-'Profit &amp; Loss St.'!J73</f>
        <v>-18467907.303891808</v>
      </c>
      <c r="F10" s="249">
        <f>-'Profit &amp; Loss St.'!K73</f>
        <v>-29825858.190272633</v>
      </c>
      <c r="G10" s="249">
        <f>-'Profit &amp; Loss St.'!L73</f>
        <v>-50548185.465037584</v>
      </c>
      <c r="H10" s="612">
        <f>-'Profit &amp; Loss St.'!M73</f>
        <v>-59517311.829756975</v>
      </c>
      <c r="I10" s="327"/>
      <c r="J10" s="141" t="s">
        <v>196</v>
      </c>
      <c r="K10" s="229">
        <v>6.3600000000000004E-2</v>
      </c>
      <c r="M10" s="143" t="s">
        <v>197</v>
      </c>
      <c r="N10" s="144"/>
      <c r="O10" s="145"/>
      <c r="P10" s="144"/>
      <c r="Q10" s="144"/>
      <c r="R10" s="144"/>
    </row>
    <row r="11" spans="1:18" x14ac:dyDescent="0.25">
      <c r="B11" s="247" t="s">
        <v>1</v>
      </c>
      <c r="C11" s="248"/>
      <c r="D11" s="249">
        <f>'Profit &amp; Loss St.'!I64</f>
        <v>792936.9</v>
      </c>
      <c r="E11" s="249">
        <f>'Profit &amp; Loss St.'!J64</f>
        <v>861766.36499999987</v>
      </c>
      <c r="F11" s="249">
        <f>'Profit &amp; Loss St.'!K64</f>
        <v>1102097.28525</v>
      </c>
      <c r="G11" s="249">
        <f>'Profit &amp; Loss St.'!L64</f>
        <v>1387390.1924624997</v>
      </c>
      <c r="H11" s="612">
        <f>'Profit &amp; Loss St.'!M64</f>
        <v>1717682.4198431247</v>
      </c>
      <c r="I11" s="327"/>
      <c r="J11" s="141" t="s">
        <v>198</v>
      </c>
      <c r="K11" s="229">
        <v>0</v>
      </c>
      <c r="L11" s="144" t="s">
        <v>199</v>
      </c>
      <c r="N11" s="144"/>
      <c r="O11" s="145"/>
      <c r="P11" s="144"/>
      <c r="Q11" s="144"/>
      <c r="R11" s="144"/>
    </row>
    <row r="12" spans="1:18" x14ac:dyDescent="0.25">
      <c r="B12" s="247" t="s">
        <v>200</v>
      </c>
      <c r="C12" s="248"/>
      <c r="D12" s="249">
        <f>-'FA Schedule'!AH7</f>
        <v>-4214300</v>
      </c>
      <c r="E12" s="249">
        <f>-'FA Schedule'!AN7</f>
        <v>-2503600</v>
      </c>
      <c r="F12" s="249">
        <f>-'FA Schedule'!AT7</f>
        <v>-2424345</v>
      </c>
      <c r="G12" s="249">
        <f>-'FA Schedule'!AZ7</f>
        <v>-3583755</v>
      </c>
      <c r="H12" s="612">
        <f>-'FA Schedule'!BF7</f>
        <v>-3594921.75</v>
      </c>
      <c r="I12" s="327"/>
      <c r="J12" s="141" t="s">
        <v>201</v>
      </c>
      <c r="K12" s="229">
        <f>M40</f>
        <v>4.2900000000000001E-2</v>
      </c>
      <c r="L12" s="138"/>
      <c r="M12" s="138"/>
      <c r="N12" s="138"/>
      <c r="O12" s="138"/>
      <c r="P12" s="138"/>
      <c r="Q12" s="138"/>
      <c r="R12" s="138"/>
    </row>
    <row r="13" spans="1:18" x14ac:dyDescent="0.25">
      <c r="B13" s="247" t="s">
        <v>202</v>
      </c>
      <c r="C13" s="248"/>
      <c r="D13" s="250">
        <f>'Working Capital'!G27</f>
        <v>890165.41825852171</v>
      </c>
      <c r="E13" s="250">
        <f>'Working Capital'!H27</f>
        <v>-15104060.52479399</v>
      </c>
      <c r="F13" s="250">
        <f>'Working Capital'!I27</f>
        <v>-6612896.1582592539</v>
      </c>
      <c r="G13" s="250">
        <f>'Working Capital'!J27</f>
        <v>-40739496.033209041</v>
      </c>
      <c r="H13" s="613">
        <f>'Working Capital'!K27</f>
        <v>-13159207.886102624</v>
      </c>
      <c r="I13" s="327"/>
      <c r="J13" s="141" t="s">
        <v>203</v>
      </c>
      <c r="K13" s="229">
        <f>AVERAGE('Balance Sheet'!I8:M8)/((AVERAGE('Balance Sheet'!I8:M8)+AVERAGE(SUM('Balance Sheet'!I11:I15,'Balance Sheet'!I18:I21),SUM('Balance Sheet'!J11:J15,'Balance Sheet'!J18:J21),SUM('Balance Sheet'!K11:K15,'Balance Sheet'!K18:K21),SUM('Balance Sheet'!L11:L15,'Balance Sheet'!L18:L21),SUM('Balance Sheet'!M11:M15,'Balance Sheet'!M18:M21))))</f>
        <v>0.71107419971158015</v>
      </c>
      <c r="L13" s="138"/>
      <c r="M13" s="138"/>
      <c r="N13" s="146"/>
      <c r="O13" s="138"/>
      <c r="P13" s="138"/>
      <c r="Q13" s="138"/>
      <c r="R13" s="138"/>
    </row>
    <row r="14" spans="1:18" x14ac:dyDescent="0.25">
      <c r="B14" s="247" t="s">
        <v>204</v>
      </c>
      <c r="C14" s="248"/>
      <c r="D14" s="249">
        <f>SUM(D9:D13)</f>
        <v>1485619.5915320553</v>
      </c>
      <c r="E14" s="249">
        <f>SUM(E9:E13)</f>
        <v>18785092.695835821</v>
      </c>
      <c r="F14" s="249">
        <f>SUM(F9:F13)</f>
        <v>48679639.544119805</v>
      </c>
      <c r="G14" s="249">
        <f>SUM(G9:G13)</f>
        <v>52188775.458433852</v>
      </c>
      <c r="H14" s="612">
        <f>SUM(H9:H13)</f>
        <v>96708058.298664004</v>
      </c>
      <c r="I14" s="327"/>
      <c r="J14" s="141" t="s">
        <v>205</v>
      </c>
      <c r="K14" s="229">
        <f>100%-K13</f>
        <v>0.28892580028841985</v>
      </c>
      <c r="L14" s="138"/>
      <c r="M14" s="138"/>
      <c r="N14" s="138"/>
      <c r="O14" s="138"/>
      <c r="P14" s="138"/>
      <c r="Q14" s="138"/>
      <c r="R14" s="138"/>
    </row>
    <row r="15" spans="1:18" x14ac:dyDescent="0.25">
      <c r="B15" s="247" t="s">
        <v>206</v>
      </c>
      <c r="C15" s="248"/>
      <c r="D15" s="251">
        <f>1/((1+$C$8)^D6)</f>
        <v>0.83961832544733739</v>
      </c>
      <c r="E15" s="251">
        <f>1/((1+$C$8)^E6)</f>
        <v>0.70495893242699104</v>
      </c>
      <c r="F15" s="251">
        <f>1/((1+$C$8)^F6)</f>
        <v>0.59189643835349282</v>
      </c>
      <c r="G15" s="251">
        <f>1/((1+$C$8)^G6)</f>
        <v>0.49696709640860282</v>
      </c>
      <c r="H15" s="614">
        <f>1/((1+$C$8)^H6)</f>
        <v>0.41726268128901656</v>
      </c>
      <c r="I15" s="327"/>
      <c r="J15" s="147" t="s">
        <v>14</v>
      </c>
      <c r="K15" s="229">
        <f>'Profit &amp; Loss St.'!C73</f>
        <v>0.34944000000000003</v>
      </c>
      <c r="L15" s="138"/>
      <c r="M15" s="138"/>
      <c r="N15" s="138"/>
      <c r="O15" s="138"/>
      <c r="P15" s="138"/>
      <c r="Q15" s="138"/>
      <c r="R15" s="138"/>
    </row>
    <row r="16" spans="1:18" x14ac:dyDescent="0.25">
      <c r="B16" s="247" t="s">
        <v>207</v>
      </c>
      <c r="C16" s="248"/>
      <c r="D16" s="249">
        <f>D14*D15</f>
        <v>1247353.4336939016</v>
      </c>
      <c r="E16" s="249">
        <f>E14*E15</f>
        <v>13242718.892398488</v>
      </c>
      <c r="F16" s="249">
        <f>F14*F15</f>
        <v>28813305.26649636</v>
      </c>
      <c r="G16" s="249">
        <f>G14*G15</f>
        <v>25936104.204698421</v>
      </c>
      <c r="H16" s="612">
        <f>H14*H15</f>
        <v>40352663.70795507</v>
      </c>
      <c r="I16" s="327"/>
      <c r="J16" s="147" t="s">
        <v>208</v>
      </c>
      <c r="K16" s="233">
        <f>K6+K7*K9+K10+K11+K12</f>
        <v>0.22105135591118941</v>
      </c>
      <c r="L16" s="149" t="s">
        <v>209</v>
      </c>
      <c r="M16" s="138"/>
      <c r="N16" s="138"/>
      <c r="O16" s="138"/>
      <c r="P16" s="138"/>
      <c r="Q16" s="138"/>
      <c r="R16" s="138"/>
    </row>
    <row r="17" spans="2:18" x14ac:dyDescent="0.25">
      <c r="B17" s="247" t="s">
        <v>210</v>
      </c>
      <c r="C17" s="252">
        <f>SUM(D16:H16)</f>
        <v>109592145.50524223</v>
      </c>
      <c r="D17" s="249"/>
      <c r="E17" s="249"/>
      <c r="F17" s="249"/>
      <c r="G17" s="249"/>
      <c r="H17" s="612"/>
      <c r="I17" s="327"/>
      <c r="J17" s="147" t="s">
        <v>211</v>
      </c>
      <c r="K17" s="233">
        <v>0.18</v>
      </c>
      <c r="L17" s="138"/>
      <c r="M17" s="138"/>
      <c r="N17" s="138"/>
      <c r="O17" s="138"/>
      <c r="P17" s="138"/>
      <c r="Q17" s="138"/>
      <c r="R17" s="138"/>
    </row>
    <row r="18" spans="2:18" x14ac:dyDescent="0.25">
      <c r="B18" s="247" t="s">
        <v>16</v>
      </c>
      <c r="C18" s="252">
        <f>H14*(1+C7)/(C8-C7)</f>
        <v>720077743.61083412</v>
      </c>
      <c r="D18" s="253"/>
      <c r="E18" s="253"/>
      <c r="F18" s="253"/>
      <c r="G18" s="253"/>
      <c r="H18" s="615"/>
      <c r="I18" s="327"/>
      <c r="J18" s="141" t="s">
        <v>212</v>
      </c>
      <c r="K18" s="148">
        <f>K13*K16+K14*K17*(1-K15)</f>
        <v>0.19101735835412287</v>
      </c>
      <c r="L18" s="138" t="s">
        <v>213</v>
      </c>
      <c r="M18" s="145"/>
      <c r="N18" s="138"/>
      <c r="O18" s="138"/>
      <c r="P18" s="138"/>
      <c r="Q18" s="138"/>
      <c r="R18" s="138"/>
    </row>
    <row r="19" spans="2:18" x14ac:dyDescent="0.25">
      <c r="B19" s="247" t="s">
        <v>214</v>
      </c>
      <c r="C19" s="254">
        <f>C18*H15</f>
        <v>300461570.03560168</v>
      </c>
      <c r="D19" s="255"/>
      <c r="E19" s="255"/>
      <c r="F19" s="255"/>
      <c r="G19" s="255"/>
      <c r="H19" s="612"/>
      <c r="I19" s="327"/>
      <c r="J19" s="138"/>
      <c r="K19" s="138"/>
      <c r="L19" s="138"/>
      <c r="M19" s="138"/>
      <c r="N19" s="138"/>
      <c r="O19" s="138"/>
      <c r="P19" s="138"/>
      <c r="Q19" s="138"/>
      <c r="R19" s="138"/>
    </row>
    <row r="20" spans="2:18" x14ac:dyDescent="0.25">
      <c r="B20" s="247" t="s">
        <v>18</v>
      </c>
      <c r="C20" s="254">
        <f>C17+C19</f>
        <v>410053715.5408439</v>
      </c>
      <c r="D20" s="255"/>
      <c r="E20" s="255"/>
      <c r="F20" s="255"/>
      <c r="G20" s="255"/>
      <c r="H20" s="612"/>
      <c r="I20" s="327"/>
      <c r="J20" s="150" t="s">
        <v>2</v>
      </c>
      <c r="K20" s="150" t="s">
        <v>17</v>
      </c>
      <c r="L20" s="150" t="s">
        <v>215</v>
      </c>
      <c r="M20" s="138"/>
      <c r="N20" s="138"/>
      <c r="O20" s="138"/>
      <c r="P20" s="138"/>
      <c r="Q20" s="138"/>
      <c r="R20" s="138"/>
    </row>
    <row r="21" spans="2:18" x14ac:dyDescent="0.25">
      <c r="B21" s="256" t="s">
        <v>334</v>
      </c>
      <c r="C21" s="263">
        <f>C20/10^7</f>
        <v>41.005371554084391</v>
      </c>
      <c r="D21" s="251"/>
      <c r="E21" s="251"/>
      <c r="F21" s="251"/>
      <c r="G21" s="251"/>
      <c r="H21" s="614"/>
      <c r="I21" s="327"/>
      <c r="J21" s="151" t="s">
        <v>216</v>
      </c>
      <c r="K21" s="152">
        <v>28946</v>
      </c>
      <c r="L21" s="226">
        <v>100</v>
      </c>
      <c r="M21" s="138"/>
      <c r="N21" s="138"/>
      <c r="O21" s="138"/>
      <c r="P21" s="138"/>
      <c r="Q21" s="138"/>
      <c r="R21" s="138"/>
    </row>
    <row r="22" spans="2:18" x14ac:dyDescent="0.25">
      <c r="I22" s="138"/>
      <c r="J22" s="153" t="s">
        <v>217</v>
      </c>
      <c r="K22" s="154">
        <f>H3</f>
        <v>44951</v>
      </c>
      <c r="L22" s="227">
        <v>60205.06</v>
      </c>
      <c r="M22" s="138"/>
      <c r="N22" s="138"/>
      <c r="O22" s="138"/>
      <c r="P22" s="138"/>
      <c r="Q22" s="138"/>
      <c r="R22" s="138"/>
    </row>
    <row r="23" spans="2:18" x14ac:dyDescent="0.25">
      <c r="B23" s="43" t="str">
        <f>B5</f>
        <v>Particulars</v>
      </c>
      <c r="C23" s="43" t="s">
        <v>333</v>
      </c>
      <c r="E23" s="138"/>
      <c r="F23" s="138"/>
      <c r="G23" s="138"/>
      <c r="H23" s="138"/>
      <c r="I23" s="138"/>
      <c r="J23" s="155" t="s">
        <v>218</v>
      </c>
      <c r="K23" s="156"/>
      <c r="L23" s="228">
        <f>YEARFRAC(K22,K21)</f>
        <v>43.81666666666667</v>
      </c>
      <c r="M23" s="138"/>
      <c r="N23" s="138"/>
      <c r="O23" s="138"/>
      <c r="P23" s="138"/>
      <c r="Q23" s="138"/>
      <c r="R23" s="138"/>
    </row>
    <row r="24" spans="2:18" x14ac:dyDescent="0.25">
      <c r="B24" s="257" t="s">
        <v>18</v>
      </c>
      <c r="C24" s="260">
        <f>C21</f>
        <v>41.005371554084391</v>
      </c>
      <c r="D24" s="138"/>
      <c r="I24" s="138"/>
      <c r="J24" s="157" t="s">
        <v>219</v>
      </c>
      <c r="K24" s="158"/>
      <c r="L24" s="159">
        <f>(L22/L21)^(1/L23)-1</f>
        <v>0.15727827736977429</v>
      </c>
      <c r="M24" s="138"/>
      <c r="N24" s="138"/>
      <c r="O24" s="138"/>
      <c r="P24" s="138"/>
      <c r="Q24" s="138"/>
      <c r="R24" s="138"/>
    </row>
    <row r="25" spans="2:18" x14ac:dyDescent="0.25">
      <c r="B25" s="258" t="s">
        <v>332</v>
      </c>
      <c r="C25" s="261">
        <f>'Balance Sheet'!I46/10^7</f>
        <v>3.8489487591532052</v>
      </c>
      <c r="E25" s="235"/>
      <c r="F25" s="477"/>
      <c r="G25" s="138"/>
      <c r="H25" s="138"/>
      <c r="I25" s="138"/>
      <c r="M25" s="138"/>
      <c r="P25" s="138"/>
      <c r="Q25" s="138"/>
      <c r="R25" s="138"/>
    </row>
    <row r="26" spans="2:18" x14ac:dyDescent="0.25">
      <c r="B26" s="258" t="s">
        <v>19</v>
      </c>
      <c r="C26" s="261">
        <f>-SUM('Balance Sheet'!I11:I15,'Balance Sheet'!I18:I21)/10^7</f>
        <v>-4.4431294000000001</v>
      </c>
      <c r="E26" s="138"/>
      <c r="F26" s="138"/>
      <c r="G26" s="138"/>
      <c r="H26" s="138"/>
      <c r="I26" s="138"/>
      <c r="J26" s="172" t="s">
        <v>220</v>
      </c>
      <c r="K26" s="173" t="s">
        <v>221</v>
      </c>
      <c r="L26" s="160"/>
      <c r="M26" s="160"/>
      <c r="P26" s="161"/>
      <c r="Q26" s="161"/>
      <c r="R26" s="161"/>
    </row>
    <row r="27" spans="2:18" ht="15.75" x14ac:dyDescent="0.3">
      <c r="B27" s="259" t="s">
        <v>15</v>
      </c>
      <c r="C27" s="262">
        <f>SUM(C24:C26)</f>
        <v>40.41119091323759</v>
      </c>
      <c r="E27" s="138"/>
      <c r="F27" s="138"/>
      <c r="G27" s="138"/>
      <c r="H27" s="138"/>
      <c r="I27" s="138"/>
      <c r="J27" s="170" t="s">
        <v>436</v>
      </c>
      <c r="K27" s="171">
        <v>0.51</v>
      </c>
      <c r="M27" s="373" t="s">
        <v>462</v>
      </c>
      <c r="P27" s="161"/>
      <c r="Q27" s="161"/>
      <c r="R27" s="161"/>
    </row>
    <row r="28" spans="2:18" ht="15.75" x14ac:dyDescent="0.3">
      <c r="B28" s="259" t="s">
        <v>596</v>
      </c>
      <c r="C28" s="262">
        <f>C27</f>
        <v>40.41119091323759</v>
      </c>
      <c r="E28" s="138"/>
      <c r="F28" s="138"/>
      <c r="G28" s="138"/>
      <c r="H28" s="138"/>
      <c r="I28" s="138"/>
      <c r="J28" s="170" t="s">
        <v>238</v>
      </c>
      <c r="K28" s="171">
        <v>0.47</v>
      </c>
      <c r="M28" s="373" t="s">
        <v>463</v>
      </c>
      <c r="P28" s="161"/>
      <c r="Q28" s="161"/>
      <c r="R28" s="161"/>
    </row>
    <row r="29" spans="2:18" ht="15.75" x14ac:dyDescent="0.3">
      <c r="B29" s="138" t="s">
        <v>595</v>
      </c>
      <c r="C29" s="476">
        <f>C28-'Cash Flow St.'!C21/10^7</f>
        <v>38.41119091323759</v>
      </c>
      <c r="E29" s="138"/>
      <c r="F29" s="138"/>
      <c r="G29" s="138"/>
      <c r="H29" s="138"/>
      <c r="I29" s="138"/>
      <c r="J29" s="474"/>
      <c r="K29" s="171"/>
      <c r="M29" s="475"/>
      <c r="P29" s="161"/>
      <c r="Q29" s="161"/>
      <c r="R29" s="161"/>
    </row>
    <row r="30" spans="2:18" x14ac:dyDescent="0.25">
      <c r="B30" s="138" t="s">
        <v>600</v>
      </c>
      <c r="C30" s="533">
        <f>('Cash Flow St.'!C21/10^7)/C29</f>
        <v>5.2068159108046373E-2</v>
      </c>
      <c r="E30" s="138"/>
      <c r="F30" s="138"/>
      <c r="G30" s="138"/>
      <c r="H30" s="138"/>
      <c r="I30" s="138"/>
      <c r="J30" s="167" t="s">
        <v>694</v>
      </c>
      <c r="K30" s="374">
        <f>AVERAGE(K27:K28)</f>
        <v>0.49</v>
      </c>
      <c r="L30" s="160"/>
      <c r="M30" s="160"/>
      <c r="N30" s="160"/>
      <c r="O30" s="161"/>
      <c r="P30" s="161"/>
      <c r="Q30" s="161"/>
      <c r="R30" s="161"/>
    </row>
    <row r="31" spans="2:18" x14ac:dyDescent="0.25">
      <c r="B31" s="138"/>
      <c r="C31" s="138"/>
      <c r="E31" s="138"/>
      <c r="F31" s="138"/>
      <c r="G31" s="138"/>
      <c r="H31" s="138"/>
      <c r="I31" s="138"/>
      <c r="J31" s="161"/>
      <c r="K31" s="161"/>
      <c r="L31" s="161"/>
      <c r="M31" s="161"/>
      <c r="N31" s="161"/>
      <c r="O31" s="161"/>
      <c r="P31" s="161"/>
      <c r="Q31" s="161"/>
      <c r="R31" s="161"/>
    </row>
    <row r="32" spans="2:18" x14ac:dyDescent="0.25">
      <c r="B32" s="138"/>
      <c r="C32" s="138"/>
      <c r="E32" s="138"/>
      <c r="F32" s="138"/>
      <c r="G32" s="138"/>
      <c r="H32" s="138"/>
      <c r="I32" s="138"/>
      <c r="J32" s="163" t="s">
        <v>222</v>
      </c>
      <c r="K32" s="164" t="s">
        <v>223</v>
      </c>
      <c r="L32" s="164" t="s">
        <v>224</v>
      </c>
      <c r="M32" s="165" t="s">
        <v>225</v>
      </c>
      <c r="N32" s="161"/>
      <c r="O32" s="161"/>
      <c r="P32" s="161"/>
      <c r="Q32" s="161"/>
      <c r="R32" s="161"/>
    </row>
    <row r="33" spans="2:18" x14ac:dyDescent="0.25">
      <c r="B33" s="138"/>
      <c r="C33" s="138"/>
      <c r="D33" s="138"/>
      <c r="E33" s="138"/>
      <c r="F33" s="138"/>
      <c r="G33" s="138"/>
      <c r="H33" s="138"/>
      <c r="I33" s="138"/>
      <c r="J33" s="162" t="s">
        <v>226</v>
      </c>
      <c r="K33" s="224">
        <v>0.15</v>
      </c>
      <c r="L33" s="225">
        <v>0</v>
      </c>
      <c r="M33" s="166">
        <f>L33*K33</f>
        <v>0</v>
      </c>
      <c r="N33" s="161"/>
      <c r="O33" s="161"/>
      <c r="P33" s="161"/>
      <c r="Q33" s="161"/>
      <c r="R33" s="161"/>
    </row>
    <row r="34" spans="2:18" x14ac:dyDescent="0.25">
      <c r="B34" s="138"/>
      <c r="C34" s="138"/>
      <c r="D34" s="138"/>
      <c r="E34" s="138"/>
      <c r="F34" s="138"/>
      <c r="G34" s="138"/>
      <c r="H34" s="138"/>
      <c r="I34" s="138"/>
      <c r="J34" s="162" t="s">
        <v>227</v>
      </c>
      <c r="K34" s="224">
        <v>0.14000000000000001</v>
      </c>
      <c r="L34" s="225">
        <v>2</v>
      </c>
      <c r="M34" s="166">
        <f t="shared" ref="M34:M39" si="0">L34*K34</f>
        <v>0.28000000000000003</v>
      </c>
      <c r="N34" s="161"/>
      <c r="O34" s="161"/>
      <c r="P34" s="161"/>
      <c r="Q34" s="161"/>
      <c r="R34" s="161"/>
    </row>
    <row r="35" spans="2:18" x14ac:dyDescent="0.25">
      <c r="B35" s="138"/>
      <c r="C35" s="138"/>
      <c r="D35" s="138"/>
      <c r="E35" s="138"/>
      <c r="F35" s="138"/>
      <c r="G35" s="138"/>
      <c r="H35" s="138"/>
      <c r="I35" s="138"/>
      <c r="J35" s="162" t="s">
        <v>228</v>
      </c>
      <c r="K35" s="224">
        <v>0.14000000000000001</v>
      </c>
      <c r="L35" s="225">
        <v>3</v>
      </c>
      <c r="M35" s="166">
        <f t="shared" si="0"/>
        <v>0.42000000000000004</v>
      </c>
      <c r="N35" s="161"/>
      <c r="O35" s="161"/>
      <c r="P35" s="161"/>
      <c r="Q35" s="161"/>
      <c r="R35" s="161"/>
    </row>
    <row r="36" spans="2:18" x14ac:dyDescent="0.25">
      <c r="B36" s="138"/>
      <c r="C36" s="138"/>
      <c r="D36" s="138"/>
      <c r="E36" s="138"/>
      <c r="F36" s="138"/>
      <c r="G36" s="138"/>
      <c r="H36" s="138"/>
      <c r="I36" s="138"/>
      <c r="J36" s="162" t="s">
        <v>229</v>
      </c>
      <c r="K36" s="224">
        <v>0.14000000000000001</v>
      </c>
      <c r="L36" s="225">
        <v>1</v>
      </c>
      <c r="M36" s="166">
        <f t="shared" si="0"/>
        <v>0.14000000000000001</v>
      </c>
      <c r="N36" s="161"/>
      <c r="O36" s="161"/>
      <c r="P36" s="161"/>
      <c r="Q36" s="161"/>
      <c r="R36" s="161"/>
    </row>
    <row r="37" spans="2:18" x14ac:dyDescent="0.25">
      <c r="B37" s="138"/>
      <c r="C37" s="138"/>
      <c r="D37" s="138"/>
      <c r="E37" s="138"/>
      <c r="F37" s="138"/>
      <c r="G37" s="138"/>
      <c r="H37" s="138"/>
      <c r="I37" s="138"/>
      <c r="J37" s="162" t="s">
        <v>230</v>
      </c>
      <c r="K37" s="224">
        <v>0.14000000000000001</v>
      </c>
      <c r="L37" s="225">
        <v>6</v>
      </c>
      <c r="M37" s="166">
        <f t="shared" si="0"/>
        <v>0.84000000000000008</v>
      </c>
      <c r="N37" s="161"/>
      <c r="O37" s="161"/>
      <c r="P37" s="161"/>
      <c r="Q37" s="161"/>
      <c r="R37" s="161"/>
    </row>
    <row r="38" spans="2:18" x14ac:dyDescent="0.25">
      <c r="B38" s="138"/>
      <c r="C38" s="138"/>
      <c r="D38" s="138"/>
      <c r="E38" s="138"/>
      <c r="F38" s="138"/>
      <c r="G38" s="138"/>
      <c r="H38" s="138"/>
      <c r="I38" s="138"/>
      <c r="J38" s="162" t="s">
        <v>231</v>
      </c>
      <c r="K38" s="224">
        <v>0.14000000000000001</v>
      </c>
      <c r="L38" s="225">
        <v>9</v>
      </c>
      <c r="M38" s="166">
        <f t="shared" si="0"/>
        <v>1.2600000000000002</v>
      </c>
      <c r="N38" s="161"/>
      <c r="O38" s="161"/>
      <c r="P38" s="161"/>
      <c r="Q38" s="161"/>
      <c r="R38" s="161"/>
    </row>
    <row r="39" spans="2:18" x14ac:dyDescent="0.25">
      <c r="B39" s="138"/>
      <c r="C39" s="138"/>
      <c r="D39" s="138"/>
      <c r="E39" s="138"/>
      <c r="F39" s="138"/>
      <c r="G39" s="138"/>
      <c r="H39" s="138"/>
      <c r="I39" s="138"/>
      <c r="J39" s="162" t="s">
        <v>232</v>
      </c>
      <c r="K39" s="224">
        <v>0.15</v>
      </c>
      <c r="L39" s="225">
        <v>9</v>
      </c>
      <c r="M39" s="166">
        <f t="shared" si="0"/>
        <v>1.3499999999999999</v>
      </c>
      <c r="N39" s="161"/>
      <c r="O39" s="161"/>
      <c r="P39" s="161"/>
      <c r="Q39" s="161"/>
      <c r="R39" s="161"/>
    </row>
    <row r="40" spans="2:18" x14ac:dyDescent="0.25">
      <c r="B40" s="138"/>
      <c r="C40" s="138"/>
      <c r="D40" s="138"/>
      <c r="E40" s="138"/>
      <c r="F40" s="138"/>
      <c r="G40" s="138"/>
      <c r="H40" s="138"/>
      <c r="I40" s="138"/>
      <c r="J40" s="167" t="s">
        <v>123</v>
      </c>
      <c r="K40" s="168">
        <f>SUM(K33:K39)</f>
        <v>1</v>
      </c>
      <c r="L40" s="168"/>
      <c r="M40" s="169">
        <f>SUM(M33:M39)/100</f>
        <v>4.2900000000000001E-2</v>
      </c>
      <c r="N40" s="161"/>
      <c r="O40" s="161"/>
      <c r="P40" s="161"/>
      <c r="Q40" s="161"/>
      <c r="R40" s="161"/>
    </row>
    <row r="41" spans="2:18" x14ac:dyDescent="0.25">
      <c r="B41" s="138"/>
      <c r="C41" s="138"/>
      <c r="D41" s="138"/>
      <c r="E41" s="138"/>
      <c r="F41" s="138"/>
      <c r="G41" s="138"/>
      <c r="H41" s="138"/>
      <c r="I41" s="138"/>
      <c r="J41" s="161"/>
      <c r="K41" s="161"/>
      <c r="L41" s="161"/>
      <c r="M41" s="161"/>
      <c r="N41" s="161"/>
      <c r="O41" s="161"/>
      <c r="P41" s="161"/>
      <c r="Q41" s="161"/>
      <c r="R41" s="161"/>
    </row>
    <row r="42" spans="2:18" s="185" customFormat="1" ht="75" x14ac:dyDescent="0.25">
      <c r="J42" s="186" t="s">
        <v>240</v>
      </c>
      <c r="K42" s="187" t="s">
        <v>466</v>
      </c>
      <c r="L42" s="187" t="s">
        <v>241</v>
      </c>
      <c r="M42" s="187" t="s">
        <v>242</v>
      </c>
      <c r="N42" s="187" t="s">
        <v>243</v>
      </c>
      <c r="O42" s="187" t="s">
        <v>244</v>
      </c>
      <c r="P42" s="187" t="s">
        <v>245</v>
      </c>
      <c r="Q42" s="187" t="s">
        <v>598</v>
      </c>
      <c r="R42" s="188"/>
    </row>
    <row r="43" spans="2:18" x14ac:dyDescent="0.25">
      <c r="B43" s="138"/>
      <c r="C43" s="138"/>
      <c r="D43" s="138"/>
      <c r="E43" s="138"/>
      <c r="F43" s="138"/>
      <c r="G43" s="138"/>
      <c r="H43" s="138"/>
      <c r="I43" s="138"/>
      <c r="J43" s="183">
        <v>0</v>
      </c>
      <c r="K43" s="183" t="s">
        <v>246</v>
      </c>
      <c r="L43" s="183" t="s">
        <v>247</v>
      </c>
      <c r="M43" s="183" t="s">
        <v>247</v>
      </c>
      <c r="N43" s="183" t="s">
        <v>248</v>
      </c>
      <c r="O43" s="183" t="s">
        <v>249</v>
      </c>
      <c r="P43" s="183" t="s">
        <v>250</v>
      </c>
      <c r="Q43" s="183" t="s">
        <v>247</v>
      </c>
      <c r="R43" s="161"/>
    </row>
    <row r="44" spans="2:18" x14ac:dyDescent="0.25">
      <c r="B44" s="138"/>
      <c r="C44" s="138"/>
      <c r="D44" s="138"/>
      <c r="E44" s="138"/>
      <c r="F44" s="138"/>
      <c r="G44" s="138"/>
      <c r="H44" s="138"/>
      <c r="I44" s="138"/>
      <c r="J44" s="183">
        <v>1</v>
      </c>
      <c r="K44" s="183" t="s">
        <v>251</v>
      </c>
      <c r="L44" s="183" t="s">
        <v>252</v>
      </c>
      <c r="M44" s="183" t="s">
        <v>252</v>
      </c>
      <c r="N44" s="183" t="s">
        <v>253</v>
      </c>
      <c r="O44" s="183" t="s">
        <v>254</v>
      </c>
      <c r="P44" s="183" t="s">
        <v>255</v>
      </c>
      <c r="Q44" s="183" t="s">
        <v>252</v>
      </c>
      <c r="R44" s="161"/>
    </row>
    <row r="45" spans="2:18" x14ac:dyDescent="0.25">
      <c r="B45" s="138"/>
      <c r="C45" s="138"/>
      <c r="D45" s="138"/>
      <c r="E45" s="138"/>
      <c r="F45" s="138"/>
      <c r="G45" s="138"/>
      <c r="H45" s="138"/>
      <c r="I45" s="138"/>
      <c r="J45" s="183">
        <v>2</v>
      </c>
      <c r="K45" s="183" t="s">
        <v>256</v>
      </c>
      <c r="L45" s="183" t="s">
        <v>257</v>
      </c>
      <c r="M45" s="183" t="s">
        <v>257</v>
      </c>
      <c r="N45" s="183" t="s">
        <v>258</v>
      </c>
      <c r="O45" s="183" t="s">
        <v>259</v>
      </c>
      <c r="P45" s="183" t="s">
        <v>260</v>
      </c>
      <c r="Q45" s="183" t="s">
        <v>257</v>
      </c>
      <c r="R45" s="161"/>
    </row>
    <row r="46" spans="2:18" x14ac:dyDescent="0.25">
      <c r="B46" s="138"/>
      <c r="C46" s="138"/>
      <c r="D46" s="138"/>
      <c r="E46" s="138"/>
      <c r="F46" s="138"/>
      <c r="G46" s="138"/>
      <c r="H46" s="138"/>
      <c r="I46" s="138"/>
      <c r="J46" s="183">
        <v>3</v>
      </c>
      <c r="K46" s="183" t="s">
        <v>261</v>
      </c>
      <c r="L46" s="183" t="s">
        <v>262</v>
      </c>
      <c r="M46" s="183" t="s">
        <v>262</v>
      </c>
      <c r="N46" s="183" t="s">
        <v>263</v>
      </c>
      <c r="O46" s="183" t="s">
        <v>264</v>
      </c>
      <c r="P46" s="183" t="s">
        <v>265</v>
      </c>
      <c r="Q46" s="183" t="s">
        <v>262</v>
      </c>
      <c r="R46" s="161"/>
    </row>
    <row r="47" spans="2:18" x14ac:dyDescent="0.25">
      <c r="B47" s="138"/>
      <c r="C47" s="138"/>
      <c r="D47" s="138"/>
      <c r="E47" s="138"/>
      <c r="F47" s="138"/>
      <c r="G47" s="138"/>
      <c r="H47" s="138"/>
      <c r="I47" s="138"/>
      <c r="J47" s="183">
        <v>4</v>
      </c>
      <c r="K47" s="183" t="s">
        <v>266</v>
      </c>
      <c r="L47" s="183" t="s">
        <v>267</v>
      </c>
      <c r="M47" s="183" t="s">
        <v>267</v>
      </c>
      <c r="N47" s="183" t="s">
        <v>268</v>
      </c>
      <c r="O47" s="183" t="s">
        <v>269</v>
      </c>
      <c r="P47" s="183" t="s">
        <v>270</v>
      </c>
      <c r="Q47" s="183" t="s">
        <v>267</v>
      </c>
      <c r="R47" s="161"/>
    </row>
    <row r="48" spans="2:18" x14ac:dyDescent="0.25">
      <c r="B48" s="138"/>
      <c r="C48" s="138"/>
      <c r="D48" s="138"/>
      <c r="E48" s="138"/>
      <c r="F48" s="138"/>
      <c r="G48" s="138"/>
      <c r="H48" s="138"/>
      <c r="I48" s="138"/>
      <c r="J48" s="183">
        <v>5</v>
      </c>
      <c r="K48" s="183" t="s">
        <v>271</v>
      </c>
      <c r="L48" s="183" t="s">
        <v>272</v>
      </c>
      <c r="M48" s="183" t="s">
        <v>272</v>
      </c>
      <c r="N48" s="183" t="s">
        <v>273</v>
      </c>
      <c r="O48" s="183" t="s">
        <v>274</v>
      </c>
      <c r="P48" s="183" t="s">
        <v>275</v>
      </c>
      <c r="Q48" s="183" t="s">
        <v>272</v>
      </c>
      <c r="R48" s="161"/>
    </row>
    <row r="49" spans="2:18" x14ac:dyDescent="0.25">
      <c r="B49" s="138"/>
      <c r="C49" s="138"/>
      <c r="D49" s="138"/>
      <c r="E49" s="138"/>
      <c r="F49" s="138"/>
      <c r="G49" s="138"/>
      <c r="H49" s="138"/>
      <c r="I49" s="138"/>
      <c r="J49" s="183">
        <v>6</v>
      </c>
      <c r="K49" s="183" t="s">
        <v>276</v>
      </c>
      <c r="L49" s="183" t="s">
        <v>277</v>
      </c>
      <c r="M49" s="183" t="s">
        <v>277</v>
      </c>
      <c r="N49" s="183" t="s">
        <v>278</v>
      </c>
      <c r="O49" s="183" t="s">
        <v>279</v>
      </c>
      <c r="P49" s="183" t="s">
        <v>280</v>
      </c>
      <c r="Q49" s="183" t="s">
        <v>277</v>
      </c>
      <c r="R49" s="161"/>
    </row>
    <row r="50" spans="2:18" x14ac:dyDescent="0.25">
      <c r="B50" s="138"/>
      <c r="C50" s="138"/>
      <c r="D50" s="138"/>
      <c r="E50" s="138"/>
      <c r="F50" s="138"/>
      <c r="G50" s="138"/>
      <c r="H50" s="138"/>
      <c r="I50" s="138"/>
      <c r="J50" s="183">
        <v>7</v>
      </c>
      <c r="K50" s="183" t="s">
        <v>281</v>
      </c>
      <c r="L50" s="183" t="s">
        <v>282</v>
      </c>
      <c r="M50" s="183" t="s">
        <v>282</v>
      </c>
      <c r="N50" s="183" t="s">
        <v>283</v>
      </c>
      <c r="O50" s="183" t="s">
        <v>284</v>
      </c>
      <c r="P50" s="183" t="s">
        <v>285</v>
      </c>
      <c r="Q50" s="183" t="s">
        <v>282</v>
      </c>
      <c r="R50" s="161"/>
    </row>
    <row r="51" spans="2:18" x14ac:dyDescent="0.25">
      <c r="B51" s="138"/>
      <c r="C51" s="138"/>
      <c r="D51" s="138"/>
      <c r="E51" s="138"/>
      <c r="F51" s="138"/>
      <c r="G51" s="138"/>
      <c r="H51" s="138"/>
      <c r="I51" s="138"/>
      <c r="J51" s="183">
        <v>8</v>
      </c>
      <c r="K51" s="183" t="s">
        <v>286</v>
      </c>
      <c r="L51" s="183" t="s">
        <v>287</v>
      </c>
      <c r="M51" s="183" t="s">
        <v>287</v>
      </c>
      <c r="N51" s="183" t="s">
        <v>288</v>
      </c>
      <c r="O51" s="183" t="s">
        <v>289</v>
      </c>
      <c r="P51" s="183" t="s">
        <v>290</v>
      </c>
      <c r="Q51" s="183" t="s">
        <v>287</v>
      </c>
      <c r="R51" s="161"/>
    </row>
    <row r="52" spans="2:18" x14ac:dyDescent="0.25">
      <c r="B52" s="138"/>
      <c r="C52" s="138"/>
      <c r="D52" s="138"/>
      <c r="E52" s="138"/>
      <c r="F52" s="138"/>
      <c r="G52" s="138"/>
      <c r="H52" s="138"/>
      <c r="I52" s="138"/>
      <c r="J52" s="183">
        <v>9</v>
      </c>
      <c r="K52" s="183" t="s">
        <v>291</v>
      </c>
      <c r="L52" s="183" t="s">
        <v>292</v>
      </c>
      <c r="M52" s="183" t="s">
        <v>292</v>
      </c>
      <c r="N52" s="183" t="s">
        <v>286</v>
      </c>
      <c r="O52" s="183" t="s">
        <v>293</v>
      </c>
      <c r="P52" s="183" t="s">
        <v>294</v>
      </c>
      <c r="Q52" s="183" t="s">
        <v>292</v>
      </c>
      <c r="R52" s="161"/>
    </row>
    <row r="53" spans="2:18" x14ac:dyDescent="0.25">
      <c r="B53" s="138"/>
      <c r="C53" s="138"/>
      <c r="D53" s="138"/>
      <c r="E53" s="138"/>
      <c r="F53" s="138"/>
      <c r="G53" s="138"/>
      <c r="H53" s="138"/>
      <c r="I53" s="138"/>
      <c r="J53" s="183">
        <v>10</v>
      </c>
      <c r="K53" s="183" t="s">
        <v>295</v>
      </c>
      <c r="L53" s="183" t="s">
        <v>296</v>
      </c>
      <c r="M53" s="183" t="s">
        <v>296</v>
      </c>
      <c r="N53" s="183" t="s">
        <v>297</v>
      </c>
      <c r="O53" s="183" t="s">
        <v>298</v>
      </c>
      <c r="P53" s="183" t="s">
        <v>299</v>
      </c>
      <c r="Q53" s="183" t="s">
        <v>296</v>
      </c>
      <c r="R53" s="161"/>
    </row>
    <row r="54" spans="2:18" x14ac:dyDescent="0.25">
      <c r="B54" s="138"/>
      <c r="C54" s="138"/>
      <c r="D54" s="138"/>
      <c r="E54" s="138"/>
      <c r="F54" s="138"/>
      <c r="G54" s="138"/>
      <c r="H54" s="138"/>
      <c r="I54" s="138"/>
      <c r="J54" s="375" t="s">
        <v>464</v>
      </c>
      <c r="K54" s="184"/>
      <c r="L54" s="184"/>
      <c r="M54" s="184"/>
      <c r="N54" s="184"/>
      <c r="O54" s="184"/>
      <c r="P54" s="184"/>
      <c r="Q54" s="184"/>
      <c r="R54" s="161"/>
    </row>
    <row r="55" spans="2:18" x14ac:dyDescent="0.25">
      <c r="B55" s="138"/>
      <c r="C55" s="138"/>
      <c r="D55" s="138"/>
      <c r="E55" s="138"/>
      <c r="F55" s="138"/>
      <c r="G55" s="138"/>
      <c r="H55" s="138"/>
      <c r="I55" s="138"/>
      <c r="J55" s="136" t="s">
        <v>465</v>
      </c>
      <c r="K55" s="376">
        <f>AVERAGE('Profit &amp; Loss St.'!I6:M6)</f>
        <v>1.5058624204784323</v>
      </c>
      <c r="L55" s="377">
        <f>K14/K13</f>
        <v>0.40632299752348133</v>
      </c>
      <c r="M55" s="377">
        <f>('Profit &amp; Loss St.'!H22+'Profit &amp; Loss St.'!H24)/'Profit &amp; Loss St.'!H7</f>
        <v>0.26195145786021196</v>
      </c>
      <c r="N55" s="376">
        <f>AVERAGE('Profit &amp; Loss St.'!I76:M76)</f>
        <v>0.16664379824875147</v>
      </c>
      <c r="O55" s="378">
        <f>('Profit &amp; Loss St.'!H74/'Balance Sheet'!H47)/AVERAGE(21.17%,26.72%)</f>
        <v>6.5717913269322498E-2</v>
      </c>
      <c r="P55" s="378">
        <f>('Profit &amp; Loss St.'!H74/'Balance Sheet'!H47)/8.8%</f>
        <v>0.17881993559476445</v>
      </c>
      <c r="Q55" s="376">
        <v>0.9</v>
      </c>
      <c r="R55" s="161"/>
    </row>
    <row r="56" spans="2:18" x14ac:dyDescent="0.25">
      <c r="B56" s="138"/>
      <c r="C56" s="138"/>
      <c r="D56" s="138"/>
      <c r="E56" s="138"/>
      <c r="F56" s="138"/>
      <c r="G56" s="138"/>
      <c r="H56" s="138"/>
      <c r="I56" s="138"/>
      <c r="J56" s="161"/>
      <c r="K56" s="161" t="s">
        <v>593</v>
      </c>
      <c r="L56" s="161"/>
      <c r="M56" s="161"/>
      <c r="N56" s="161"/>
      <c r="O56" s="161"/>
      <c r="P56" s="161"/>
      <c r="Q56" s="161"/>
      <c r="R56" s="161"/>
    </row>
  </sheetData>
  <mergeCells count="1">
    <mergeCell ref="B4:H4"/>
  </mergeCells>
  <hyperlinks>
    <hyperlink ref="M10" r:id="rId1" xr:uid="{00000000-0004-0000-0100-000000000000}"/>
    <hyperlink ref="M27" r:id="rId2" display="https://www.infrontanalytics.com/fe-en/INE216A01030/Britannia-Industries-Ltd/beta" xr:uid="{00000000-0004-0000-0100-000001000000}"/>
    <hyperlink ref="M28" r:id="rId3" display="https://www.infrontanalytics.com/fe-en/INE239A01016/Nestle-India-Ltd-/beta" xr:uid="{00000000-0004-0000-0100-000002000000}"/>
    <hyperlink ref="M6" r:id="rId4" xr:uid="{00000000-0004-0000-0100-000003000000}"/>
  </hyperlinks>
  <pageMargins left="0.7" right="0.7" top="0.75" bottom="0.75" header="0.3" footer="0.3"/>
  <pageSetup paperSize="9" scale="65" orientation="portrait" r:id="rId5"/>
  <colBreaks count="1" manualBreakCount="1">
    <brk id="8" max="1048575" man="1"/>
  </colBreaks>
  <legacy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34"/>
  <sheetViews>
    <sheetView showGridLines="0" showWhiteSpace="0" zoomScale="90" zoomScaleNormal="90" zoomScalePageLayoutView="60" workbookViewId="0"/>
  </sheetViews>
  <sheetFormatPr defaultRowHeight="15" x14ac:dyDescent="0.25"/>
  <cols>
    <col min="1" max="1" width="6.140625" style="74" customWidth="1"/>
    <col min="2" max="2" width="6" style="75" bestFit="1" customWidth="1"/>
    <col min="3" max="3" width="40.85546875" style="74" bestFit="1" customWidth="1"/>
    <col min="4" max="4" width="13.85546875" style="74" customWidth="1"/>
    <col min="5" max="5" width="12.5703125" style="74" customWidth="1"/>
    <col min="6" max="6" width="13.28515625" style="74" customWidth="1"/>
    <col min="7" max="7" width="12.42578125" style="74" customWidth="1"/>
    <col min="8" max="8" width="10.28515625" style="74" customWidth="1"/>
    <col min="9" max="9" width="14" style="74" customWidth="1"/>
    <col min="10" max="10" width="15" style="74" customWidth="1"/>
    <col min="11" max="11" width="9.140625" style="74"/>
    <col min="12" max="12" width="12.85546875" style="74" bestFit="1" customWidth="1"/>
    <col min="13" max="13" width="13.140625" style="74" customWidth="1"/>
    <col min="14" max="14" width="9.140625" style="74"/>
    <col min="15" max="16" width="12.7109375" style="74" bestFit="1" customWidth="1"/>
    <col min="17" max="17" width="9.140625" style="74"/>
    <col min="18" max="18" width="12.42578125" style="74" customWidth="1"/>
    <col min="19" max="16384" width="9.140625" style="74"/>
  </cols>
  <sheetData>
    <row r="1" spans="1:18" s="495" customFormat="1" x14ac:dyDescent="0.25">
      <c r="A1" s="542" t="str">
        <f>Summary!A1</f>
        <v>ABC Nutri foods</v>
      </c>
      <c r="B1" s="494"/>
    </row>
    <row r="2" spans="1:18" s="497" customFormat="1" x14ac:dyDescent="0.25">
      <c r="A2" s="493" t="s">
        <v>648</v>
      </c>
      <c r="B2" s="496"/>
    </row>
    <row r="4" spans="1:18" ht="18.75" x14ac:dyDescent="0.3">
      <c r="B4" s="649" t="s">
        <v>312</v>
      </c>
      <c r="C4" s="650"/>
      <c r="D4" s="650"/>
      <c r="E4" s="650"/>
      <c r="F4" s="650"/>
      <c r="G4" s="650"/>
      <c r="H4" s="650"/>
      <c r="I4" s="650"/>
      <c r="J4" s="650"/>
      <c r="K4" s="650"/>
      <c r="L4" s="650"/>
      <c r="M4" s="650"/>
      <c r="N4" s="650"/>
      <c r="O4" s="650"/>
      <c r="P4" s="650"/>
      <c r="Q4" s="650"/>
      <c r="R4" s="650"/>
    </row>
    <row r="5" spans="1:18" x14ac:dyDescent="0.25">
      <c r="B5" s="645" t="s">
        <v>125</v>
      </c>
      <c r="C5" s="643" t="s">
        <v>126</v>
      </c>
      <c r="D5" s="632" t="s">
        <v>309</v>
      </c>
      <c r="E5" s="633"/>
      <c r="F5" s="634"/>
      <c r="G5" s="632" t="s">
        <v>310</v>
      </c>
      <c r="H5" s="633"/>
      <c r="I5" s="634"/>
      <c r="J5" s="632" t="s">
        <v>311</v>
      </c>
      <c r="K5" s="633"/>
      <c r="L5" s="634"/>
      <c r="M5" s="632" t="s">
        <v>390</v>
      </c>
      <c r="N5" s="633"/>
      <c r="O5" s="634"/>
      <c r="P5" s="632" t="s">
        <v>496</v>
      </c>
      <c r="Q5" s="633"/>
      <c r="R5" s="634"/>
    </row>
    <row r="6" spans="1:18" ht="30" x14ac:dyDescent="0.25">
      <c r="B6" s="646"/>
      <c r="C6" s="644"/>
      <c r="D6" s="117" t="s">
        <v>302</v>
      </c>
      <c r="E6" s="117" t="s">
        <v>303</v>
      </c>
      <c r="F6" s="117" t="s">
        <v>127</v>
      </c>
      <c r="G6" s="117" t="s">
        <v>302</v>
      </c>
      <c r="H6" s="117" t="s">
        <v>303</v>
      </c>
      <c r="I6" s="117" t="s">
        <v>127</v>
      </c>
      <c r="J6" s="117" t="s">
        <v>302</v>
      </c>
      <c r="K6" s="117" t="s">
        <v>303</v>
      </c>
      <c r="L6" s="117" t="s">
        <v>127</v>
      </c>
      <c r="M6" s="117" t="s">
        <v>302</v>
      </c>
      <c r="N6" s="117" t="s">
        <v>303</v>
      </c>
      <c r="O6" s="117" t="s">
        <v>127</v>
      </c>
      <c r="P6" s="117" t="s">
        <v>302</v>
      </c>
      <c r="Q6" s="117" t="s">
        <v>303</v>
      </c>
      <c r="R6" s="117" t="s">
        <v>127</v>
      </c>
    </row>
    <row r="7" spans="1:18" x14ac:dyDescent="0.25">
      <c r="B7" s="81">
        <v>1</v>
      </c>
      <c r="C7" s="532" t="s">
        <v>102</v>
      </c>
      <c r="D7" s="77">
        <v>8000000</v>
      </c>
      <c r="E7" s="77">
        <v>0</v>
      </c>
      <c r="F7" s="79">
        <f>D7*E7</f>
        <v>0</v>
      </c>
      <c r="G7" s="77">
        <f>D7</f>
        <v>8000000</v>
      </c>
      <c r="H7" s="77"/>
      <c r="I7" s="79">
        <f>G7*H7</f>
        <v>0</v>
      </c>
      <c r="J7" s="77">
        <f>D7*1.05</f>
        <v>8400000</v>
      </c>
      <c r="K7" s="77">
        <v>0</v>
      </c>
      <c r="L7" s="79">
        <f>J7*K7</f>
        <v>0</v>
      </c>
      <c r="M7" s="77">
        <f>J7</f>
        <v>8400000</v>
      </c>
      <c r="N7" s="77">
        <v>0</v>
      </c>
      <c r="O7" s="79">
        <f>M7*N7</f>
        <v>0</v>
      </c>
      <c r="P7" s="77">
        <f>M7</f>
        <v>8400000</v>
      </c>
      <c r="Q7" s="77"/>
      <c r="R7" s="79">
        <f>P7*Q7</f>
        <v>0</v>
      </c>
    </row>
    <row r="8" spans="1:18" x14ac:dyDescent="0.25">
      <c r="A8" s="296"/>
      <c r="B8" s="81">
        <v>2</v>
      </c>
      <c r="C8" s="78" t="s">
        <v>389</v>
      </c>
      <c r="D8" s="77">
        <v>300000</v>
      </c>
      <c r="E8" s="77">
        <v>1</v>
      </c>
      <c r="F8" s="79">
        <f t="shared" ref="F8:F20" si="0">D8*E8</f>
        <v>300000</v>
      </c>
      <c r="G8" s="77">
        <f t="shared" ref="G8:G20" si="1">D8</f>
        <v>300000</v>
      </c>
      <c r="H8" s="77">
        <v>1</v>
      </c>
      <c r="I8" s="79">
        <f t="shared" ref="I8:I20" si="2">G8*H8</f>
        <v>300000</v>
      </c>
      <c r="J8" s="77">
        <f t="shared" ref="J8:J20" si="3">D8*1.05</f>
        <v>315000</v>
      </c>
      <c r="K8" s="77"/>
      <c r="L8" s="79">
        <f t="shared" ref="L8:L20" si="4">J8*K8</f>
        <v>0</v>
      </c>
      <c r="M8" s="77">
        <f t="shared" ref="M8:M20" si="5">J8</f>
        <v>315000</v>
      </c>
      <c r="N8" s="77">
        <v>0</v>
      </c>
      <c r="O8" s="79">
        <f>M8*N8</f>
        <v>0</v>
      </c>
      <c r="P8" s="77">
        <f>M8*1.05</f>
        <v>330750</v>
      </c>
      <c r="Q8" s="77"/>
      <c r="R8" s="79">
        <f>P8*Q8</f>
        <v>0</v>
      </c>
    </row>
    <row r="9" spans="1:18" x14ac:dyDescent="0.25">
      <c r="A9" s="296"/>
      <c r="B9" s="81">
        <v>3</v>
      </c>
      <c r="C9" s="78" t="s">
        <v>391</v>
      </c>
      <c r="D9" s="77">
        <v>300000</v>
      </c>
      <c r="E9" s="77">
        <v>3</v>
      </c>
      <c r="F9" s="79">
        <f t="shared" si="0"/>
        <v>900000</v>
      </c>
      <c r="G9" s="77">
        <f t="shared" si="1"/>
        <v>300000</v>
      </c>
      <c r="H9" s="77"/>
      <c r="I9" s="79">
        <f t="shared" si="2"/>
        <v>0</v>
      </c>
      <c r="J9" s="77">
        <f t="shared" si="3"/>
        <v>315000</v>
      </c>
      <c r="K9" s="77"/>
      <c r="L9" s="79">
        <f t="shared" si="4"/>
        <v>0</v>
      </c>
      <c r="M9" s="77">
        <f t="shared" si="5"/>
        <v>315000</v>
      </c>
      <c r="N9" s="77"/>
      <c r="O9" s="79">
        <f>M9*N9</f>
        <v>0</v>
      </c>
      <c r="P9" s="77">
        <f t="shared" ref="P9:P20" si="6">M9*1.05</f>
        <v>330750</v>
      </c>
      <c r="Q9" s="77"/>
      <c r="R9" s="79">
        <f>P9*Q9</f>
        <v>0</v>
      </c>
    </row>
    <row r="10" spans="1:18" x14ac:dyDescent="0.25">
      <c r="A10" s="296"/>
      <c r="B10" s="81">
        <v>4</v>
      </c>
      <c r="C10" s="78" t="s">
        <v>392</v>
      </c>
      <c r="D10" s="77">
        <f>1805400+70000+50000</f>
        <v>1925400</v>
      </c>
      <c r="E10" s="189">
        <v>0</v>
      </c>
      <c r="F10" s="79">
        <f t="shared" si="0"/>
        <v>0</v>
      </c>
      <c r="G10" s="77">
        <f t="shared" si="1"/>
        <v>1925400</v>
      </c>
      <c r="H10" s="189"/>
      <c r="I10" s="79">
        <f t="shared" si="2"/>
        <v>0</v>
      </c>
      <c r="J10" s="77">
        <f t="shared" si="3"/>
        <v>2021670</v>
      </c>
      <c r="K10" s="189">
        <v>1</v>
      </c>
      <c r="L10" s="79">
        <f t="shared" si="4"/>
        <v>2021670</v>
      </c>
      <c r="M10" s="77">
        <f t="shared" si="5"/>
        <v>2021670</v>
      </c>
      <c r="N10" s="189">
        <v>0</v>
      </c>
      <c r="O10" s="79">
        <f t="shared" ref="O10:O16" si="7">M10*N10</f>
        <v>0</v>
      </c>
      <c r="P10" s="77">
        <f t="shared" si="6"/>
        <v>2122753.5</v>
      </c>
      <c r="Q10" s="189">
        <v>1</v>
      </c>
      <c r="R10" s="79">
        <f t="shared" ref="R10:R16" si="8">P10*Q10</f>
        <v>2122753.5</v>
      </c>
    </row>
    <row r="11" spans="1:18" x14ac:dyDescent="0.25">
      <c r="A11" s="296"/>
      <c r="B11" s="81">
        <v>5</v>
      </c>
      <c r="C11" s="78" t="s">
        <v>393</v>
      </c>
      <c r="D11" s="77">
        <f>200000*1.18</f>
        <v>236000</v>
      </c>
      <c r="E11" s="189">
        <v>3</v>
      </c>
      <c r="F11" s="79">
        <f t="shared" si="0"/>
        <v>708000</v>
      </c>
      <c r="G11" s="77">
        <f t="shared" si="1"/>
        <v>236000</v>
      </c>
      <c r="H11" s="189"/>
      <c r="I11" s="79">
        <f t="shared" si="2"/>
        <v>0</v>
      </c>
      <c r="J11" s="77">
        <f t="shared" si="3"/>
        <v>247800</v>
      </c>
      <c r="K11" s="189">
        <v>1</v>
      </c>
      <c r="L11" s="79">
        <f t="shared" si="4"/>
        <v>247800</v>
      </c>
      <c r="M11" s="77">
        <f t="shared" si="5"/>
        <v>247800</v>
      </c>
      <c r="N11" s="189">
        <v>0</v>
      </c>
      <c r="O11" s="79">
        <f t="shared" si="7"/>
        <v>0</v>
      </c>
      <c r="P11" s="77">
        <f t="shared" si="6"/>
        <v>260190</v>
      </c>
      <c r="Q11" s="189">
        <v>1</v>
      </c>
      <c r="R11" s="79">
        <f t="shared" si="8"/>
        <v>260190</v>
      </c>
    </row>
    <row r="12" spans="1:18" x14ac:dyDescent="0.25">
      <c r="A12" s="296"/>
      <c r="B12" s="81">
        <v>6</v>
      </c>
      <c r="C12" s="78" t="s">
        <v>386</v>
      </c>
      <c r="D12" s="77">
        <f>125000*1.18</f>
        <v>147500</v>
      </c>
      <c r="E12" s="189">
        <v>2</v>
      </c>
      <c r="F12" s="79">
        <f t="shared" si="0"/>
        <v>295000</v>
      </c>
      <c r="G12" s="77">
        <f t="shared" si="1"/>
        <v>147500</v>
      </c>
      <c r="H12" s="189"/>
      <c r="I12" s="79">
        <f t="shared" si="2"/>
        <v>0</v>
      </c>
      <c r="J12" s="77">
        <f t="shared" si="3"/>
        <v>154875</v>
      </c>
      <c r="K12" s="189">
        <v>1</v>
      </c>
      <c r="L12" s="79">
        <f t="shared" si="4"/>
        <v>154875</v>
      </c>
      <c r="M12" s="77">
        <f t="shared" si="5"/>
        <v>154875</v>
      </c>
      <c r="N12" s="189">
        <v>0</v>
      </c>
      <c r="O12" s="79">
        <f t="shared" si="7"/>
        <v>0</v>
      </c>
      <c r="P12" s="77">
        <f t="shared" si="6"/>
        <v>162618.75</v>
      </c>
      <c r="Q12" s="189">
        <v>1</v>
      </c>
      <c r="R12" s="79">
        <f t="shared" si="8"/>
        <v>162618.75</v>
      </c>
    </row>
    <row r="13" spans="1:18" x14ac:dyDescent="0.25">
      <c r="A13" s="296"/>
      <c r="B13" s="81">
        <v>7</v>
      </c>
      <c r="C13" s="78" t="s">
        <v>516</v>
      </c>
      <c r="D13" s="77">
        <f>510000*1.18</f>
        <v>601800</v>
      </c>
      <c r="E13" s="189">
        <v>0</v>
      </c>
      <c r="F13" s="79">
        <f t="shared" si="0"/>
        <v>0</v>
      </c>
      <c r="G13" s="77">
        <f t="shared" si="1"/>
        <v>601800</v>
      </c>
      <c r="H13" s="189">
        <v>2</v>
      </c>
      <c r="I13" s="79">
        <f t="shared" si="2"/>
        <v>1203600</v>
      </c>
      <c r="J13" s="77">
        <f t="shared" si="3"/>
        <v>631890</v>
      </c>
      <c r="K13" s="189">
        <v>0</v>
      </c>
      <c r="L13" s="79">
        <f t="shared" si="4"/>
        <v>0</v>
      </c>
      <c r="M13" s="77">
        <f t="shared" si="5"/>
        <v>631890</v>
      </c>
      <c r="N13" s="189">
        <v>1</v>
      </c>
      <c r="O13" s="79">
        <f t="shared" si="7"/>
        <v>631890</v>
      </c>
      <c r="P13" s="77">
        <f t="shared" si="6"/>
        <v>663484.5</v>
      </c>
      <c r="Q13" s="189">
        <v>1</v>
      </c>
      <c r="R13" s="79">
        <f t="shared" si="8"/>
        <v>663484.5</v>
      </c>
    </row>
    <row r="14" spans="1:18" x14ac:dyDescent="0.25">
      <c r="A14" s="296"/>
      <c r="B14" s="81">
        <v>8</v>
      </c>
      <c r="C14" s="78" t="s">
        <v>387</v>
      </c>
      <c r="D14" s="77">
        <v>350000</v>
      </c>
      <c r="E14" s="189">
        <v>0</v>
      </c>
      <c r="F14" s="79">
        <f t="shared" si="0"/>
        <v>0</v>
      </c>
      <c r="G14" s="77">
        <f t="shared" si="1"/>
        <v>350000</v>
      </c>
      <c r="H14" s="189"/>
      <c r="I14" s="79">
        <f t="shared" si="2"/>
        <v>0</v>
      </c>
      <c r="J14" s="77">
        <f t="shared" si="3"/>
        <v>367500</v>
      </c>
      <c r="K14" s="189"/>
      <c r="L14" s="79">
        <f t="shared" si="4"/>
        <v>0</v>
      </c>
      <c r="M14" s="77">
        <f t="shared" si="5"/>
        <v>367500</v>
      </c>
      <c r="N14" s="189"/>
      <c r="O14" s="79">
        <f t="shared" si="7"/>
        <v>0</v>
      </c>
      <c r="P14" s="77">
        <f t="shared" si="6"/>
        <v>385875</v>
      </c>
      <c r="Q14" s="189">
        <v>1</v>
      </c>
      <c r="R14" s="79">
        <f t="shared" si="8"/>
        <v>385875</v>
      </c>
    </row>
    <row r="15" spans="1:18" x14ac:dyDescent="0.25">
      <c r="A15" s="296"/>
      <c r="B15" s="81">
        <v>9</v>
      </c>
      <c r="C15" s="78" t="s">
        <v>388</v>
      </c>
      <c r="D15" s="77">
        <f>(850000+365000+70000+65000+185000)*1.18</f>
        <v>1811300</v>
      </c>
      <c r="E15" s="189">
        <v>1</v>
      </c>
      <c r="F15" s="79">
        <f t="shared" si="0"/>
        <v>1811300</v>
      </c>
      <c r="G15" s="77">
        <f t="shared" si="1"/>
        <v>1811300</v>
      </c>
      <c r="H15" s="189"/>
      <c r="I15" s="79">
        <f t="shared" si="2"/>
        <v>0</v>
      </c>
      <c r="J15" s="77">
        <f t="shared" si="3"/>
        <v>1901865</v>
      </c>
      <c r="K15" s="189">
        <v>0</v>
      </c>
      <c r="L15" s="79">
        <f t="shared" si="4"/>
        <v>0</v>
      </c>
      <c r="M15" s="77">
        <f t="shared" si="5"/>
        <v>1901865</v>
      </c>
      <c r="N15" s="189">
        <v>1</v>
      </c>
      <c r="O15" s="79">
        <f t="shared" si="7"/>
        <v>1901865</v>
      </c>
      <c r="P15" s="77">
        <f t="shared" si="6"/>
        <v>1996958.25</v>
      </c>
      <c r="Q15" s="189">
        <v>0</v>
      </c>
      <c r="R15" s="79">
        <f t="shared" si="8"/>
        <v>0</v>
      </c>
    </row>
    <row r="16" spans="1:18" x14ac:dyDescent="0.25">
      <c r="A16" s="296"/>
      <c r="B16" s="81">
        <v>10</v>
      </c>
      <c r="C16" s="90" t="s">
        <v>301</v>
      </c>
      <c r="D16" s="190">
        <v>400000</v>
      </c>
      <c r="E16" s="192">
        <v>0</v>
      </c>
      <c r="F16" s="79">
        <f t="shared" si="0"/>
        <v>0</v>
      </c>
      <c r="G16" s="77">
        <f t="shared" si="1"/>
        <v>400000</v>
      </c>
      <c r="H16" s="192"/>
      <c r="I16" s="79">
        <f t="shared" si="2"/>
        <v>0</v>
      </c>
      <c r="J16" s="77">
        <f t="shared" si="3"/>
        <v>420000</v>
      </c>
      <c r="K16" s="192"/>
      <c r="L16" s="79">
        <f t="shared" si="4"/>
        <v>0</v>
      </c>
      <c r="M16" s="77">
        <f t="shared" si="5"/>
        <v>420000</v>
      </c>
      <c r="N16" s="192"/>
      <c r="O16" s="79">
        <f t="shared" si="7"/>
        <v>0</v>
      </c>
      <c r="P16" s="77">
        <f t="shared" si="6"/>
        <v>441000</v>
      </c>
      <c r="Q16" s="192"/>
      <c r="R16" s="79">
        <f t="shared" si="8"/>
        <v>0</v>
      </c>
    </row>
    <row r="17" spans="1:18" x14ac:dyDescent="0.25">
      <c r="A17" s="296"/>
      <c r="B17" s="81">
        <v>11</v>
      </c>
      <c r="C17" s="90" t="s">
        <v>300</v>
      </c>
      <c r="D17" s="190"/>
      <c r="E17" s="192"/>
      <c r="F17" s="79">
        <v>200000</v>
      </c>
      <c r="G17" s="77">
        <f t="shared" si="1"/>
        <v>0</v>
      </c>
      <c r="H17" s="192"/>
      <c r="I17" s="79">
        <f t="shared" si="2"/>
        <v>0</v>
      </c>
      <c r="J17" s="77">
        <f t="shared" si="3"/>
        <v>0</v>
      </c>
      <c r="K17" s="192"/>
      <c r="L17" s="79"/>
      <c r="M17" s="77">
        <f t="shared" si="5"/>
        <v>0</v>
      </c>
      <c r="N17" s="192"/>
      <c r="O17" s="79"/>
      <c r="P17" s="77">
        <f t="shared" si="6"/>
        <v>0</v>
      </c>
      <c r="Q17" s="192"/>
      <c r="R17" s="79"/>
    </row>
    <row r="18" spans="1:18" x14ac:dyDescent="0.25">
      <c r="B18" s="81">
        <v>12</v>
      </c>
      <c r="C18" s="90" t="s">
        <v>548</v>
      </c>
      <c r="D18" s="190">
        <v>1500000</v>
      </c>
      <c r="E18" s="192">
        <v>0</v>
      </c>
      <c r="F18" s="79">
        <f t="shared" si="0"/>
        <v>0</v>
      </c>
      <c r="G18" s="77">
        <f t="shared" si="1"/>
        <v>1500000</v>
      </c>
      <c r="H18" s="192"/>
      <c r="I18" s="79">
        <f t="shared" si="2"/>
        <v>0</v>
      </c>
      <c r="J18" s="77">
        <f t="shared" si="3"/>
        <v>1575000</v>
      </c>
      <c r="K18" s="192"/>
      <c r="L18" s="79">
        <f t="shared" si="4"/>
        <v>0</v>
      </c>
      <c r="M18" s="77">
        <f t="shared" si="5"/>
        <v>1575000</v>
      </c>
      <c r="N18" s="192"/>
      <c r="O18" s="79">
        <f>M18*N18</f>
        <v>0</v>
      </c>
      <c r="P18" s="77">
        <f t="shared" si="6"/>
        <v>1653750</v>
      </c>
      <c r="Q18" s="192"/>
      <c r="R18" s="79">
        <f>P18*Q18</f>
        <v>0</v>
      </c>
    </row>
    <row r="19" spans="1:18" x14ac:dyDescent="0.25">
      <c r="B19" s="81">
        <v>13</v>
      </c>
      <c r="C19" s="90" t="s">
        <v>695</v>
      </c>
      <c r="D19" s="190">
        <v>3500000</v>
      </c>
      <c r="E19" s="192"/>
      <c r="F19" s="191"/>
      <c r="G19" s="77">
        <f t="shared" si="1"/>
        <v>3500000</v>
      </c>
      <c r="H19" s="192">
        <v>0</v>
      </c>
      <c r="I19" s="79">
        <f t="shared" si="2"/>
        <v>0</v>
      </c>
      <c r="J19" s="77">
        <f t="shared" si="3"/>
        <v>3675000</v>
      </c>
      <c r="K19" s="192"/>
      <c r="L19" s="79">
        <f t="shared" si="4"/>
        <v>0</v>
      </c>
      <c r="M19" s="77">
        <f t="shared" si="5"/>
        <v>3675000</v>
      </c>
      <c r="N19" s="192"/>
      <c r="O19" s="79">
        <f>M19*N19</f>
        <v>0</v>
      </c>
      <c r="P19" s="77">
        <f t="shared" si="6"/>
        <v>3858750</v>
      </c>
      <c r="Q19" s="192"/>
      <c r="R19" s="79">
        <f>P19*Q19</f>
        <v>0</v>
      </c>
    </row>
    <row r="20" spans="1:18" x14ac:dyDescent="0.25">
      <c r="B20" s="81">
        <v>14</v>
      </c>
      <c r="C20" s="90" t="s">
        <v>552</v>
      </c>
      <c r="D20" s="190">
        <v>1000000</v>
      </c>
      <c r="E20" s="192">
        <v>0</v>
      </c>
      <c r="F20" s="191">
        <f t="shared" si="0"/>
        <v>0</v>
      </c>
      <c r="G20" s="77">
        <f t="shared" si="1"/>
        <v>1000000</v>
      </c>
      <c r="H20" s="192">
        <v>1</v>
      </c>
      <c r="I20" s="79">
        <f t="shared" si="2"/>
        <v>1000000</v>
      </c>
      <c r="J20" s="77">
        <f t="shared" si="3"/>
        <v>1050000</v>
      </c>
      <c r="K20" s="192"/>
      <c r="L20" s="79">
        <f t="shared" si="4"/>
        <v>0</v>
      </c>
      <c r="M20" s="77">
        <f t="shared" si="5"/>
        <v>1050000</v>
      </c>
      <c r="N20" s="192">
        <v>1</v>
      </c>
      <c r="O20" s="79">
        <f>M20*N20</f>
        <v>1050000</v>
      </c>
      <c r="P20" s="77">
        <f t="shared" si="6"/>
        <v>1102500</v>
      </c>
      <c r="Q20" s="192"/>
      <c r="R20" s="79">
        <f>P20*Q20</f>
        <v>0</v>
      </c>
    </row>
    <row r="21" spans="1:18" ht="15.75" thickBot="1" x14ac:dyDescent="0.3">
      <c r="B21" s="82"/>
      <c r="C21" s="297" t="s">
        <v>123</v>
      </c>
      <c r="D21" s="80"/>
      <c r="E21" s="193"/>
      <c r="F21" s="87">
        <f>SUM(F7:F20)</f>
        <v>4214300</v>
      </c>
      <c r="G21" s="80"/>
      <c r="H21" s="193"/>
      <c r="I21" s="87">
        <f>SUM(I7:I20)</f>
        <v>2503600</v>
      </c>
      <c r="J21" s="80"/>
      <c r="K21" s="193"/>
      <c r="L21" s="87">
        <f>SUM(L7:L20)</f>
        <v>2424345</v>
      </c>
      <c r="M21" s="80"/>
      <c r="N21" s="193"/>
      <c r="O21" s="87">
        <f>SUM(O7:O20)</f>
        <v>3583755</v>
      </c>
      <c r="P21" s="80"/>
      <c r="Q21" s="193"/>
      <c r="R21" s="87">
        <f>SUM(R7:R20)</f>
        <v>3594921.75</v>
      </c>
    </row>
    <row r="23" spans="1:18" ht="15" customHeight="1" x14ac:dyDescent="0.25">
      <c r="B23" s="647" t="s">
        <v>128</v>
      </c>
      <c r="C23" s="648"/>
      <c r="D23" s="648"/>
      <c r="E23" s="648"/>
      <c r="F23" s="648"/>
      <c r="G23" s="648"/>
      <c r="H23" s="648"/>
      <c r="I23" s="648"/>
    </row>
    <row r="24" spans="1:18" ht="15" customHeight="1" x14ac:dyDescent="0.25">
      <c r="B24" s="651" t="s">
        <v>125</v>
      </c>
      <c r="C24" s="643" t="s">
        <v>126</v>
      </c>
      <c r="D24" s="632" t="str">
        <f>D5</f>
        <v>F.Y. 2022-23</v>
      </c>
      <c r="E24" s="633"/>
      <c r="F24" s="634"/>
      <c r="G24" s="632" t="str">
        <f>G5</f>
        <v>F.Y. 2023-24</v>
      </c>
      <c r="H24" s="633"/>
      <c r="I24" s="634"/>
      <c r="J24" s="632" t="str">
        <f>J5</f>
        <v>F.Y. 2024-25</v>
      </c>
      <c r="K24" s="633"/>
      <c r="L24" s="634"/>
      <c r="M24" s="632" t="str">
        <f>M5</f>
        <v>F.Y. 2025-26</v>
      </c>
      <c r="N24" s="633"/>
      <c r="O24" s="634"/>
      <c r="P24" s="632" t="str">
        <f>P5</f>
        <v>F.Y. 2026-27</v>
      </c>
      <c r="Q24" s="633"/>
      <c r="R24" s="634"/>
    </row>
    <row r="25" spans="1:18" ht="30" x14ac:dyDescent="0.25">
      <c r="B25" s="652"/>
      <c r="C25" s="644"/>
      <c r="D25" s="117"/>
      <c r="E25" s="117"/>
      <c r="F25" s="117" t="s">
        <v>127</v>
      </c>
      <c r="G25" s="117"/>
      <c r="H25" s="117"/>
      <c r="I25" s="117" t="s">
        <v>127</v>
      </c>
      <c r="J25" s="117"/>
      <c r="K25" s="117"/>
      <c r="L25" s="117" t="s">
        <v>127</v>
      </c>
      <c r="M25" s="117"/>
      <c r="N25" s="117"/>
      <c r="O25" s="117" t="s">
        <v>127</v>
      </c>
      <c r="P25" s="117"/>
      <c r="Q25" s="117"/>
      <c r="R25" s="117" t="s">
        <v>127</v>
      </c>
    </row>
    <row r="26" spans="1:18" x14ac:dyDescent="0.25">
      <c r="B26" s="81">
        <v>1</v>
      </c>
      <c r="C26" s="78" t="s">
        <v>129</v>
      </c>
      <c r="D26" s="78"/>
      <c r="E26" s="78"/>
      <c r="F26" s="640">
        <v>0</v>
      </c>
      <c r="G26" s="78"/>
      <c r="H26" s="78"/>
      <c r="I26" s="640">
        <v>0</v>
      </c>
      <c r="J26" s="78"/>
      <c r="K26" s="78"/>
      <c r="L26" s="640">
        <f>I26</f>
        <v>0</v>
      </c>
      <c r="M26" s="78"/>
      <c r="N26" s="78"/>
      <c r="O26" s="640">
        <f>L26</f>
        <v>0</v>
      </c>
      <c r="P26" s="78"/>
      <c r="Q26" s="78"/>
      <c r="R26" s="640">
        <v>0</v>
      </c>
    </row>
    <row r="27" spans="1:18" x14ac:dyDescent="0.25">
      <c r="B27" s="81">
        <v>2</v>
      </c>
      <c r="C27" s="78" t="s">
        <v>305</v>
      </c>
      <c r="D27" s="78"/>
      <c r="E27" s="78"/>
      <c r="F27" s="641"/>
      <c r="G27" s="78"/>
      <c r="H27" s="78"/>
      <c r="I27" s="641"/>
      <c r="J27" s="78"/>
      <c r="K27" s="78"/>
      <c r="L27" s="641"/>
      <c r="M27" s="78"/>
      <c r="N27" s="78"/>
      <c r="O27" s="641"/>
      <c r="P27" s="78"/>
      <c r="Q27" s="78"/>
      <c r="R27" s="641"/>
    </row>
    <row r="28" spans="1:18" x14ac:dyDescent="0.25">
      <c r="B28" s="81">
        <v>3</v>
      </c>
      <c r="C28" s="78" t="s">
        <v>306</v>
      </c>
      <c r="D28" s="78"/>
      <c r="E28" s="78"/>
      <c r="F28" s="641"/>
      <c r="G28" s="78"/>
      <c r="H28" s="78"/>
      <c r="I28" s="641"/>
      <c r="J28" s="78"/>
      <c r="K28" s="78"/>
      <c r="L28" s="641"/>
      <c r="M28" s="78"/>
      <c r="N28" s="78"/>
      <c r="O28" s="641"/>
      <c r="P28" s="78"/>
      <c r="Q28" s="78"/>
      <c r="R28" s="641"/>
    </row>
    <row r="29" spans="1:18" x14ac:dyDescent="0.25">
      <c r="B29" s="81">
        <v>4</v>
      </c>
      <c r="C29" s="78" t="s">
        <v>130</v>
      </c>
      <c r="D29" s="78"/>
      <c r="E29" s="78"/>
      <c r="F29" s="641"/>
      <c r="G29" s="78"/>
      <c r="H29" s="78"/>
      <c r="I29" s="641"/>
      <c r="J29" s="78"/>
      <c r="K29" s="78"/>
      <c r="L29" s="641"/>
      <c r="M29" s="78"/>
      <c r="N29" s="78"/>
      <c r="O29" s="641"/>
      <c r="P29" s="78"/>
      <c r="Q29" s="78"/>
      <c r="R29" s="641"/>
    </row>
    <row r="30" spans="1:18" x14ac:dyDescent="0.25">
      <c r="B30" s="81">
        <v>5</v>
      </c>
      <c r="C30" s="78" t="s">
        <v>307</v>
      </c>
      <c r="D30" s="78"/>
      <c r="E30" s="78"/>
      <c r="F30" s="641"/>
      <c r="G30" s="78"/>
      <c r="H30" s="78"/>
      <c r="I30" s="641"/>
      <c r="J30" s="78"/>
      <c r="K30" s="78"/>
      <c r="L30" s="641"/>
      <c r="M30" s="78"/>
      <c r="N30" s="78"/>
      <c r="O30" s="641"/>
      <c r="P30" s="78"/>
      <c r="Q30" s="78"/>
      <c r="R30" s="641"/>
    </row>
    <row r="31" spans="1:18" x14ac:dyDescent="0.25">
      <c r="B31" s="81">
        <v>6</v>
      </c>
      <c r="C31" s="83" t="s">
        <v>304</v>
      </c>
      <c r="D31" s="78"/>
      <c r="E31" s="78"/>
      <c r="F31" s="642"/>
      <c r="G31" s="78"/>
      <c r="H31" s="78"/>
      <c r="I31" s="642"/>
      <c r="J31" s="78"/>
      <c r="K31" s="78"/>
      <c r="L31" s="642"/>
      <c r="M31" s="78"/>
      <c r="N31" s="78"/>
      <c r="O31" s="642"/>
      <c r="P31" s="78"/>
      <c r="Q31" s="78"/>
      <c r="R31" s="642"/>
    </row>
    <row r="32" spans="1:18" ht="15.75" thickBot="1" x14ac:dyDescent="0.3">
      <c r="B32" s="84"/>
      <c r="C32" s="85"/>
      <c r="D32" s="85"/>
      <c r="E32" s="85"/>
      <c r="F32" s="86">
        <f>F26</f>
        <v>0</v>
      </c>
      <c r="G32" s="85"/>
      <c r="H32" s="85"/>
      <c r="I32" s="86">
        <f>I26</f>
        <v>0</v>
      </c>
      <c r="J32" s="85"/>
      <c r="K32" s="85"/>
      <c r="L32" s="86">
        <f>L26</f>
        <v>0</v>
      </c>
      <c r="M32" s="85"/>
      <c r="N32" s="85"/>
      <c r="O32" s="86">
        <f>O26</f>
        <v>0</v>
      </c>
      <c r="P32" s="85"/>
      <c r="Q32" s="85"/>
      <c r="R32" s="86">
        <f>R26</f>
        <v>0</v>
      </c>
    </row>
    <row r="34" spans="3:18" x14ac:dyDescent="0.25">
      <c r="C34" s="117" t="s">
        <v>131</v>
      </c>
      <c r="D34" s="117"/>
      <c r="E34" s="117"/>
      <c r="F34" s="129">
        <f t="shared" ref="F34:R34" si="9">F32+F21</f>
        <v>4214300</v>
      </c>
      <c r="G34" s="129">
        <f t="shared" si="9"/>
        <v>0</v>
      </c>
      <c r="H34" s="129">
        <f t="shared" si="9"/>
        <v>0</v>
      </c>
      <c r="I34" s="129">
        <f t="shared" si="9"/>
        <v>2503600</v>
      </c>
      <c r="J34" s="129">
        <f t="shared" si="9"/>
        <v>0</v>
      </c>
      <c r="K34" s="129">
        <f t="shared" si="9"/>
        <v>0</v>
      </c>
      <c r="L34" s="129">
        <f t="shared" si="9"/>
        <v>2424345</v>
      </c>
      <c r="M34" s="129">
        <f t="shared" si="9"/>
        <v>0</v>
      </c>
      <c r="N34" s="129">
        <f t="shared" si="9"/>
        <v>0</v>
      </c>
      <c r="O34" s="129">
        <f t="shared" si="9"/>
        <v>3583755</v>
      </c>
      <c r="P34" s="129">
        <f t="shared" si="9"/>
        <v>0</v>
      </c>
      <c r="Q34" s="129">
        <f t="shared" si="9"/>
        <v>0</v>
      </c>
      <c r="R34" s="129">
        <f t="shared" si="9"/>
        <v>3594921.75</v>
      </c>
    </row>
  </sheetData>
  <mergeCells count="21">
    <mergeCell ref="L26:L31"/>
    <mergeCell ref="M24:O24"/>
    <mergeCell ref="O26:O31"/>
    <mergeCell ref="P24:R24"/>
    <mergeCell ref="R26:R31"/>
    <mergeCell ref="B4:R4"/>
    <mergeCell ref="P5:R5"/>
    <mergeCell ref="J5:L5"/>
    <mergeCell ref="M5:O5"/>
    <mergeCell ref="C24:C25"/>
    <mergeCell ref="B24:B25"/>
    <mergeCell ref="D24:F24"/>
    <mergeCell ref="J24:L24"/>
    <mergeCell ref="F26:F31"/>
    <mergeCell ref="C5:C6"/>
    <mergeCell ref="B5:B6"/>
    <mergeCell ref="D5:F5"/>
    <mergeCell ref="G5:I5"/>
    <mergeCell ref="G24:I24"/>
    <mergeCell ref="I26:I31"/>
    <mergeCell ref="B23:I23"/>
  </mergeCells>
  <pageMargins left="0.7" right="0.7" top="0.75" bottom="0.75" header="0.3" footer="0.3"/>
  <pageSetup scale="3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45"/>
  <sheetViews>
    <sheetView showGridLines="0" zoomScale="80" zoomScaleNormal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4.28515625" style="74" customWidth="1"/>
    <col min="2" max="2" width="6" style="75" bestFit="1" customWidth="1"/>
    <col min="3" max="3" width="40.85546875" style="74" bestFit="1" customWidth="1"/>
    <col min="4" max="4" width="12.5703125" style="74" bestFit="1" customWidth="1"/>
    <col min="5" max="7" width="12.5703125" style="74" customWidth="1" outlineLevel="1"/>
    <col min="8" max="8" width="12.5703125" style="74" customWidth="1"/>
    <col min="9" max="11" width="13.28515625" style="74" customWidth="1" outlineLevel="1"/>
    <col min="12" max="12" width="13.28515625" style="74" customWidth="1"/>
    <col min="13" max="13" width="12.42578125" style="74" customWidth="1"/>
    <col min="14" max="16" width="12.28515625" style="74" customWidth="1" outlineLevel="1"/>
    <col min="17" max="17" width="12.28515625" style="74" customWidth="1"/>
    <col min="18" max="20" width="12.28515625" style="74" customWidth="1" outlineLevel="1"/>
    <col min="21" max="21" width="14" style="74" customWidth="1"/>
    <col min="22" max="22" width="15" style="74" customWidth="1"/>
    <col min="23" max="23" width="11.5703125" style="74" customWidth="1"/>
    <col min="24" max="24" width="14.42578125" style="74" customWidth="1"/>
    <col min="25" max="25" width="13.140625" style="74" customWidth="1"/>
    <col min="26" max="26" width="13.42578125" style="74" customWidth="1"/>
    <col min="27" max="27" width="13.28515625" style="74" bestFit="1" customWidth="1"/>
    <col min="28" max="28" width="12.7109375" style="74" bestFit="1" customWidth="1"/>
    <col min="29" max="29" width="9.140625" style="74"/>
    <col min="30" max="30" width="12.42578125" style="74" customWidth="1"/>
    <col min="31" max="16384" width="9.140625" style="74"/>
  </cols>
  <sheetData>
    <row r="1" spans="1:30" s="495" customFormat="1" x14ac:dyDescent="0.25">
      <c r="A1" s="542" t="str">
        <f>Summary!A1</f>
        <v>ABC Nutri foods</v>
      </c>
      <c r="B1" s="494"/>
    </row>
    <row r="2" spans="1:30" s="497" customFormat="1" x14ac:dyDescent="0.25">
      <c r="A2" s="493" t="s">
        <v>452</v>
      </c>
      <c r="B2" s="496"/>
    </row>
    <row r="4" spans="1:30" x14ac:dyDescent="0.25">
      <c r="B4" s="645" t="s">
        <v>125</v>
      </c>
      <c r="C4" s="643" t="s">
        <v>556</v>
      </c>
      <c r="D4" s="632" t="s">
        <v>309</v>
      </c>
      <c r="E4" s="633"/>
      <c r="F4" s="633"/>
      <c r="G4" s="633"/>
      <c r="H4" s="633"/>
      <c r="I4" s="633"/>
      <c r="J4" s="633"/>
      <c r="K4" s="633"/>
      <c r="L4" s="634"/>
      <c r="M4" s="632" t="s">
        <v>310</v>
      </c>
      <c r="N4" s="633"/>
      <c r="O4" s="633"/>
      <c r="P4" s="633"/>
      <c r="Q4" s="633"/>
      <c r="R4" s="633"/>
      <c r="S4" s="633"/>
      <c r="T4" s="633"/>
      <c r="U4" s="634"/>
      <c r="V4" s="632" t="s">
        <v>311</v>
      </c>
      <c r="W4" s="633"/>
      <c r="X4" s="634"/>
      <c r="Y4" s="632" t="s">
        <v>390</v>
      </c>
      <c r="Z4" s="633"/>
      <c r="AA4" s="634"/>
      <c r="AB4" s="632" t="s">
        <v>496</v>
      </c>
      <c r="AC4" s="633"/>
      <c r="AD4" s="634"/>
    </row>
    <row r="5" spans="1:30" ht="45" x14ac:dyDescent="0.25">
      <c r="B5" s="646"/>
      <c r="C5" s="644"/>
      <c r="D5" s="117" t="s">
        <v>395</v>
      </c>
      <c r="E5" s="632" t="s">
        <v>396</v>
      </c>
      <c r="F5" s="633"/>
      <c r="G5" s="633"/>
      <c r="H5" s="634"/>
      <c r="I5" s="632" t="s">
        <v>402</v>
      </c>
      <c r="J5" s="633"/>
      <c r="K5" s="633"/>
      <c r="L5" s="634"/>
      <c r="M5" s="117" t="str">
        <f>D5</f>
        <v>Per Month Salary</v>
      </c>
      <c r="N5" s="632" t="s">
        <v>396</v>
      </c>
      <c r="O5" s="633"/>
      <c r="P5" s="633"/>
      <c r="Q5" s="634"/>
      <c r="R5" s="632" t="s">
        <v>402</v>
      </c>
      <c r="S5" s="633"/>
      <c r="T5" s="633"/>
      <c r="U5" s="634"/>
      <c r="V5" s="117" t="str">
        <f>M5</f>
        <v>Per Month Salary</v>
      </c>
      <c r="W5" s="117" t="str">
        <f>N5</f>
        <v>No. of Employees</v>
      </c>
      <c r="X5" s="117" t="str">
        <f>R5</f>
        <v>Estimated Salary (INR)</v>
      </c>
      <c r="Y5" s="117" t="str">
        <f>V5</f>
        <v>Per Month Salary</v>
      </c>
      <c r="Z5" s="117" t="str">
        <f>W5</f>
        <v>No. of Employees</v>
      </c>
      <c r="AA5" s="117" t="str">
        <f>X5</f>
        <v>Estimated Salary (INR)</v>
      </c>
      <c r="AB5" s="117" t="str">
        <f>Y5</f>
        <v>Per Month Salary</v>
      </c>
      <c r="AC5" s="117" t="str">
        <f>Z5</f>
        <v>No. of Employees</v>
      </c>
      <c r="AD5" s="117" t="s">
        <v>127</v>
      </c>
    </row>
    <row r="6" spans="1:30" x14ac:dyDescent="0.25">
      <c r="B6" s="422"/>
      <c r="C6" s="421"/>
      <c r="D6" s="117"/>
      <c r="E6" s="117" t="s">
        <v>532</v>
      </c>
      <c r="F6" s="420" t="s">
        <v>533</v>
      </c>
      <c r="G6" s="420" t="s">
        <v>534</v>
      </c>
      <c r="H6" s="420" t="s">
        <v>535</v>
      </c>
      <c r="I6" s="117" t="s">
        <v>532</v>
      </c>
      <c r="J6" s="420" t="s">
        <v>533</v>
      </c>
      <c r="K6" s="420" t="s">
        <v>534</v>
      </c>
      <c r="L6" s="420" t="s">
        <v>535</v>
      </c>
      <c r="M6" s="117"/>
      <c r="N6" s="117" t="s">
        <v>532</v>
      </c>
      <c r="O6" s="420" t="s">
        <v>533</v>
      </c>
      <c r="P6" s="420" t="s">
        <v>534</v>
      </c>
      <c r="Q6" s="420" t="s">
        <v>535</v>
      </c>
      <c r="R6" s="117" t="s">
        <v>532</v>
      </c>
      <c r="S6" s="420" t="s">
        <v>533</v>
      </c>
      <c r="T6" s="420" t="s">
        <v>534</v>
      </c>
      <c r="U6" s="420" t="s">
        <v>535</v>
      </c>
      <c r="V6" s="117"/>
      <c r="W6" s="117"/>
      <c r="X6" s="420"/>
      <c r="Y6" s="117"/>
      <c r="Z6" s="117"/>
      <c r="AA6" s="420"/>
      <c r="AB6" s="117"/>
      <c r="AC6" s="117"/>
      <c r="AD6" s="420"/>
    </row>
    <row r="7" spans="1:30" x14ac:dyDescent="0.25">
      <c r="B7" s="81">
        <v>1</v>
      </c>
      <c r="C7" s="300" t="s">
        <v>555</v>
      </c>
      <c r="D7" s="77"/>
      <c r="E7" s="77"/>
      <c r="F7" s="77"/>
      <c r="G7" s="77"/>
      <c r="H7" s="77"/>
      <c r="I7" s="189">
        <f>D7*E7*1</f>
        <v>0</v>
      </c>
      <c r="J7" s="189">
        <f>D7*F7*3</f>
        <v>0</v>
      </c>
      <c r="K7" s="189">
        <f>D7*G7*3</f>
        <v>0</v>
      </c>
      <c r="L7" s="79">
        <f>D7*H7*3</f>
        <v>0</v>
      </c>
      <c r="M7" s="77">
        <v>80000</v>
      </c>
      <c r="N7" s="77"/>
      <c r="O7" s="77"/>
      <c r="P7" s="77">
        <v>1</v>
      </c>
      <c r="Q7" s="77">
        <v>1</v>
      </c>
      <c r="R7" s="189">
        <f>M7*N7*3</f>
        <v>0</v>
      </c>
      <c r="S7" s="189">
        <f>M7*O7*3</f>
        <v>0</v>
      </c>
      <c r="T7" s="189">
        <f>M7*P7*3</f>
        <v>240000</v>
      </c>
      <c r="U7" s="79">
        <f>M7*Q7*3</f>
        <v>240000</v>
      </c>
      <c r="V7" s="77">
        <f>M7*(1+V$33)</f>
        <v>84000</v>
      </c>
      <c r="W7" s="77">
        <v>1</v>
      </c>
      <c r="X7" s="79">
        <f t="shared" ref="X7:X14" si="0">V7*W7</f>
        <v>84000</v>
      </c>
      <c r="Y7" s="77">
        <f t="shared" ref="Y7:Y28" si="1">V7*(1+Y$33)</f>
        <v>88200</v>
      </c>
      <c r="Z7" s="77">
        <v>1</v>
      </c>
      <c r="AA7" s="79">
        <f>Y7*Z7</f>
        <v>88200</v>
      </c>
      <c r="AB7" s="77">
        <f t="shared" ref="AB7:AB28" si="2">Y7*(1+AB$33)</f>
        <v>92610</v>
      </c>
      <c r="AC7" s="77">
        <v>1</v>
      </c>
      <c r="AD7" s="79">
        <f>AB7*AC7</f>
        <v>92610</v>
      </c>
    </row>
    <row r="8" spans="1:30" x14ac:dyDescent="0.25">
      <c r="B8" s="81">
        <v>2</v>
      </c>
      <c r="C8" s="300" t="s">
        <v>554</v>
      </c>
      <c r="D8" s="77">
        <v>40000</v>
      </c>
      <c r="E8" s="77"/>
      <c r="F8" s="77">
        <v>1</v>
      </c>
      <c r="G8" s="77">
        <v>1</v>
      </c>
      <c r="H8" s="77">
        <v>1</v>
      </c>
      <c r="I8" s="189">
        <f>D8*E8*1</f>
        <v>0</v>
      </c>
      <c r="J8" s="189">
        <f>D8*F8*3</f>
        <v>120000</v>
      </c>
      <c r="K8" s="189">
        <f>D8*G8*3</f>
        <v>120000</v>
      </c>
      <c r="L8" s="79">
        <f>D8*H8*3</f>
        <v>120000</v>
      </c>
      <c r="M8" s="77">
        <f>D8*(1+M$33)</f>
        <v>42000</v>
      </c>
      <c r="N8" s="77">
        <v>1</v>
      </c>
      <c r="O8" s="77">
        <v>1</v>
      </c>
      <c r="P8" s="77">
        <v>1</v>
      </c>
      <c r="Q8" s="77">
        <v>1</v>
      </c>
      <c r="R8" s="189">
        <f>M8*N8*3</f>
        <v>126000</v>
      </c>
      <c r="S8" s="189">
        <f>M8*O8*3</f>
        <v>126000</v>
      </c>
      <c r="T8" s="189">
        <f>M8*P8*3</f>
        <v>126000</v>
      </c>
      <c r="U8" s="79">
        <f>M8*Q8*3</f>
        <v>126000</v>
      </c>
      <c r="V8" s="77">
        <f>M8*(1+V$33)</f>
        <v>44100</v>
      </c>
      <c r="W8" s="77">
        <v>1</v>
      </c>
      <c r="X8" s="79">
        <f>V8*W8</f>
        <v>44100</v>
      </c>
      <c r="Y8" s="77">
        <f>V8*(1+Y$33)</f>
        <v>46305</v>
      </c>
      <c r="Z8" s="77">
        <v>2</v>
      </c>
      <c r="AA8" s="79">
        <f>Y8*Z8</f>
        <v>92610</v>
      </c>
      <c r="AB8" s="77">
        <f>Y8*(1+AB$33)</f>
        <v>48620.25</v>
      </c>
      <c r="AC8" s="77">
        <v>2</v>
      </c>
      <c r="AD8" s="79">
        <f>AB8*AC8</f>
        <v>97240.5</v>
      </c>
    </row>
    <row r="9" spans="1:30" x14ac:dyDescent="0.25">
      <c r="B9" s="81">
        <v>3</v>
      </c>
      <c r="C9" s="300" t="s">
        <v>397</v>
      </c>
      <c r="D9" s="77"/>
      <c r="E9" s="77"/>
      <c r="F9" s="77"/>
      <c r="G9" s="77"/>
      <c r="H9" s="77"/>
      <c r="I9" s="189">
        <f t="shared" ref="I9:I27" si="3">D9*E9*3</f>
        <v>0</v>
      </c>
      <c r="J9" s="189">
        <f t="shared" ref="J9:J27" si="4">D9*F9*3</f>
        <v>0</v>
      </c>
      <c r="K9" s="189">
        <f t="shared" ref="K9:K27" si="5">D9*G9*3</f>
        <v>0</v>
      </c>
      <c r="L9" s="79">
        <f t="shared" ref="L9:L27" si="6">D9*H9*3</f>
        <v>0</v>
      </c>
      <c r="M9" s="77">
        <v>25000</v>
      </c>
      <c r="N9" s="77">
        <v>1</v>
      </c>
      <c r="O9" s="77">
        <v>1</v>
      </c>
      <c r="P9" s="77">
        <v>1</v>
      </c>
      <c r="Q9" s="77">
        <v>1</v>
      </c>
      <c r="R9" s="189">
        <f t="shared" ref="R9:R27" si="7">M9*N9*3</f>
        <v>75000</v>
      </c>
      <c r="S9" s="189">
        <f t="shared" ref="S9:S27" si="8">M9*O9*3</f>
        <v>75000</v>
      </c>
      <c r="T9" s="189">
        <f t="shared" ref="T9:T27" si="9">M9*P9*3</f>
        <v>75000</v>
      </c>
      <c r="U9" s="79">
        <f t="shared" ref="U9:U27" si="10">M9*Q9*3</f>
        <v>75000</v>
      </c>
      <c r="V9" s="77">
        <f>M9*(1+V$33)</f>
        <v>26250</v>
      </c>
      <c r="W9" s="77">
        <v>1</v>
      </c>
      <c r="X9" s="79">
        <f t="shared" si="0"/>
        <v>26250</v>
      </c>
      <c r="Y9" s="77">
        <f t="shared" si="1"/>
        <v>27562.5</v>
      </c>
      <c r="Z9" s="77">
        <v>2</v>
      </c>
      <c r="AA9" s="79">
        <f>Y9*Z9</f>
        <v>55125</v>
      </c>
      <c r="AB9" s="77">
        <f t="shared" si="2"/>
        <v>28940.625</v>
      </c>
      <c r="AC9" s="77">
        <v>2</v>
      </c>
      <c r="AD9" s="79">
        <f>AB9*AC9</f>
        <v>57881.25</v>
      </c>
    </row>
    <row r="10" spans="1:30" ht="30" x14ac:dyDescent="0.25">
      <c r="A10" s="296"/>
      <c r="B10" s="81">
        <v>4</v>
      </c>
      <c r="C10" s="387" t="s">
        <v>559</v>
      </c>
      <c r="D10" s="77">
        <v>85000</v>
      </c>
      <c r="E10" s="77"/>
      <c r="F10" s="77">
        <v>1</v>
      </c>
      <c r="G10" s="77">
        <v>1</v>
      </c>
      <c r="H10" s="77">
        <v>1</v>
      </c>
      <c r="I10" s="189">
        <f t="shared" si="3"/>
        <v>0</v>
      </c>
      <c r="J10" s="189">
        <f t="shared" si="4"/>
        <v>255000</v>
      </c>
      <c r="K10" s="189">
        <f t="shared" si="5"/>
        <v>255000</v>
      </c>
      <c r="L10" s="79">
        <f t="shared" si="6"/>
        <v>255000</v>
      </c>
      <c r="M10" s="77">
        <f>D10*(1+M$33)</f>
        <v>89250</v>
      </c>
      <c r="N10" s="77">
        <v>1</v>
      </c>
      <c r="O10" s="77">
        <v>1</v>
      </c>
      <c r="P10" s="77">
        <v>1</v>
      </c>
      <c r="Q10" s="77">
        <v>1</v>
      </c>
      <c r="R10" s="189">
        <f t="shared" si="7"/>
        <v>267750</v>
      </c>
      <c r="S10" s="189">
        <f t="shared" si="8"/>
        <v>267750</v>
      </c>
      <c r="T10" s="189">
        <f t="shared" si="9"/>
        <v>267750</v>
      </c>
      <c r="U10" s="79">
        <f t="shared" si="10"/>
        <v>267750</v>
      </c>
      <c r="V10" s="77">
        <f>M10*(1+V$33)</f>
        <v>93712.5</v>
      </c>
      <c r="W10" s="77">
        <v>1</v>
      </c>
      <c r="X10" s="79">
        <f t="shared" si="0"/>
        <v>93712.5</v>
      </c>
      <c r="Y10" s="77">
        <f t="shared" si="1"/>
        <v>98398.125</v>
      </c>
      <c r="Z10" s="77">
        <v>1</v>
      </c>
      <c r="AA10" s="79">
        <f t="shared" ref="AA10:AA28" si="11">Y10*Z10</f>
        <v>98398.125</v>
      </c>
      <c r="AB10" s="77">
        <f t="shared" si="2"/>
        <v>103318.03125</v>
      </c>
      <c r="AC10" s="77">
        <v>1</v>
      </c>
      <c r="AD10" s="79">
        <f t="shared" ref="AD10:AD28" si="12">AB10*AC10</f>
        <v>103318.03125</v>
      </c>
    </row>
    <row r="11" spans="1:30" x14ac:dyDescent="0.25">
      <c r="A11" s="296"/>
      <c r="B11" s="81">
        <v>5</v>
      </c>
      <c r="C11" s="530" t="s">
        <v>424</v>
      </c>
      <c r="D11" s="77">
        <v>60000</v>
      </c>
      <c r="E11" s="77"/>
      <c r="F11" s="77"/>
      <c r="G11" s="77"/>
      <c r="H11" s="77"/>
      <c r="I11" s="189"/>
      <c r="J11" s="189">
        <f t="shared" si="4"/>
        <v>0</v>
      </c>
      <c r="K11" s="189">
        <f t="shared" si="5"/>
        <v>0</v>
      </c>
      <c r="L11" s="79">
        <f t="shared" si="6"/>
        <v>0</v>
      </c>
      <c r="M11" s="77">
        <f>D11*(1+M$33)</f>
        <v>63000</v>
      </c>
      <c r="N11" s="77"/>
      <c r="O11" s="77">
        <v>1</v>
      </c>
      <c r="P11" s="77">
        <v>1</v>
      </c>
      <c r="Q11" s="77">
        <v>1</v>
      </c>
      <c r="R11" s="189">
        <f t="shared" si="7"/>
        <v>0</v>
      </c>
      <c r="S11" s="189">
        <f t="shared" si="8"/>
        <v>189000</v>
      </c>
      <c r="T11" s="189">
        <f t="shared" si="9"/>
        <v>189000</v>
      </c>
      <c r="U11" s="79">
        <f t="shared" si="10"/>
        <v>189000</v>
      </c>
      <c r="V11" s="77">
        <f>M11*(1+V$33)</f>
        <v>66150</v>
      </c>
      <c r="W11" s="77">
        <v>1</v>
      </c>
      <c r="X11" s="79">
        <f t="shared" si="0"/>
        <v>66150</v>
      </c>
      <c r="Y11" s="77">
        <f t="shared" si="1"/>
        <v>69457.5</v>
      </c>
      <c r="Z11" s="77">
        <v>2</v>
      </c>
      <c r="AA11" s="79">
        <f>Y11*Z11</f>
        <v>138915</v>
      </c>
      <c r="AB11" s="77">
        <f t="shared" si="2"/>
        <v>72930.375</v>
      </c>
      <c r="AC11" s="77">
        <v>2</v>
      </c>
      <c r="AD11" s="79">
        <f>AB11*AC11</f>
        <v>145860.75</v>
      </c>
    </row>
    <row r="12" spans="1:30" x14ac:dyDescent="0.25">
      <c r="A12" s="296"/>
      <c r="B12" s="81">
        <v>6</v>
      </c>
      <c r="C12" s="531" t="s">
        <v>635</v>
      </c>
      <c r="D12" s="77">
        <v>30000</v>
      </c>
      <c r="E12" s="77"/>
      <c r="F12" s="77">
        <v>1</v>
      </c>
      <c r="G12" s="77">
        <v>1</v>
      </c>
      <c r="H12" s="77">
        <v>1</v>
      </c>
      <c r="I12" s="189">
        <f t="shared" si="3"/>
        <v>0</v>
      </c>
      <c r="J12" s="189">
        <f t="shared" si="4"/>
        <v>90000</v>
      </c>
      <c r="K12" s="189">
        <f t="shared" si="5"/>
        <v>90000</v>
      </c>
      <c r="L12" s="79">
        <f t="shared" si="6"/>
        <v>90000</v>
      </c>
      <c r="M12" s="77">
        <f>D12*(1+M$33)</f>
        <v>31500</v>
      </c>
      <c r="N12" s="77">
        <v>1</v>
      </c>
      <c r="O12" s="77">
        <v>1</v>
      </c>
      <c r="P12" s="77">
        <v>1</v>
      </c>
      <c r="Q12" s="77">
        <v>1</v>
      </c>
      <c r="R12" s="189">
        <f t="shared" si="7"/>
        <v>94500</v>
      </c>
      <c r="S12" s="189">
        <f t="shared" si="8"/>
        <v>94500</v>
      </c>
      <c r="T12" s="189">
        <f t="shared" si="9"/>
        <v>94500</v>
      </c>
      <c r="U12" s="79">
        <f t="shared" si="10"/>
        <v>94500</v>
      </c>
      <c r="V12" s="77">
        <f t="shared" ref="V12:V21" si="13">M12*(1+V$33)</f>
        <v>33075</v>
      </c>
      <c r="W12" s="77">
        <v>2</v>
      </c>
      <c r="X12" s="79">
        <f t="shared" si="0"/>
        <v>66150</v>
      </c>
      <c r="Y12" s="77">
        <f t="shared" si="1"/>
        <v>34728.75</v>
      </c>
      <c r="Z12" s="77">
        <v>3</v>
      </c>
      <c r="AA12" s="79">
        <f t="shared" si="11"/>
        <v>104186.25</v>
      </c>
      <c r="AB12" s="77">
        <f t="shared" si="2"/>
        <v>36465.1875</v>
      </c>
      <c r="AC12" s="77">
        <v>3</v>
      </c>
      <c r="AD12" s="79">
        <f t="shared" si="12"/>
        <v>109395.5625</v>
      </c>
    </row>
    <row r="13" spans="1:30" x14ac:dyDescent="0.25">
      <c r="A13" s="296"/>
      <c r="B13" s="81">
        <v>7</v>
      </c>
      <c r="C13" s="531" t="s">
        <v>557</v>
      </c>
      <c r="D13" s="77">
        <v>30000</v>
      </c>
      <c r="E13" s="77"/>
      <c r="F13" s="77">
        <v>0</v>
      </c>
      <c r="G13" s="77">
        <v>0</v>
      </c>
      <c r="H13" s="77">
        <v>0</v>
      </c>
      <c r="I13" s="189">
        <f t="shared" si="3"/>
        <v>0</v>
      </c>
      <c r="J13" s="189">
        <f t="shared" si="4"/>
        <v>0</v>
      </c>
      <c r="K13" s="189">
        <f t="shared" si="5"/>
        <v>0</v>
      </c>
      <c r="L13" s="79">
        <f t="shared" si="6"/>
        <v>0</v>
      </c>
      <c r="M13" s="77">
        <f>D13*(1+M$33)</f>
        <v>31500</v>
      </c>
      <c r="N13" s="77">
        <v>0</v>
      </c>
      <c r="O13" s="77">
        <v>1</v>
      </c>
      <c r="P13" s="77">
        <v>1</v>
      </c>
      <c r="Q13" s="77">
        <v>1</v>
      </c>
      <c r="R13" s="189">
        <f t="shared" si="7"/>
        <v>0</v>
      </c>
      <c r="S13" s="189">
        <f t="shared" si="8"/>
        <v>94500</v>
      </c>
      <c r="T13" s="189">
        <f t="shared" si="9"/>
        <v>94500</v>
      </c>
      <c r="U13" s="79">
        <f t="shared" si="10"/>
        <v>94500</v>
      </c>
      <c r="V13" s="77">
        <f t="shared" si="13"/>
        <v>33075</v>
      </c>
      <c r="W13" s="77">
        <v>1</v>
      </c>
      <c r="X13" s="79">
        <f t="shared" si="0"/>
        <v>33075</v>
      </c>
      <c r="Y13" s="77">
        <f t="shared" si="1"/>
        <v>34728.75</v>
      </c>
      <c r="Z13" s="77">
        <v>2</v>
      </c>
      <c r="AA13" s="79">
        <f t="shared" si="11"/>
        <v>69457.5</v>
      </c>
      <c r="AB13" s="77">
        <f t="shared" si="2"/>
        <v>36465.1875</v>
      </c>
      <c r="AC13" s="77">
        <v>2</v>
      </c>
      <c r="AD13" s="79">
        <f t="shared" si="12"/>
        <v>72930.375</v>
      </c>
    </row>
    <row r="14" spans="1:30" x14ac:dyDescent="0.25">
      <c r="A14" s="296"/>
      <c r="B14" s="81">
        <v>8</v>
      </c>
      <c r="C14" s="531" t="s">
        <v>558</v>
      </c>
      <c r="D14" s="77">
        <v>60000</v>
      </c>
      <c r="E14" s="77"/>
      <c r="F14" s="77"/>
      <c r="G14" s="77"/>
      <c r="H14" s="77"/>
      <c r="I14" s="189"/>
      <c r="J14" s="189"/>
      <c r="K14" s="189"/>
      <c r="L14" s="79"/>
      <c r="M14" s="77">
        <v>60000</v>
      </c>
      <c r="N14" s="77"/>
      <c r="O14" s="77">
        <v>1</v>
      </c>
      <c r="P14" s="77">
        <v>1</v>
      </c>
      <c r="Q14" s="77">
        <v>1</v>
      </c>
      <c r="R14" s="189">
        <f t="shared" si="7"/>
        <v>0</v>
      </c>
      <c r="S14" s="189">
        <f t="shared" si="8"/>
        <v>180000</v>
      </c>
      <c r="T14" s="189">
        <f t="shared" si="9"/>
        <v>180000</v>
      </c>
      <c r="U14" s="79">
        <f t="shared" si="10"/>
        <v>180000</v>
      </c>
      <c r="V14" s="77">
        <f t="shared" si="13"/>
        <v>63000</v>
      </c>
      <c r="W14" s="77">
        <v>1</v>
      </c>
      <c r="X14" s="79">
        <f t="shared" si="0"/>
        <v>63000</v>
      </c>
      <c r="Y14" s="77">
        <f t="shared" si="1"/>
        <v>66150</v>
      </c>
      <c r="Z14" s="77">
        <v>2</v>
      </c>
      <c r="AA14" s="79">
        <f>Y14*Z14</f>
        <v>132300</v>
      </c>
      <c r="AB14" s="77">
        <f t="shared" si="2"/>
        <v>69457.5</v>
      </c>
      <c r="AC14" s="77">
        <v>2</v>
      </c>
      <c r="AD14" s="79">
        <f>AB14*AC14</f>
        <v>138915</v>
      </c>
    </row>
    <row r="15" spans="1:30" x14ac:dyDescent="0.25">
      <c r="A15" s="296"/>
      <c r="B15" s="81">
        <v>9</v>
      </c>
      <c r="C15" s="531" t="s">
        <v>636</v>
      </c>
      <c r="D15" s="77">
        <v>20000</v>
      </c>
      <c r="E15" s="77"/>
      <c r="F15" s="77">
        <v>1</v>
      </c>
      <c r="G15" s="77">
        <v>1</v>
      </c>
      <c r="H15" s="77">
        <v>1</v>
      </c>
      <c r="I15" s="189">
        <f t="shared" si="3"/>
        <v>0</v>
      </c>
      <c r="J15" s="189">
        <f t="shared" si="4"/>
        <v>60000</v>
      </c>
      <c r="K15" s="189">
        <f t="shared" si="5"/>
        <v>60000</v>
      </c>
      <c r="L15" s="79">
        <f t="shared" si="6"/>
        <v>60000</v>
      </c>
      <c r="M15" s="77">
        <f t="shared" ref="M15:M22" si="14">D15*(1+M$33)</f>
        <v>21000</v>
      </c>
      <c r="N15" s="77">
        <v>2</v>
      </c>
      <c r="O15" s="77">
        <v>2</v>
      </c>
      <c r="P15" s="77">
        <v>2</v>
      </c>
      <c r="Q15" s="77">
        <v>2</v>
      </c>
      <c r="R15" s="189">
        <f t="shared" si="7"/>
        <v>126000</v>
      </c>
      <c r="S15" s="189">
        <f t="shared" si="8"/>
        <v>126000</v>
      </c>
      <c r="T15" s="189">
        <f t="shared" si="9"/>
        <v>126000</v>
      </c>
      <c r="U15" s="79">
        <f t="shared" si="10"/>
        <v>126000</v>
      </c>
      <c r="V15" s="77">
        <f t="shared" si="13"/>
        <v>22050</v>
      </c>
      <c r="W15" s="77">
        <v>2</v>
      </c>
      <c r="X15" s="79">
        <f t="shared" ref="X15:X28" si="15">V15*W15</f>
        <v>44100</v>
      </c>
      <c r="Y15" s="77">
        <f t="shared" si="1"/>
        <v>23152.5</v>
      </c>
      <c r="Z15" s="77">
        <v>2</v>
      </c>
      <c r="AA15" s="79">
        <f t="shared" si="11"/>
        <v>46305</v>
      </c>
      <c r="AB15" s="77">
        <f t="shared" si="2"/>
        <v>24310.125</v>
      </c>
      <c r="AC15" s="77">
        <v>2</v>
      </c>
      <c r="AD15" s="79">
        <f t="shared" si="12"/>
        <v>48620.25</v>
      </c>
    </row>
    <row r="16" spans="1:30" x14ac:dyDescent="0.25">
      <c r="A16" s="296"/>
      <c r="B16" s="81">
        <v>10</v>
      </c>
      <c r="C16" s="531" t="s">
        <v>469</v>
      </c>
      <c r="D16" s="77">
        <v>80000</v>
      </c>
      <c r="E16" s="77"/>
      <c r="F16" s="77">
        <v>0</v>
      </c>
      <c r="G16" s="77">
        <v>1</v>
      </c>
      <c r="H16" s="77">
        <v>1</v>
      </c>
      <c r="I16" s="189">
        <f t="shared" si="3"/>
        <v>0</v>
      </c>
      <c r="J16" s="189">
        <f t="shared" si="4"/>
        <v>0</v>
      </c>
      <c r="K16" s="189">
        <f t="shared" si="5"/>
        <v>240000</v>
      </c>
      <c r="L16" s="79">
        <f t="shared" si="6"/>
        <v>240000</v>
      </c>
      <c r="M16" s="77">
        <f t="shared" si="14"/>
        <v>84000</v>
      </c>
      <c r="N16" s="77">
        <v>1</v>
      </c>
      <c r="O16" s="77">
        <v>1</v>
      </c>
      <c r="P16" s="77">
        <v>1</v>
      </c>
      <c r="Q16" s="77">
        <v>1</v>
      </c>
      <c r="R16" s="189">
        <f t="shared" si="7"/>
        <v>252000</v>
      </c>
      <c r="S16" s="189">
        <f t="shared" si="8"/>
        <v>252000</v>
      </c>
      <c r="T16" s="189">
        <f t="shared" si="9"/>
        <v>252000</v>
      </c>
      <c r="U16" s="79">
        <f t="shared" si="10"/>
        <v>252000</v>
      </c>
      <c r="V16" s="77">
        <f t="shared" si="13"/>
        <v>88200</v>
      </c>
      <c r="W16" s="77">
        <v>1</v>
      </c>
      <c r="X16" s="79">
        <f t="shared" si="15"/>
        <v>88200</v>
      </c>
      <c r="Y16" s="77">
        <f t="shared" si="1"/>
        <v>92610</v>
      </c>
      <c r="Z16" s="77">
        <v>1</v>
      </c>
      <c r="AA16" s="79">
        <f t="shared" si="11"/>
        <v>92610</v>
      </c>
      <c r="AB16" s="77">
        <f t="shared" si="2"/>
        <v>97240.5</v>
      </c>
      <c r="AC16" s="77">
        <v>1</v>
      </c>
      <c r="AD16" s="79">
        <f t="shared" si="12"/>
        <v>97240.5</v>
      </c>
    </row>
    <row r="17" spans="1:30" x14ac:dyDescent="0.25">
      <c r="A17" s="296"/>
      <c r="B17" s="81">
        <v>11</v>
      </c>
      <c r="C17" s="531" t="s">
        <v>637</v>
      </c>
      <c r="D17" s="77">
        <v>30000</v>
      </c>
      <c r="E17" s="77"/>
      <c r="F17" s="77">
        <v>3</v>
      </c>
      <c r="G17" s="77">
        <v>3</v>
      </c>
      <c r="H17" s="77">
        <v>3</v>
      </c>
      <c r="I17" s="189">
        <f t="shared" si="3"/>
        <v>0</v>
      </c>
      <c r="J17" s="189">
        <f t="shared" si="4"/>
        <v>270000</v>
      </c>
      <c r="K17" s="189">
        <f t="shared" si="5"/>
        <v>270000</v>
      </c>
      <c r="L17" s="79">
        <f t="shared" si="6"/>
        <v>270000</v>
      </c>
      <c r="M17" s="77">
        <f t="shared" si="14"/>
        <v>31500</v>
      </c>
      <c r="N17" s="77">
        <v>3</v>
      </c>
      <c r="O17" s="77">
        <v>3</v>
      </c>
      <c r="P17" s="77">
        <v>3</v>
      </c>
      <c r="Q17" s="77">
        <v>3</v>
      </c>
      <c r="R17" s="189">
        <f t="shared" si="7"/>
        <v>283500</v>
      </c>
      <c r="S17" s="189">
        <f t="shared" si="8"/>
        <v>283500</v>
      </c>
      <c r="T17" s="189">
        <f t="shared" si="9"/>
        <v>283500</v>
      </c>
      <c r="U17" s="79">
        <f t="shared" si="10"/>
        <v>283500</v>
      </c>
      <c r="V17" s="77">
        <f t="shared" si="13"/>
        <v>33075</v>
      </c>
      <c r="W17" s="77">
        <v>3</v>
      </c>
      <c r="X17" s="79">
        <f t="shared" si="15"/>
        <v>99225</v>
      </c>
      <c r="Y17" s="77">
        <f t="shared" si="1"/>
        <v>34728.75</v>
      </c>
      <c r="Z17" s="77">
        <v>4</v>
      </c>
      <c r="AA17" s="79">
        <f t="shared" si="11"/>
        <v>138915</v>
      </c>
      <c r="AB17" s="77">
        <f t="shared" si="2"/>
        <v>36465.1875</v>
      </c>
      <c r="AC17" s="77">
        <v>4</v>
      </c>
      <c r="AD17" s="79">
        <f t="shared" si="12"/>
        <v>145860.75</v>
      </c>
    </row>
    <row r="18" spans="1:30" x14ac:dyDescent="0.25">
      <c r="A18" s="296"/>
      <c r="B18" s="81">
        <v>12</v>
      </c>
      <c r="C18" s="300" t="s">
        <v>398</v>
      </c>
      <c r="D18" s="77">
        <v>12000</v>
      </c>
      <c r="E18" s="77"/>
      <c r="F18" s="77">
        <v>7</v>
      </c>
      <c r="G18" s="77">
        <v>7</v>
      </c>
      <c r="H18" s="77">
        <v>7</v>
      </c>
      <c r="I18" s="189">
        <f t="shared" si="3"/>
        <v>0</v>
      </c>
      <c r="J18" s="189">
        <f t="shared" si="4"/>
        <v>252000</v>
      </c>
      <c r="K18" s="189">
        <f t="shared" si="5"/>
        <v>252000</v>
      </c>
      <c r="L18" s="79">
        <f t="shared" si="6"/>
        <v>252000</v>
      </c>
      <c r="M18" s="77">
        <f t="shared" si="14"/>
        <v>12600</v>
      </c>
      <c r="N18" s="77">
        <v>12</v>
      </c>
      <c r="O18" s="77">
        <v>12</v>
      </c>
      <c r="P18" s="77">
        <v>12</v>
      </c>
      <c r="Q18" s="77">
        <v>12</v>
      </c>
      <c r="R18" s="189">
        <f t="shared" si="7"/>
        <v>453600</v>
      </c>
      <c r="S18" s="189">
        <f t="shared" si="8"/>
        <v>453600</v>
      </c>
      <c r="T18" s="189">
        <f t="shared" si="9"/>
        <v>453600</v>
      </c>
      <c r="U18" s="79">
        <f t="shared" si="10"/>
        <v>453600</v>
      </c>
      <c r="V18" s="77">
        <f t="shared" si="13"/>
        <v>13230</v>
      </c>
      <c r="W18" s="77">
        <v>14</v>
      </c>
      <c r="X18" s="79">
        <f t="shared" si="15"/>
        <v>185220</v>
      </c>
      <c r="Y18" s="77">
        <f t="shared" si="1"/>
        <v>13891.5</v>
      </c>
      <c r="Z18" s="77">
        <v>16</v>
      </c>
      <c r="AA18" s="79">
        <f t="shared" si="11"/>
        <v>222264</v>
      </c>
      <c r="AB18" s="77">
        <f t="shared" si="2"/>
        <v>14586.075000000001</v>
      </c>
      <c r="AC18" s="77">
        <v>18</v>
      </c>
      <c r="AD18" s="79">
        <f t="shared" si="12"/>
        <v>262549.35000000003</v>
      </c>
    </row>
    <row r="19" spans="1:30" x14ac:dyDescent="0.25">
      <c r="A19" s="296"/>
      <c r="B19" s="81">
        <v>13</v>
      </c>
      <c r="C19" s="301" t="s">
        <v>122</v>
      </c>
      <c r="D19" s="190">
        <v>12000</v>
      </c>
      <c r="E19" s="190"/>
      <c r="F19" s="190">
        <v>2</v>
      </c>
      <c r="G19" s="190">
        <v>2</v>
      </c>
      <c r="H19" s="190">
        <v>2</v>
      </c>
      <c r="I19" s="189">
        <f t="shared" si="3"/>
        <v>0</v>
      </c>
      <c r="J19" s="189">
        <f t="shared" si="4"/>
        <v>72000</v>
      </c>
      <c r="K19" s="189">
        <f t="shared" si="5"/>
        <v>72000</v>
      </c>
      <c r="L19" s="79">
        <f t="shared" si="6"/>
        <v>72000</v>
      </c>
      <c r="M19" s="77">
        <f t="shared" si="14"/>
        <v>12600</v>
      </c>
      <c r="N19" s="190">
        <v>3</v>
      </c>
      <c r="O19" s="190">
        <v>3</v>
      </c>
      <c r="P19" s="190">
        <v>3</v>
      </c>
      <c r="Q19" s="190">
        <v>3</v>
      </c>
      <c r="R19" s="189">
        <f t="shared" si="7"/>
        <v>113400</v>
      </c>
      <c r="S19" s="189">
        <f t="shared" si="8"/>
        <v>113400</v>
      </c>
      <c r="T19" s="189">
        <f t="shared" si="9"/>
        <v>113400</v>
      </c>
      <c r="U19" s="79">
        <f t="shared" si="10"/>
        <v>113400</v>
      </c>
      <c r="V19" s="77">
        <f t="shared" si="13"/>
        <v>13230</v>
      </c>
      <c r="W19" s="190">
        <v>4</v>
      </c>
      <c r="X19" s="79">
        <f t="shared" si="15"/>
        <v>52920</v>
      </c>
      <c r="Y19" s="77">
        <f t="shared" si="1"/>
        <v>13891.5</v>
      </c>
      <c r="Z19" s="190">
        <v>5</v>
      </c>
      <c r="AA19" s="79">
        <f t="shared" si="11"/>
        <v>69457.5</v>
      </c>
      <c r="AB19" s="77">
        <f t="shared" si="2"/>
        <v>14586.075000000001</v>
      </c>
      <c r="AC19" s="190">
        <v>6</v>
      </c>
      <c r="AD19" s="79">
        <f t="shared" si="12"/>
        <v>87516.450000000012</v>
      </c>
    </row>
    <row r="20" spans="1:30" x14ac:dyDescent="0.25">
      <c r="A20" s="296"/>
      <c r="B20" s="81">
        <v>14</v>
      </c>
      <c r="C20" s="301" t="s">
        <v>399</v>
      </c>
      <c r="D20" s="190">
        <v>12000</v>
      </c>
      <c r="E20" s="190"/>
      <c r="F20" s="190">
        <v>2</v>
      </c>
      <c r="G20" s="190">
        <v>2</v>
      </c>
      <c r="H20" s="190">
        <v>2</v>
      </c>
      <c r="I20" s="189">
        <f t="shared" si="3"/>
        <v>0</v>
      </c>
      <c r="J20" s="189">
        <f t="shared" si="4"/>
        <v>72000</v>
      </c>
      <c r="K20" s="189">
        <f t="shared" si="5"/>
        <v>72000</v>
      </c>
      <c r="L20" s="79">
        <f t="shared" si="6"/>
        <v>72000</v>
      </c>
      <c r="M20" s="77">
        <f t="shared" si="14"/>
        <v>12600</v>
      </c>
      <c r="N20" s="190">
        <v>2</v>
      </c>
      <c r="O20" s="190">
        <v>2</v>
      </c>
      <c r="P20" s="190">
        <v>2</v>
      </c>
      <c r="Q20" s="190">
        <v>2</v>
      </c>
      <c r="R20" s="189">
        <f t="shared" si="7"/>
        <v>75600</v>
      </c>
      <c r="S20" s="189">
        <f t="shared" si="8"/>
        <v>75600</v>
      </c>
      <c r="T20" s="189">
        <f t="shared" si="9"/>
        <v>75600</v>
      </c>
      <c r="U20" s="79">
        <f t="shared" si="10"/>
        <v>75600</v>
      </c>
      <c r="V20" s="77">
        <f t="shared" si="13"/>
        <v>13230</v>
      </c>
      <c r="W20" s="190">
        <v>2</v>
      </c>
      <c r="X20" s="79">
        <f t="shared" si="15"/>
        <v>26460</v>
      </c>
      <c r="Y20" s="77">
        <f t="shared" si="1"/>
        <v>13891.5</v>
      </c>
      <c r="Z20" s="190">
        <v>4</v>
      </c>
      <c r="AA20" s="79">
        <f t="shared" si="11"/>
        <v>55566</v>
      </c>
      <c r="AB20" s="77">
        <f t="shared" si="2"/>
        <v>14586.075000000001</v>
      </c>
      <c r="AC20" s="190">
        <v>4</v>
      </c>
      <c r="AD20" s="79">
        <f t="shared" si="12"/>
        <v>58344.3</v>
      </c>
    </row>
    <row r="21" spans="1:30" x14ac:dyDescent="0.25">
      <c r="A21" s="299"/>
      <c r="B21" s="81">
        <v>15</v>
      </c>
      <c r="C21" s="301" t="s">
        <v>484</v>
      </c>
      <c r="D21" s="190">
        <v>275000</v>
      </c>
      <c r="E21" s="77">
        <v>0</v>
      </c>
      <c r="F21" s="190"/>
      <c r="G21" s="190"/>
      <c r="H21" s="190"/>
      <c r="I21" s="189">
        <f>D21*E21*1</f>
        <v>0</v>
      </c>
      <c r="J21" s="189">
        <f t="shared" si="4"/>
        <v>0</v>
      </c>
      <c r="K21" s="189">
        <f t="shared" si="5"/>
        <v>0</v>
      </c>
      <c r="L21" s="79">
        <f t="shared" si="6"/>
        <v>0</v>
      </c>
      <c r="M21" s="77">
        <f t="shared" si="14"/>
        <v>288750</v>
      </c>
      <c r="N21" s="190"/>
      <c r="O21" s="190"/>
      <c r="P21" s="190"/>
      <c r="Q21" s="190"/>
      <c r="R21" s="189">
        <f t="shared" si="7"/>
        <v>0</v>
      </c>
      <c r="S21" s="189">
        <f t="shared" si="8"/>
        <v>0</v>
      </c>
      <c r="T21" s="189">
        <f t="shared" si="9"/>
        <v>0</v>
      </c>
      <c r="U21" s="79">
        <f t="shared" si="10"/>
        <v>0</v>
      </c>
      <c r="V21" s="77">
        <f t="shared" si="13"/>
        <v>303187.5</v>
      </c>
      <c r="W21" s="190"/>
      <c r="X21" s="79">
        <f t="shared" si="15"/>
        <v>0</v>
      </c>
      <c r="Y21" s="77">
        <f t="shared" si="1"/>
        <v>318346.875</v>
      </c>
      <c r="Z21" s="190"/>
      <c r="AA21" s="79">
        <f t="shared" si="11"/>
        <v>0</v>
      </c>
      <c r="AB21" s="77">
        <f t="shared" si="2"/>
        <v>334264.21875</v>
      </c>
      <c r="AC21" s="190"/>
      <c r="AD21" s="79">
        <f t="shared" si="12"/>
        <v>0</v>
      </c>
    </row>
    <row r="22" spans="1:30" x14ac:dyDescent="0.25">
      <c r="A22" s="299"/>
      <c r="B22" s="81">
        <v>16</v>
      </c>
      <c r="C22" s="301" t="s">
        <v>400</v>
      </c>
      <c r="D22" s="190">
        <v>125000</v>
      </c>
      <c r="E22" s="77">
        <v>0</v>
      </c>
      <c r="F22" s="190">
        <v>0</v>
      </c>
      <c r="G22" s="190">
        <v>0</v>
      </c>
      <c r="H22" s="190">
        <v>0</v>
      </c>
      <c r="I22" s="189">
        <f>D22*E22*1</f>
        <v>0</v>
      </c>
      <c r="J22" s="189">
        <f t="shared" si="4"/>
        <v>0</v>
      </c>
      <c r="K22" s="189">
        <f t="shared" si="5"/>
        <v>0</v>
      </c>
      <c r="L22" s="79">
        <f t="shared" si="6"/>
        <v>0</v>
      </c>
      <c r="M22" s="77">
        <f t="shared" si="14"/>
        <v>131250</v>
      </c>
      <c r="N22" s="190">
        <v>0</v>
      </c>
      <c r="O22" s="190">
        <v>0</v>
      </c>
      <c r="P22" s="190">
        <v>0</v>
      </c>
      <c r="Q22" s="190">
        <v>1</v>
      </c>
      <c r="R22" s="189">
        <v>1</v>
      </c>
      <c r="S22" s="189">
        <v>1</v>
      </c>
      <c r="T22" s="189">
        <v>2</v>
      </c>
      <c r="U22" s="79">
        <f t="shared" si="10"/>
        <v>393750</v>
      </c>
      <c r="V22" s="77">
        <v>125000</v>
      </c>
      <c r="W22" s="190">
        <v>1</v>
      </c>
      <c r="X22" s="79">
        <f t="shared" si="15"/>
        <v>125000</v>
      </c>
      <c r="Y22" s="77">
        <f t="shared" si="1"/>
        <v>131250</v>
      </c>
      <c r="Z22" s="190">
        <v>2</v>
      </c>
      <c r="AA22" s="79">
        <f t="shared" si="11"/>
        <v>262500</v>
      </c>
      <c r="AB22" s="77">
        <f t="shared" si="2"/>
        <v>137812.5</v>
      </c>
      <c r="AC22" s="190">
        <v>2</v>
      </c>
      <c r="AD22" s="79">
        <f t="shared" si="12"/>
        <v>275625</v>
      </c>
    </row>
    <row r="23" spans="1:30" x14ac:dyDescent="0.25">
      <c r="A23" s="299"/>
      <c r="B23" s="81">
        <v>17</v>
      </c>
      <c r="C23" s="301" t="s">
        <v>401</v>
      </c>
      <c r="D23" s="190">
        <v>60000</v>
      </c>
      <c r="E23" s="77">
        <v>0</v>
      </c>
      <c r="F23" s="190">
        <v>0</v>
      </c>
      <c r="G23" s="190">
        <v>0</v>
      </c>
      <c r="H23" s="190">
        <v>0</v>
      </c>
      <c r="I23" s="189">
        <f>D23*E23*1</f>
        <v>0</v>
      </c>
      <c r="J23" s="189">
        <f t="shared" si="4"/>
        <v>0</v>
      </c>
      <c r="K23" s="189">
        <f t="shared" si="5"/>
        <v>0</v>
      </c>
      <c r="L23" s="79">
        <f t="shared" si="6"/>
        <v>0</v>
      </c>
      <c r="M23" s="77">
        <f t="shared" ref="M23:M28" si="16">D23*(1+M$33)</f>
        <v>63000</v>
      </c>
      <c r="N23" s="190">
        <v>4</v>
      </c>
      <c r="O23" s="190">
        <v>4</v>
      </c>
      <c r="P23" s="190">
        <v>4</v>
      </c>
      <c r="Q23" s="190">
        <v>4</v>
      </c>
      <c r="R23" s="189">
        <f t="shared" si="7"/>
        <v>756000</v>
      </c>
      <c r="S23" s="189">
        <f t="shared" si="8"/>
        <v>756000</v>
      </c>
      <c r="T23" s="189">
        <f t="shared" si="9"/>
        <v>756000</v>
      </c>
      <c r="U23" s="79">
        <f t="shared" si="10"/>
        <v>756000</v>
      </c>
      <c r="V23" s="77">
        <f t="shared" ref="V23:V28" si="17">M23*(1+V$33)</f>
        <v>66150</v>
      </c>
      <c r="W23" s="190">
        <v>6</v>
      </c>
      <c r="X23" s="79">
        <f t="shared" si="15"/>
        <v>396900</v>
      </c>
      <c r="Y23" s="77">
        <f t="shared" si="1"/>
        <v>69457.5</v>
      </c>
      <c r="Z23" s="190">
        <v>7</v>
      </c>
      <c r="AA23" s="79">
        <f t="shared" si="11"/>
        <v>486202.5</v>
      </c>
      <c r="AB23" s="77">
        <f t="shared" si="2"/>
        <v>72930.375</v>
      </c>
      <c r="AC23" s="190">
        <v>7</v>
      </c>
      <c r="AD23" s="79">
        <f t="shared" si="12"/>
        <v>510512.625</v>
      </c>
    </row>
    <row r="24" spans="1:30" x14ac:dyDescent="0.25">
      <c r="A24" s="299"/>
      <c r="B24" s="81">
        <v>18</v>
      </c>
      <c r="C24" s="301" t="s">
        <v>638</v>
      </c>
      <c r="D24" s="190">
        <v>50000</v>
      </c>
      <c r="E24" s="77">
        <v>0</v>
      </c>
      <c r="F24" s="190">
        <v>0</v>
      </c>
      <c r="G24" s="190">
        <v>0</v>
      </c>
      <c r="H24" s="190">
        <v>0</v>
      </c>
      <c r="I24" s="189">
        <f t="shared" si="3"/>
        <v>0</v>
      </c>
      <c r="J24" s="189">
        <f t="shared" si="4"/>
        <v>0</v>
      </c>
      <c r="K24" s="189">
        <f t="shared" si="5"/>
        <v>0</v>
      </c>
      <c r="L24" s="79">
        <f t="shared" si="6"/>
        <v>0</v>
      </c>
      <c r="M24" s="77">
        <f t="shared" si="16"/>
        <v>52500</v>
      </c>
      <c r="N24" s="190">
        <v>0</v>
      </c>
      <c r="O24" s="190">
        <v>0</v>
      </c>
      <c r="P24" s="190">
        <v>1</v>
      </c>
      <c r="Q24" s="190">
        <v>1</v>
      </c>
      <c r="R24" s="189">
        <f t="shared" si="7"/>
        <v>0</v>
      </c>
      <c r="S24" s="189">
        <f t="shared" si="8"/>
        <v>0</v>
      </c>
      <c r="T24" s="189">
        <f t="shared" si="9"/>
        <v>157500</v>
      </c>
      <c r="U24" s="79">
        <f t="shared" si="10"/>
        <v>157500</v>
      </c>
      <c r="V24" s="77">
        <f t="shared" si="17"/>
        <v>55125</v>
      </c>
      <c r="W24" s="190">
        <v>1</v>
      </c>
      <c r="X24" s="79">
        <f t="shared" si="15"/>
        <v>55125</v>
      </c>
      <c r="Y24" s="77">
        <f t="shared" si="1"/>
        <v>57881.25</v>
      </c>
      <c r="Z24" s="190">
        <v>1</v>
      </c>
      <c r="AA24" s="79">
        <f t="shared" si="11"/>
        <v>57881.25</v>
      </c>
      <c r="AB24" s="77">
        <f t="shared" si="2"/>
        <v>60775.3125</v>
      </c>
      <c r="AC24" s="190">
        <v>1</v>
      </c>
      <c r="AD24" s="79">
        <f t="shared" si="12"/>
        <v>60775.3125</v>
      </c>
    </row>
    <row r="25" spans="1:30" x14ac:dyDescent="0.25">
      <c r="A25" s="299"/>
      <c r="B25" s="81">
        <v>19</v>
      </c>
      <c r="C25" s="301" t="s">
        <v>403</v>
      </c>
      <c r="D25" s="190">
        <v>50000</v>
      </c>
      <c r="E25" s="77">
        <v>0</v>
      </c>
      <c r="F25" s="190"/>
      <c r="G25" s="190"/>
      <c r="H25" s="190"/>
      <c r="I25" s="189">
        <f t="shared" si="3"/>
        <v>0</v>
      </c>
      <c r="J25" s="189">
        <f t="shared" si="4"/>
        <v>0</v>
      </c>
      <c r="K25" s="189">
        <f t="shared" si="5"/>
        <v>0</v>
      </c>
      <c r="L25" s="79">
        <f t="shared" si="6"/>
        <v>0</v>
      </c>
      <c r="M25" s="77">
        <f t="shared" si="16"/>
        <v>52500</v>
      </c>
      <c r="N25" s="190"/>
      <c r="O25" s="190"/>
      <c r="P25" s="190"/>
      <c r="Q25" s="190"/>
      <c r="R25" s="189">
        <f t="shared" si="7"/>
        <v>0</v>
      </c>
      <c r="S25" s="189">
        <f t="shared" si="8"/>
        <v>0</v>
      </c>
      <c r="T25" s="189">
        <f t="shared" si="9"/>
        <v>0</v>
      </c>
      <c r="U25" s="79">
        <f t="shared" si="10"/>
        <v>0</v>
      </c>
      <c r="V25" s="77">
        <f t="shared" si="17"/>
        <v>55125</v>
      </c>
      <c r="W25" s="190"/>
      <c r="X25" s="79">
        <f t="shared" si="15"/>
        <v>0</v>
      </c>
      <c r="Y25" s="77">
        <f t="shared" si="1"/>
        <v>57881.25</v>
      </c>
      <c r="Z25" s="190"/>
      <c r="AA25" s="79">
        <f t="shared" si="11"/>
        <v>0</v>
      </c>
      <c r="AB25" s="77">
        <f t="shared" si="2"/>
        <v>60775.3125</v>
      </c>
      <c r="AC25" s="190"/>
      <c r="AD25" s="79">
        <f t="shared" si="12"/>
        <v>0</v>
      </c>
    </row>
    <row r="26" spans="1:30" x14ac:dyDescent="0.25">
      <c r="A26" s="299"/>
      <c r="B26" s="81">
        <v>20</v>
      </c>
      <c r="C26" s="301" t="s">
        <v>485</v>
      </c>
      <c r="D26" s="190">
        <v>60000</v>
      </c>
      <c r="E26" s="77">
        <v>0</v>
      </c>
      <c r="F26" s="190">
        <v>0</v>
      </c>
      <c r="G26" s="190">
        <v>0</v>
      </c>
      <c r="H26" s="190">
        <v>0</v>
      </c>
      <c r="I26" s="189">
        <f>D26*E26*1</f>
        <v>0</v>
      </c>
      <c r="J26" s="189">
        <f t="shared" si="4"/>
        <v>0</v>
      </c>
      <c r="K26" s="189">
        <f t="shared" si="5"/>
        <v>0</v>
      </c>
      <c r="L26" s="79">
        <f t="shared" si="6"/>
        <v>0</v>
      </c>
      <c r="M26" s="77">
        <f t="shared" si="16"/>
        <v>63000</v>
      </c>
      <c r="N26" s="190">
        <v>2</v>
      </c>
      <c r="O26" s="190">
        <v>2</v>
      </c>
      <c r="P26" s="190">
        <v>2</v>
      </c>
      <c r="Q26" s="190">
        <v>2</v>
      </c>
      <c r="R26" s="189">
        <f t="shared" si="7"/>
        <v>378000</v>
      </c>
      <c r="S26" s="189">
        <f t="shared" si="8"/>
        <v>378000</v>
      </c>
      <c r="T26" s="189">
        <f t="shared" si="9"/>
        <v>378000</v>
      </c>
      <c r="U26" s="79">
        <f t="shared" si="10"/>
        <v>378000</v>
      </c>
      <c r="V26" s="77">
        <f t="shared" si="17"/>
        <v>66150</v>
      </c>
      <c r="W26" s="190">
        <v>2</v>
      </c>
      <c r="X26" s="191">
        <f t="shared" si="15"/>
        <v>132300</v>
      </c>
      <c r="Y26" s="77">
        <f t="shared" si="1"/>
        <v>69457.5</v>
      </c>
      <c r="Z26" s="190">
        <v>2</v>
      </c>
      <c r="AA26" s="191">
        <f t="shared" si="11"/>
        <v>138915</v>
      </c>
      <c r="AB26" s="77">
        <f t="shared" si="2"/>
        <v>72930.375</v>
      </c>
      <c r="AC26" s="190">
        <v>2</v>
      </c>
      <c r="AD26" s="191">
        <f t="shared" si="12"/>
        <v>145860.75</v>
      </c>
    </row>
    <row r="27" spans="1:30" x14ac:dyDescent="0.25">
      <c r="A27" s="299"/>
      <c r="B27" s="81">
        <v>21</v>
      </c>
      <c r="C27" s="301" t="s">
        <v>547</v>
      </c>
      <c r="D27" s="190">
        <v>300000</v>
      </c>
      <c r="E27" s="77">
        <v>0</v>
      </c>
      <c r="F27" s="190"/>
      <c r="G27" s="190"/>
      <c r="H27" s="190"/>
      <c r="I27" s="189">
        <f t="shared" si="3"/>
        <v>0</v>
      </c>
      <c r="J27" s="189">
        <f t="shared" si="4"/>
        <v>0</v>
      </c>
      <c r="K27" s="189">
        <f t="shared" si="5"/>
        <v>0</v>
      </c>
      <c r="L27" s="79">
        <f t="shared" si="6"/>
        <v>0</v>
      </c>
      <c r="M27" s="77">
        <f t="shared" si="16"/>
        <v>315000</v>
      </c>
      <c r="N27" s="190"/>
      <c r="O27" s="190"/>
      <c r="P27" s="190"/>
      <c r="Q27" s="190"/>
      <c r="R27" s="189">
        <f t="shared" si="7"/>
        <v>0</v>
      </c>
      <c r="S27" s="189">
        <f t="shared" si="8"/>
        <v>0</v>
      </c>
      <c r="T27" s="189">
        <f t="shared" si="9"/>
        <v>0</v>
      </c>
      <c r="U27" s="79">
        <f t="shared" si="10"/>
        <v>0</v>
      </c>
      <c r="V27" s="77">
        <f t="shared" si="17"/>
        <v>330750</v>
      </c>
      <c r="W27" s="190"/>
      <c r="X27" s="191">
        <f t="shared" si="15"/>
        <v>0</v>
      </c>
      <c r="Y27" s="77">
        <f t="shared" si="1"/>
        <v>347287.5</v>
      </c>
      <c r="Z27" s="190"/>
      <c r="AA27" s="191">
        <f t="shared" si="11"/>
        <v>0</v>
      </c>
      <c r="AB27" s="77">
        <f t="shared" si="2"/>
        <v>364651.875</v>
      </c>
      <c r="AC27" s="190"/>
      <c r="AD27" s="191">
        <f t="shared" si="12"/>
        <v>0</v>
      </c>
    </row>
    <row r="28" spans="1:30" x14ac:dyDescent="0.25">
      <c r="A28" s="299"/>
      <c r="B28" s="81">
        <v>22</v>
      </c>
      <c r="C28" s="301" t="s">
        <v>562</v>
      </c>
      <c r="D28" s="190">
        <v>200000</v>
      </c>
      <c r="E28" s="77">
        <v>0</v>
      </c>
      <c r="F28" s="190"/>
      <c r="G28" s="190"/>
      <c r="H28" s="190"/>
      <c r="I28" s="189">
        <f>D28*E28*3</f>
        <v>0</v>
      </c>
      <c r="J28" s="189">
        <f>D28*F28*3</f>
        <v>0</v>
      </c>
      <c r="K28" s="189">
        <f>D28*G28*3</f>
        <v>0</v>
      </c>
      <c r="L28" s="79">
        <f>D28*H28*3</f>
        <v>0</v>
      </c>
      <c r="M28" s="77">
        <f t="shared" si="16"/>
        <v>210000</v>
      </c>
      <c r="N28" s="190">
        <v>1</v>
      </c>
      <c r="O28" s="190">
        <v>1</v>
      </c>
      <c r="P28" s="190">
        <v>1</v>
      </c>
      <c r="Q28" s="190">
        <v>1</v>
      </c>
      <c r="R28" s="189">
        <f>M28*N28*3</f>
        <v>630000</v>
      </c>
      <c r="S28" s="189">
        <f>M28*O28*3</f>
        <v>630000</v>
      </c>
      <c r="T28" s="189">
        <f>M28*P28*3</f>
        <v>630000</v>
      </c>
      <c r="U28" s="79">
        <f>M28*Q28*3</f>
        <v>630000</v>
      </c>
      <c r="V28" s="77">
        <f t="shared" si="17"/>
        <v>220500</v>
      </c>
      <c r="W28" s="190">
        <v>1</v>
      </c>
      <c r="X28" s="191">
        <f t="shared" si="15"/>
        <v>220500</v>
      </c>
      <c r="Y28" s="77">
        <f t="shared" si="1"/>
        <v>231525</v>
      </c>
      <c r="Z28" s="190">
        <v>1</v>
      </c>
      <c r="AA28" s="191">
        <f t="shared" si="11"/>
        <v>231525</v>
      </c>
      <c r="AB28" s="77">
        <f t="shared" si="2"/>
        <v>243101.25</v>
      </c>
      <c r="AC28" s="190">
        <v>1</v>
      </c>
      <c r="AD28" s="191">
        <f t="shared" si="12"/>
        <v>243101.25</v>
      </c>
    </row>
    <row r="29" spans="1:30" x14ac:dyDescent="0.25">
      <c r="A29" s="299"/>
      <c r="B29" s="81"/>
      <c r="C29" s="90"/>
      <c r="D29" s="190"/>
      <c r="E29" s="190"/>
      <c r="F29" s="190"/>
      <c r="G29" s="190"/>
      <c r="H29" s="190"/>
      <c r="I29" s="192"/>
      <c r="J29" s="423"/>
      <c r="K29" s="423"/>
      <c r="L29" s="191"/>
      <c r="M29" s="77"/>
      <c r="N29" s="77"/>
      <c r="O29" s="77"/>
      <c r="P29" s="77"/>
      <c r="Q29" s="77"/>
      <c r="R29" s="192"/>
      <c r="S29" s="192"/>
      <c r="T29" s="192"/>
      <c r="U29" s="191"/>
      <c r="V29" s="77"/>
      <c r="W29" s="192"/>
      <c r="X29" s="191"/>
      <c r="Y29" s="77"/>
      <c r="Z29" s="192"/>
      <c r="AA29" s="191"/>
      <c r="AB29" s="77"/>
      <c r="AC29" s="192"/>
      <c r="AD29" s="191"/>
    </row>
    <row r="30" spans="1:30" x14ac:dyDescent="0.25">
      <c r="A30" s="299"/>
      <c r="B30" s="81"/>
      <c r="C30" s="298" t="s">
        <v>123</v>
      </c>
      <c r="D30" s="190"/>
      <c r="E30" s="192">
        <f t="shared" ref="E30:AD30" si="18">SUM(E7:E29)</f>
        <v>0</v>
      </c>
      <c r="F30" s="192">
        <f t="shared" si="18"/>
        <v>18</v>
      </c>
      <c r="G30" s="192">
        <f t="shared" si="18"/>
        <v>19</v>
      </c>
      <c r="H30" s="192">
        <f t="shared" si="18"/>
        <v>19</v>
      </c>
      <c r="I30" s="192">
        <f t="shared" si="18"/>
        <v>0</v>
      </c>
      <c r="J30" s="192">
        <f t="shared" si="18"/>
        <v>1191000</v>
      </c>
      <c r="K30" s="192">
        <f t="shared" si="18"/>
        <v>1431000</v>
      </c>
      <c r="L30" s="191">
        <f t="shared" si="18"/>
        <v>1431000</v>
      </c>
      <c r="M30" s="77">
        <f t="shared" si="18"/>
        <v>1772550</v>
      </c>
      <c r="N30" s="77">
        <f t="shared" si="18"/>
        <v>34</v>
      </c>
      <c r="O30" s="77">
        <f t="shared" si="18"/>
        <v>37</v>
      </c>
      <c r="P30" s="77">
        <f t="shared" si="18"/>
        <v>39</v>
      </c>
      <c r="Q30" s="77">
        <f t="shared" si="18"/>
        <v>40</v>
      </c>
      <c r="R30" s="192">
        <f t="shared" si="18"/>
        <v>3631351</v>
      </c>
      <c r="S30" s="192">
        <f t="shared" si="18"/>
        <v>4094851</v>
      </c>
      <c r="T30" s="192">
        <f t="shared" si="18"/>
        <v>4492352</v>
      </c>
      <c r="U30" s="191">
        <f t="shared" si="18"/>
        <v>4886100</v>
      </c>
      <c r="V30" s="191">
        <f t="shared" si="18"/>
        <v>1848365</v>
      </c>
      <c r="W30" s="191">
        <f t="shared" si="18"/>
        <v>46</v>
      </c>
      <c r="X30" s="191">
        <f t="shared" si="18"/>
        <v>1902387.5</v>
      </c>
      <c r="Y30" s="191">
        <f t="shared" si="18"/>
        <v>1940783.25</v>
      </c>
      <c r="Z30" s="191">
        <f t="shared" si="18"/>
        <v>60</v>
      </c>
      <c r="AA30" s="191">
        <f t="shared" si="18"/>
        <v>2581333.125</v>
      </c>
      <c r="AB30" s="191">
        <f t="shared" si="18"/>
        <v>2037822.4124999999</v>
      </c>
      <c r="AC30" s="191">
        <f t="shared" si="18"/>
        <v>63</v>
      </c>
      <c r="AD30" s="191">
        <f t="shared" si="18"/>
        <v>2754158.0062500001</v>
      </c>
    </row>
    <row r="31" spans="1:30" x14ac:dyDescent="0.25">
      <c r="B31" s="81"/>
      <c r="C31" s="90" t="s">
        <v>124</v>
      </c>
      <c r="D31" s="190"/>
      <c r="E31" s="192"/>
      <c r="F31" s="192"/>
      <c r="G31" s="192"/>
      <c r="H31" s="192"/>
      <c r="I31" s="192"/>
      <c r="J31" s="423"/>
      <c r="K31" s="423"/>
      <c r="L31" s="191"/>
      <c r="M31" s="77"/>
      <c r="N31" s="192"/>
      <c r="O31" s="192"/>
      <c r="P31" s="192"/>
      <c r="Q31" s="192"/>
      <c r="R31" s="192"/>
      <c r="S31" s="192"/>
      <c r="T31" s="192"/>
      <c r="U31" s="191"/>
      <c r="V31" s="77"/>
      <c r="W31" s="192"/>
      <c r="X31" s="191">
        <v>12</v>
      </c>
      <c r="Y31" s="77"/>
      <c r="Z31" s="192"/>
      <c r="AA31" s="191">
        <v>12</v>
      </c>
      <c r="AB31" s="77"/>
      <c r="AC31" s="192"/>
      <c r="AD31" s="191">
        <v>12</v>
      </c>
    </row>
    <row r="32" spans="1:30" ht="15.75" thickBot="1" x14ac:dyDescent="0.3">
      <c r="B32" s="82"/>
      <c r="C32" s="297" t="s">
        <v>394</v>
      </c>
      <c r="D32" s="80"/>
      <c r="E32" s="193"/>
      <c r="F32" s="193"/>
      <c r="G32" s="193"/>
      <c r="H32" s="193"/>
      <c r="I32" s="193"/>
      <c r="J32" s="424"/>
      <c r="K32" s="424"/>
      <c r="L32" s="87">
        <f>SUM(I30:L30)</f>
        <v>4053000</v>
      </c>
      <c r="M32" s="80"/>
      <c r="N32" s="193"/>
      <c r="O32" s="193"/>
      <c r="P32" s="193"/>
      <c r="Q32" s="193"/>
      <c r="R32" s="193"/>
      <c r="S32" s="193"/>
      <c r="T32" s="193"/>
      <c r="U32" s="87">
        <f>SUM(R30:U30)</f>
        <v>17104654</v>
      </c>
      <c r="V32" s="80"/>
      <c r="W32" s="193"/>
      <c r="X32" s="87">
        <f>X30*X31</f>
        <v>22828650</v>
      </c>
      <c r="Y32" s="80"/>
      <c r="Z32" s="193"/>
      <c r="AA32" s="87">
        <f>AA30*AA31</f>
        <v>30975997.5</v>
      </c>
      <c r="AB32" s="80"/>
      <c r="AC32" s="193"/>
      <c r="AD32" s="87">
        <f>AD30*AD31</f>
        <v>33049896.075000003</v>
      </c>
    </row>
    <row r="33" spans="3:30" x14ac:dyDescent="0.25">
      <c r="C33" s="74" t="s">
        <v>427</v>
      </c>
      <c r="M33" s="93">
        <v>0.05</v>
      </c>
      <c r="V33" s="93">
        <v>0.05</v>
      </c>
      <c r="Y33" s="93">
        <f>V33</f>
        <v>0.05</v>
      </c>
      <c r="AB33" s="93">
        <f>Y33</f>
        <v>0.05</v>
      </c>
    </row>
    <row r="34" spans="3:30" x14ac:dyDescent="0.25">
      <c r="M34" s="93"/>
      <c r="V34" s="93"/>
      <c r="Y34" s="93"/>
      <c r="AB34" s="93"/>
    </row>
    <row r="35" spans="3:30" x14ac:dyDescent="0.25">
      <c r="C35" s="449" t="s">
        <v>563</v>
      </c>
      <c r="D35" s="450"/>
      <c r="E35" s="450"/>
      <c r="F35" s="450"/>
      <c r="G35" s="450"/>
      <c r="H35" s="450"/>
      <c r="I35" s="450"/>
      <c r="J35" s="450"/>
      <c r="K35" s="450"/>
      <c r="L35" s="451">
        <f>SUM(I7:L20)/L32</f>
        <v>1</v>
      </c>
      <c r="M35" s="450"/>
      <c r="N35" s="450"/>
      <c r="O35" s="450"/>
      <c r="P35" s="450"/>
      <c r="Q35" s="450"/>
      <c r="R35" s="450"/>
      <c r="S35" s="450"/>
      <c r="T35" s="450"/>
      <c r="U35" s="451">
        <f>SUM(R7:U20)/U32</f>
        <v>0.5460443689770047</v>
      </c>
      <c r="V35" s="450"/>
      <c r="W35" s="450"/>
      <c r="X35" s="451">
        <f>SUM(X7:X20)/X30</f>
        <v>0.51123259588280512</v>
      </c>
      <c r="Y35" s="450"/>
      <c r="Z35" s="450"/>
      <c r="AA35" s="451">
        <f>SUM(AA7:AA20)/AA30</f>
        <v>0.54402485343692319</v>
      </c>
      <c r="AB35" s="450"/>
      <c r="AC35" s="450"/>
      <c r="AD35" s="452">
        <f>SUM(AD7:AD20)/AD30</f>
        <v>0.55126941348483505</v>
      </c>
    </row>
    <row r="36" spans="3:30" x14ac:dyDescent="0.25">
      <c r="C36" s="453" t="s">
        <v>564</v>
      </c>
      <c r="D36" s="454"/>
      <c r="E36" s="454"/>
      <c r="F36" s="454"/>
      <c r="G36" s="454"/>
      <c r="H36" s="454"/>
      <c r="I36" s="93"/>
      <c r="J36" s="93"/>
      <c r="K36" s="93"/>
      <c r="L36" s="93">
        <f>SUM(I21:L28)/L32</f>
        <v>0</v>
      </c>
      <c r="M36" s="454"/>
      <c r="N36" s="454"/>
      <c r="O36" s="454"/>
      <c r="P36" s="454"/>
      <c r="Q36" s="454"/>
      <c r="R36" s="454"/>
      <c r="S36" s="454"/>
      <c r="T36" s="454"/>
      <c r="U36" s="93">
        <f>SUM(R21:U28)/U32</f>
        <v>0.45395563102299524</v>
      </c>
      <c r="V36" s="454"/>
      <c r="W36" s="454"/>
      <c r="X36" s="93">
        <f>SUM(X21:X28)/X30</f>
        <v>0.48876740411719483</v>
      </c>
      <c r="Y36" s="454"/>
      <c r="Z36" s="454"/>
      <c r="AA36" s="93">
        <f>SUM(AA21:AA28)/AA30</f>
        <v>0.45597514656307681</v>
      </c>
      <c r="AB36" s="454"/>
      <c r="AC36" s="454"/>
      <c r="AD36" s="455">
        <f>SUM(AD21:AD28)/AD30</f>
        <v>0.44873058651516501</v>
      </c>
    </row>
    <row r="37" spans="3:30" x14ac:dyDescent="0.25">
      <c r="C37" s="457"/>
      <c r="D37" s="458" t="s">
        <v>123</v>
      </c>
      <c r="E37" s="458"/>
      <c r="F37" s="458"/>
      <c r="G37" s="458"/>
      <c r="H37" s="458"/>
      <c r="I37" s="459"/>
      <c r="J37" s="459"/>
      <c r="K37" s="459"/>
      <c r="L37" s="459">
        <f>SUM(L35:L36)</f>
        <v>1</v>
      </c>
      <c r="M37" s="458"/>
      <c r="N37" s="458"/>
      <c r="O37" s="458"/>
      <c r="P37" s="458"/>
      <c r="Q37" s="458"/>
      <c r="R37" s="458"/>
      <c r="S37" s="458"/>
      <c r="T37" s="458"/>
      <c r="U37" s="459">
        <f>SUM(U35:U36)</f>
        <v>1</v>
      </c>
      <c r="V37" s="458"/>
      <c r="W37" s="458"/>
      <c r="X37" s="459">
        <f>SUM(X35:X36)</f>
        <v>1</v>
      </c>
      <c r="Y37" s="458"/>
      <c r="Z37" s="458"/>
      <c r="AA37" s="459">
        <f>SUM(AA35:AA36)</f>
        <v>1</v>
      </c>
      <c r="AB37" s="458"/>
      <c r="AC37" s="458"/>
      <c r="AD37" s="460">
        <f>SUM(AD35:AD36)</f>
        <v>1</v>
      </c>
    </row>
    <row r="38" spans="3:30" x14ac:dyDescent="0.25">
      <c r="C38" s="453"/>
      <c r="D38" s="454"/>
      <c r="E38" s="454"/>
      <c r="F38" s="454"/>
      <c r="G38" s="454"/>
      <c r="H38" s="454"/>
      <c r="I38" s="93"/>
      <c r="J38" s="93"/>
      <c r="K38" s="93"/>
      <c r="L38" s="93"/>
      <c r="M38" s="454"/>
      <c r="N38" s="454"/>
      <c r="O38" s="454"/>
      <c r="P38" s="454"/>
      <c r="Q38" s="454"/>
      <c r="R38" s="454"/>
      <c r="S38" s="454"/>
      <c r="T38" s="454"/>
      <c r="U38" s="93"/>
      <c r="V38" s="454"/>
      <c r="W38" s="454"/>
      <c r="X38" s="93"/>
      <c r="Y38" s="454"/>
      <c r="Z38" s="454"/>
      <c r="AA38" s="302"/>
      <c r="AB38" s="454"/>
      <c r="AC38" s="454"/>
      <c r="AD38" s="456"/>
    </row>
    <row r="39" spans="3:30" x14ac:dyDescent="0.25">
      <c r="C39" s="453" t="s">
        <v>565</v>
      </c>
      <c r="D39" s="454"/>
      <c r="E39" s="454"/>
      <c r="F39" s="454"/>
      <c r="G39" s="454"/>
      <c r="H39" s="454"/>
      <c r="I39" s="93"/>
      <c r="J39" s="93"/>
      <c r="K39" s="93"/>
      <c r="L39" s="93">
        <f>(L$32*L$35)/'Sales Schedule'!F$18</f>
        <v>8.76961284031961E-2</v>
      </c>
      <c r="M39" s="454"/>
      <c r="N39" s="454"/>
      <c r="O39" s="454"/>
      <c r="P39" s="454"/>
      <c r="Q39" s="454"/>
      <c r="R39" s="454"/>
      <c r="S39" s="454"/>
      <c r="T39" s="454"/>
      <c r="U39" s="93">
        <f>(U$32*U$35)/'Sales Schedule'!J$18</f>
        <v>4.9575107897686072E-2</v>
      </c>
      <c r="V39" s="454"/>
      <c r="W39" s="454"/>
      <c r="X39" s="93">
        <f>(X$32*X$35)/'Sales Schedule'!N$18</f>
        <v>3.7443407345818219E-2</v>
      </c>
      <c r="Y39" s="454"/>
      <c r="Z39" s="454"/>
      <c r="AA39" s="93">
        <f>(AA$32*AA$35)/'Sales Schedule'!R$18</f>
        <v>3.914234714916922E-2</v>
      </c>
      <c r="AB39" s="454"/>
      <c r="AC39" s="454"/>
      <c r="AD39" s="455">
        <f>(AD$32*AD$35)/'Sales Schedule'!V$18</f>
        <v>3.2643748677308466E-2</v>
      </c>
    </row>
    <row r="40" spans="3:30" x14ac:dyDescent="0.25">
      <c r="C40" s="453" t="s">
        <v>566</v>
      </c>
      <c r="D40" s="454"/>
      <c r="E40" s="454"/>
      <c r="F40" s="454"/>
      <c r="G40" s="454"/>
      <c r="H40" s="454"/>
      <c r="I40" s="93"/>
      <c r="J40" s="93"/>
      <c r="K40" s="93"/>
      <c r="L40" s="93">
        <f>(L$32*L$36)/'Sales Schedule'!F$18</f>
        <v>0</v>
      </c>
      <c r="M40" s="454"/>
      <c r="N40" s="454"/>
      <c r="O40" s="454"/>
      <c r="P40" s="454"/>
      <c r="Q40" s="454"/>
      <c r="R40" s="454"/>
      <c r="S40" s="454"/>
      <c r="T40" s="454"/>
      <c r="U40" s="93">
        <f>(U$32*U$36)/'Sales Schedule'!J$18</f>
        <v>4.1214415288064063E-2</v>
      </c>
      <c r="V40" s="454"/>
      <c r="W40" s="454"/>
      <c r="X40" s="93">
        <f>(X$32*X$36)/'Sales Schedule'!N$18</f>
        <v>3.57980245334623E-2</v>
      </c>
      <c r="Y40" s="454"/>
      <c r="Z40" s="454"/>
      <c r="AA40" s="93">
        <f>(AA$32*AA$36)/'Sales Schedule'!R$18</f>
        <v>3.280720975413054E-2</v>
      </c>
      <c r="AB40" s="454"/>
      <c r="AC40" s="454"/>
      <c r="AD40" s="455">
        <f>(AD$32*AD$36)/'Sales Schedule'!V$18</f>
        <v>2.6571850590120277E-2</v>
      </c>
    </row>
    <row r="41" spans="3:30" x14ac:dyDescent="0.25">
      <c r="C41" s="457"/>
      <c r="D41" s="458" t="s">
        <v>123</v>
      </c>
      <c r="E41" s="458"/>
      <c r="F41" s="458"/>
      <c r="G41" s="458"/>
      <c r="H41" s="458"/>
      <c r="I41" s="459"/>
      <c r="J41" s="459"/>
      <c r="K41" s="459"/>
      <c r="L41" s="459">
        <f>SUM(L39:L40)</f>
        <v>8.76961284031961E-2</v>
      </c>
      <c r="M41" s="458"/>
      <c r="N41" s="458"/>
      <c r="O41" s="458"/>
      <c r="P41" s="458"/>
      <c r="Q41" s="458"/>
      <c r="R41" s="458"/>
      <c r="S41" s="458"/>
      <c r="T41" s="458"/>
      <c r="U41" s="459">
        <f>SUM(U39:U40)</f>
        <v>9.0789523185750134E-2</v>
      </c>
      <c r="V41" s="458"/>
      <c r="W41" s="458"/>
      <c r="X41" s="459">
        <f>SUM(X39:X40)</f>
        <v>7.3241431879280519E-2</v>
      </c>
      <c r="Y41" s="458"/>
      <c r="Z41" s="458"/>
      <c r="AA41" s="459">
        <f>SUM(AA39:AA40)</f>
        <v>7.1949556903299766E-2</v>
      </c>
      <c r="AB41" s="458"/>
      <c r="AC41" s="458"/>
      <c r="AD41" s="460">
        <f>SUM(AD39:AD40)</f>
        <v>5.921559926742874E-2</v>
      </c>
    </row>
    <row r="43" spans="3:30" ht="17.25" x14ac:dyDescent="0.4">
      <c r="C43" s="461" t="s">
        <v>567</v>
      </c>
    </row>
    <row r="44" spans="3:30" x14ac:dyDescent="0.25">
      <c r="C44" s="74" t="s">
        <v>560</v>
      </c>
    </row>
    <row r="45" spans="3:30" x14ac:dyDescent="0.25">
      <c r="C45" s="74" t="s">
        <v>561</v>
      </c>
    </row>
  </sheetData>
  <mergeCells count="11">
    <mergeCell ref="V4:X4"/>
    <mergeCell ref="Y4:AA4"/>
    <mergeCell ref="AB4:AD4"/>
    <mergeCell ref="B4:B5"/>
    <mergeCell ref="C4:C5"/>
    <mergeCell ref="M4:U4"/>
    <mergeCell ref="E5:H5"/>
    <mergeCell ref="I5:L5"/>
    <mergeCell ref="D4:L4"/>
    <mergeCell ref="N5:Q5"/>
    <mergeCell ref="R5:U5"/>
  </mergeCells>
  <pageMargins left="0.7" right="0.7" top="0.75" bottom="0.75" header="0.3" footer="0.3"/>
  <pageSetup scale="39" orientation="portrait" r:id="rId1"/>
  <colBreaks count="1" manualBreakCount="1">
    <brk id="17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42"/>
  <sheetViews>
    <sheetView zoomScale="90" zoomScaleNormal="90" workbookViewId="0">
      <selection activeCell="F20" sqref="F20"/>
    </sheetView>
  </sheetViews>
  <sheetFormatPr defaultRowHeight="15" outlineLevelRow="1" x14ac:dyDescent="0.25"/>
  <cols>
    <col min="1" max="1" width="4.7109375" style="134" customWidth="1"/>
    <col min="2" max="2" width="8.85546875" style="356" customWidth="1"/>
    <col min="3" max="3" width="16.42578125" style="134" customWidth="1"/>
    <col min="4" max="4" width="8.42578125" style="134" bestFit="1" customWidth="1"/>
    <col min="5" max="5" width="7" style="134" bestFit="1" customWidth="1"/>
    <col min="6" max="6" width="10.5703125" style="134" bestFit="1" customWidth="1"/>
    <col min="7" max="8" width="19.28515625" style="134" customWidth="1"/>
    <col min="9" max="9" width="15.7109375" style="134" bestFit="1" customWidth="1"/>
    <col min="10" max="12" width="9.140625" style="134"/>
    <col min="13" max="13" width="14.5703125" style="134" bestFit="1" customWidth="1"/>
    <col min="14" max="14" width="13.85546875" style="134" bestFit="1" customWidth="1"/>
    <col min="15" max="16384" width="9.140625" style="134"/>
  </cols>
  <sheetData>
    <row r="1" spans="1:15" s="368" customFormat="1" x14ac:dyDescent="0.25">
      <c r="A1" s="366" t="str">
        <f>Summary!A1</f>
        <v>ABC Nutri foods</v>
      </c>
      <c r="B1" s="367"/>
    </row>
    <row r="2" spans="1:15" s="371" customFormat="1" x14ac:dyDescent="0.25">
      <c r="A2" s="369" t="s">
        <v>454</v>
      </c>
      <c r="B2" s="370"/>
    </row>
    <row r="3" spans="1:15" ht="15.75" thickBot="1" x14ac:dyDescent="0.3"/>
    <row r="4" spans="1:15" ht="18" x14ac:dyDescent="0.25">
      <c r="B4" s="653" t="s">
        <v>471</v>
      </c>
      <c r="C4" s="654"/>
      <c r="D4" s="654"/>
      <c r="E4" s="654"/>
      <c r="F4" s="654"/>
      <c r="G4" s="654"/>
      <c r="H4" s="654"/>
      <c r="I4" s="655"/>
    </row>
    <row r="5" spans="1:15" ht="31.5" x14ac:dyDescent="0.25">
      <c r="B5" s="446" t="s">
        <v>132</v>
      </c>
      <c r="C5" s="346" t="s">
        <v>161</v>
      </c>
      <c r="D5" s="346" t="s">
        <v>470</v>
      </c>
      <c r="E5" s="347" t="s">
        <v>481</v>
      </c>
      <c r="F5" s="347" t="s">
        <v>179</v>
      </c>
      <c r="G5" s="347" t="s">
        <v>515</v>
      </c>
      <c r="H5" s="347" t="s">
        <v>553</v>
      </c>
      <c r="I5" s="348" t="s">
        <v>514</v>
      </c>
    </row>
    <row r="6" spans="1:15" ht="15.75" x14ac:dyDescent="0.25">
      <c r="B6" s="447"/>
      <c r="C6" s="346" t="s">
        <v>480</v>
      </c>
      <c r="D6" s="399">
        <v>1</v>
      </c>
      <c r="E6" s="400"/>
      <c r="F6" s="400"/>
      <c r="G6" s="400"/>
      <c r="H6" s="400"/>
      <c r="I6" s="402"/>
      <c r="L6" s="412" t="s">
        <v>490</v>
      </c>
      <c r="M6" s="412" t="s">
        <v>491</v>
      </c>
      <c r="N6" s="412" t="s">
        <v>492</v>
      </c>
      <c r="O6" s="134" t="s">
        <v>512</v>
      </c>
    </row>
    <row r="7" spans="1:15" ht="15.75" x14ac:dyDescent="0.25">
      <c r="B7" s="349"/>
      <c r="C7" s="346" t="s">
        <v>477</v>
      </c>
      <c r="D7" s="399"/>
      <c r="E7" s="400"/>
      <c r="F7" s="400"/>
      <c r="G7" s="400"/>
      <c r="H7" s="400"/>
      <c r="I7" s="402">
        <v>1</v>
      </c>
      <c r="K7" s="408"/>
      <c r="L7" s="412" t="s">
        <v>486</v>
      </c>
      <c r="M7" s="134" t="s">
        <v>489</v>
      </c>
      <c r="N7" s="134" t="s">
        <v>493</v>
      </c>
      <c r="O7" s="134" t="s">
        <v>511</v>
      </c>
    </row>
    <row r="8" spans="1:15" x14ac:dyDescent="0.25">
      <c r="B8" s="349">
        <v>1</v>
      </c>
      <c r="C8" s="350" t="s">
        <v>181</v>
      </c>
      <c r="D8" s="401"/>
      <c r="E8" s="401"/>
      <c r="F8" s="401">
        <v>1</v>
      </c>
      <c r="G8" s="401"/>
      <c r="H8" s="401"/>
      <c r="I8" s="403"/>
      <c r="K8" s="409"/>
      <c r="L8" s="412" t="s">
        <v>487</v>
      </c>
      <c r="M8" s="134" t="s">
        <v>544</v>
      </c>
      <c r="N8" s="134" t="s">
        <v>545</v>
      </c>
    </row>
    <row r="9" spans="1:15" x14ac:dyDescent="0.25">
      <c r="B9" s="349">
        <v>2</v>
      </c>
      <c r="C9" s="352" t="s">
        <v>472</v>
      </c>
      <c r="D9" s="401"/>
      <c r="E9" s="401"/>
      <c r="F9" s="401">
        <v>1</v>
      </c>
      <c r="G9" s="401"/>
      <c r="H9" s="401"/>
      <c r="I9" s="403"/>
      <c r="K9" s="410"/>
      <c r="L9" s="412" t="s">
        <v>488</v>
      </c>
      <c r="M9" s="134" t="s">
        <v>494</v>
      </c>
      <c r="N9" s="134" t="s">
        <v>495</v>
      </c>
    </row>
    <row r="10" spans="1:15" x14ac:dyDescent="0.25">
      <c r="B10" s="349">
        <v>3</v>
      </c>
      <c r="C10" s="350" t="s">
        <v>169</v>
      </c>
      <c r="D10" s="401"/>
      <c r="E10" s="401"/>
      <c r="F10" s="401">
        <v>1</v>
      </c>
      <c r="G10" s="401"/>
      <c r="H10" s="401"/>
      <c r="I10" s="403"/>
      <c r="K10" s="411"/>
      <c r="L10" s="412"/>
    </row>
    <row r="11" spans="1:15" ht="15.75" x14ac:dyDescent="0.25">
      <c r="B11" s="349"/>
      <c r="C11" s="346" t="s">
        <v>182</v>
      </c>
      <c r="D11" s="401"/>
      <c r="E11" s="401"/>
      <c r="F11" s="401"/>
      <c r="G11" s="401"/>
      <c r="H11" s="401"/>
      <c r="I11" s="403">
        <v>1</v>
      </c>
    </row>
    <row r="12" spans="1:15" x14ac:dyDescent="0.25">
      <c r="B12" s="349">
        <v>4</v>
      </c>
      <c r="C12" s="350" t="s">
        <v>474</v>
      </c>
      <c r="D12" s="401"/>
      <c r="E12" s="401"/>
      <c r="F12" s="401">
        <v>1</v>
      </c>
      <c r="G12" s="401"/>
      <c r="H12" s="401"/>
      <c r="I12" s="403"/>
    </row>
    <row r="13" spans="1:15" x14ac:dyDescent="0.25">
      <c r="B13" s="349">
        <v>5</v>
      </c>
      <c r="C13" s="352" t="s">
        <v>475</v>
      </c>
      <c r="D13" s="401"/>
      <c r="E13" s="401"/>
      <c r="F13" s="401">
        <v>1</v>
      </c>
      <c r="G13" s="401"/>
      <c r="H13" s="401"/>
      <c r="I13" s="403"/>
    </row>
    <row r="14" spans="1:15" x14ac:dyDescent="0.25">
      <c r="B14" s="349">
        <v>6</v>
      </c>
      <c r="C14" s="350" t="s">
        <v>476</v>
      </c>
      <c r="D14" s="401"/>
      <c r="E14" s="401"/>
      <c r="F14" s="401">
        <v>1</v>
      </c>
      <c r="G14" s="401"/>
      <c r="H14" s="401"/>
      <c r="I14" s="403"/>
    </row>
    <row r="15" spans="1:15" x14ac:dyDescent="0.25">
      <c r="B15" s="349">
        <v>7</v>
      </c>
      <c r="C15" s="352" t="s">
        <v>473</v>
      </c>
      <c r="D15" s="401"/>
      <c r="E15" s="401"/>
      <c r="F15" s="401">
        <v>1</v>
      </c>
      <c r="G15" s="401"/>
      <c r="H15" s="401"/>
      <c r="I15" s="403"/>
    </row>
    <row r="16" spans="1:15" ht="15.75" x14ac:dyDescent="0.25">
      <c r="B16" s="349"/>
      <c r="C16" s="346" t="s">
        <v>175</v>
      </c>
      <c r="D16" s="401"/>
      <c r="E16" s="401"/>
      <c r="F16" s="401"/>
      <c r="G16" s="401"/>
      <c r="H16" s="401"/>
      <c r="I16" s="403">
        <v>1</v>
      </c>
    </row>
    <row r="17" spans="2:9" x14ac:dyDescent="0.25">
      <c r="B17" s="349">
        <v>8</v>
      </c>
      <c r="C17" s="352" t="s">
        <v>176</v>
      </c>
      <c r="D17" s="401"/>
      <c r="E17" s="401"/>
      <c r="F17" s="401">
        <v>1</v>
      </c>
      <c r="G17" s="401"/>
      <c r="H17" s="401"/>
      <c r="I17" s="403"/>
    </row>
    <row r="18" spans="2:9" x14ac:dyDescent="0.25">
      <c r="B18" s="349">
        <v>9</v>
      </c>
      <c r="C18" s="350" t="s">
        <v>478</v>
      </c>
      <c r="D18" s="401"/>
      <c r="E18" s="401"/>
      <c r="F18" s="401">
        <v>1</v>
      </c>
      <c r="G18" s="401"/>
      <c r="H18" s="401"/>
      <c r="I18" s="403"/>
    </row>
    <row r="19" spans="2:9" x14ac:dyDescent="0.25">
      <c r="B19" s="349">
        <v>10</v>
      </c>
      <c r="C19" s="352" t="s">
        <v>178</v>
      </c>
      <c r="D19" s="401"/>
      <c r="E19" s="401"/>
      <c r="F19" s="401"/>
      <c r="G19" s="401"/>
      <c r="H19" s="401"/>
      <c r="I19" s="403"/>
    </row>
    <row r="20" spans="2:9" ht="15.75" x14ac:dyDescent="0.25">
      <c r="B20" s="349"/>
      <c r="C20" s="346" t="s">
        <v>479</v>
      </c>
      <c r="D20" s="401"/>
      <c r="E20" s="401"/>
      <c r="F20" s="401">
        <v>1</v>
      </c>
      <c r="G20" s="401"/>
      <c r="H20" s="401"/>
      <c r="I20" s="403"/>
    </row>
    <row r="21" spans="2:9" ht="15.75" x14ac:dyDescent="0.25">
      <c r="B21" s="349"/>
      <c r="C21" s="346" t="s">
        <v>174</v>
      </c>
      <c r="D21" s="401">
        <v>1</v>
      </c>
      <c r="E21" s="401"/>
      <c r="F21" s="401"/>
      <c r="G21" s="401"/>
      <c r="H21" s="401">
        <v>1</v>
      </c>
      <c r="I21" s="403"/>
    </row>
    <row r="22" spans="2:9" x14ac:dyDescent="0.25">
      <c r="B22" s="351"/>
      <c r="C22" s="353"/>
      <c r="D22" s="391"/>
      <c r="E22" s="391"/>
      <c r="F22" s="391"/>
      <c r="G22" s="391"/>
      <c r="H22" s="391"/>
      <c r="I22" s="396"/>
    </row>
    <row r="23" spans="2:9" ht="16.5" thickBot="1" x14ac:dyDescent="0.3">
      <c r="B23" s="354" t="s">
        <v>0</v>
      </c>
      <c r="C23" s="355"/>
      <c r="D23" s="390">
        <f t="shared" ref="D23:I23" si="0">SUM(D6:D22)</f>
        <v>2</v>
      </c>
      <c r="E23" s="390">
        <f t="shared" si="0"/>
        <v>0</v>
      </c>
      <c r="F23" s="390">
        <f t="shared" si="0"/>
        <v>10</v>
      </c>
      <c r="G23" s="390">
        <f t="shared" si="0"/>
        <v>0</v>
      </c>
      <c r="H23" s="448">
        <f t="shared" si="0"/>
        <v>1</v>
      </c>
      <c r="I23" s="448">
        <f t="shared" si="0"/>
        <v>3</v>
      </c>
    </row>
    <row r="24" spans="2:9" ht="15.75" thickBot="1" x14ac:dyDescent="0.3"/>
    <row r="25" spans="2:9" ht="18" x14ac:dyDescent="0.25">
      <c r="B25" s="653" t="s">
        <v>482</v>
      </c>
      <c r="C25" s="654"/>
      <c r="D25" s="654"/>
      <c r="E25" s="654"/>
      <c r="F25" s="654"/>
      <c r="G25" s="654"/>
      <c r="H25" s="654"/>
      <c r="I25" s="655"/>
    </row>
    <row r="26" spans="2:9" ht="31.5" hidden="1" outlineLevel="1" x14ac:dyDescent="0.25">
      <c r="B26" s="345" t="s">
        <v>132</v>
      </c>
      <c r="C26" s="346" t="s">
        <v>161</v>
      </c>
      <c r="D26" s="346" t="s">
        <v>470</v>
      </c>
      <c r="E26" s="347" t="s">
        <v>481</v>
      </c>
      <c r="F26" s="347" t="s">
        <v>179</v>
      </c>
      <c r="G26" s="347" t="s">
        <v>180</v>
      </c>
      <c r="H26" s="347"/>
      <c r="I26" s="348" t="s">
        <v>483</v>
      </c>
    </row>
    <row r="27" spans="2:9" ht="15.75" hidden="1" outlineLevel="1" x14ac:dyDescent="0.25">
      <c r="B27" s="388"/>
      <c r="C27" s="346" t="s">
        <v>480</v>
      </c>
      <c r="D27" s="404">
        <v>1</v>
      </c>
      <c r="E27" s="392"/>
      <c r="F27" s="392"/>
      <c r="G27" s="392"/>
      <c r="H27" s="392"/>
      <c r="I27" s="393"/>
    </row>
    <row r="28" spans="2:9" ht="15.75" hidden="1" outlineLevel="1" x14ac:dyDescent="0.25">
      <c r="B28" s="388"/>
      <c r="C28" s="346" t="s">
        <v>477</v>
      </c>
      <c r="D28" s="391"/>
      <c r="E28" s="439">
        <v>1</v>
      </c>
      <c r="F28" s="439"/>
      <c r="G28" s="439"/>
      <c r="H28" s="439"/>
      <c r="I28" s="440"/>
    </row>
    <row r="29" spans="2:9" hidden="1" outlineLevel="1" x14ac:dyDescent="0.25">
      <c r="B29" s="349">
        <v>1</v>
      </c>
      <c r="C29" s="350" t="s">
        <v>181</v>
      </c>
      <c r="D29" s="394"/>
      <c r="E29" s="405"/>
      <c r="F29" s="405">
        <v>1</v>
      </c>
      <c r="G29" s="405">
        <v>2</v>
      </c>
      <c r="H29" s="405"/>
      <c r="I29" s="395"/>
    </row>
    <row r="30" spans="2:9" hidden="1" outlineLevel="1" x14ac:dyDescent="0.25">
      <c r="B30" s="351"/>
      <c r="C30" s="352" t="s">
        <v>166</v>
      </c>
      <c r="D30" s="391"/>
      <c r="E30" s="406"/>
      <c r="F30" s="406">
        <v>1</v>
      </c>
      <c r="G30" s="406">
        <v>1</v>
      </c>
      <c r="H30" s="406"/>
      <c r="I30" s="396"/>
    </row>
    <row r="31" spans="2:9" hidden="1" outlineLevel="1" x14ac:dyDescent="0.25">
      <c r="B31" s="349"/>
      <c r="C31" s="353" t="s">
        <v>169</v>
      </c>
      <c r="D31" s="394"/>
      <c r="E31" s="407"/>
      <c r="F31" s="407">
        <v>1</v>
      </c>
      <c r="G31" s="407">
        <v>1</v>
      </c>
      <c r="H31" s="407"/>
      <c r="I31" s="395"/>
    </row>
    <row r="32" spans="2:9" hidden="1" outlineLevel="1" x14ac:dyDescent="0.25">
      <c r="B32" s="351"/>
      <c r="C32" s="389" t="s">
        <v>182</v>
      </c>
      <c r="D32" s="391"/>
      <c r="E32" s="433">
        <v>1</v>
      </c>
      <c r="F32" s="433"/>
      <c r="G32" s="433"/>
      <c r="H32" s="433"/>
      <c r="I32" s="438"/>
    </row>
    <row r="33" spans="2:9" ht="25.5" hidden="1" outlineLevel="1" x14ac:dyDescent="0.25">
      <c r="B33" s="349">
        <v>5</v>
      </c>
      <c r="C33" s="352" t="s">
        <v>474</v>
      </c>
      <c r="D33" s="394"/>
      <c r="E33" s="407"/>
      <c r="F33" s="407">
        <v>1</v>
      </c>
      <c r="G33" s="407">
        <v>1</v>
      </c>
      <c r="H33" s="407"/>
      <c r="I33" s="395"/>
    </row>
    <row r="34" spans="2:9" hidden="1" outlineLevel="1" x14ac:dyDescent="0.25">
      <c r="B34" s="351">
        <v>6</v>
      </c>
      <c r="C34" s="352" t="s">
        <v>475</v>
      </c>
      <c r="D34" s="391"/>
      <c r="E34" s="404"/>
      <c r="F34" s="404">
        <v>1</v>
      </c>
      <c r="G34" s="404">
        <v>2</v>
      </c>
      <c r="H34" s="404"/>
      <c r="I34" s="396"/>
    </row>
    <row r="35" spans="2:9" hidden="1" outlineLevel="1" x14ac:dyDescent="0.25">
      <c r="B35" s="349">
        <v>7</v>
      </c>
      <c r="C35" s="352" t="s">
        <v>476</v>
      </c>
      <c r="D35" s="394"/>
      <c r="E35" s="407"/>
      <c r="F35" s="407">
        <v>1</v>
      </c>
      <c r="G35" s="407">
        <v>2</v>
      </c>
      <c r="H35" s="407"/>
      <c r="I35" s="435"/>
    </row>
    <row r="36" spans="2:9" hidden="1" outlineLevel="1" x14ac:dyDescent="0.25">
      <c r="B36" s="351">
        <v>8</v>
      </c>
      <c r="C36" s="352" t="s">
        <v>473</v>
      </c>
      <c r="D36" s="391"/>
      <c r="E36" s="406"/>
      <c r="F36" s="406">
        <v>1</v>
      </c>
      <c r="G36" s="406">
        <v>1</v>
      </c>
      <c r="H36" s="406"/>
      <c r="I36" s="436"/>
    </row>
    <row r="37" spans="2:9" hidden="1" outlineLevel="1" x14ac:dyDescent="0.25">
      <c r="B37" s="349">
        <v>9</v>
      </c>
      <c r="C37" s="389" t="s">
        <v>175</v>
      </c>
      <c r="D37" s="394"/>
      <c r="E37" s="434">
        <v>1</v>
      </c>
      <c r="F37" s="434"/>
      <c r="G37" s="434"/>
      <c r="H37" s="434"/>
      <c r="I37" s="437">
        <v>1</v>
      </c>
    </row>
    <row r="38" spans="2:9" hidden="1" outlineLevel="1" x14ac:dyDescent="0.25">
      <c r="B38" s="351">
        <v>10</v>
      </c>
      <c r="C38" s="134" t="s">
        <v>176</v>
      </c>
      <c r="D38" s="391"/>
      <c r="E38" s="404"/>
      <c r="F38" s="404">
        <v>1</v>
      </c>
      <c r="G38" s="404">
        <v>2</v>
      </c>
      <c r="H38" s="404"/>
      <c r="I38" s="432"/>
    </row>
    <row r="39" spans="2:9" hidden="1" outlineLevel="1" x14ac:dyDescent="0.25">
      <c r="B39" s="349">
        <v>11</v>
      </c>
      <c r="C39" s="353" t="s">
        <v>478</v>
      </c>
      <c r="D39" s="394"/>
      <c r="E39" s="407"/>
      <c r="F39" s="407">
        <v>1</v>
      </c>
      <c r="G39" s="407">
        <v>2</v>
      </c>
      <c r="H39" s="407"/>
      <c r="I39" s="435"/>
    </row>
    <row r="40" spans="2:9" hidden="1" outlineLevel="1" x14ac:dyDescent="0.25">
      <c r="B40" s="351">
        <v>12</v>
      </c>
      <c r="C40" s="352"/>
      <c r="D40" s="391"/>
      <c r="E40" s="391"/>
      <c r="F40" s="391"/>
      <c r="G40" s="391"/>
      <c r="H40" s="391"/>
      <c r="I40" s="396"/>
    </row>
    <row r="41" spans="2:9" ht="16.5" hidden="1" outlineLevel="1" thickBot="1" x14ac:dyDescent="0.3">
      <c r="B41" s="354" t="s">
        <v>0</v>
      </c>
      <c r="C41" s="355"/>
      <c r="D41" s="397">
        <f>SUM(D27:D40)</f>
        <v>1</v>
      </c>
      <c r="E41" s="397">
        <f>SUM(E27:E40)</f>
        <v>3</v>
      </c>
      <c r="F41" s="397">
        <f>SUM(F27:F40)</f>
        <v>9</v>
      </c>
      <c r="G41" s="397">
        <f>SUM(G27:G40)</f>
        <v>14</v>
      </c>
      <c r="H41" s="397"/>
      <c r="I41" s="398">
        <f>SUM(I29:I40)</f>
        <v>1</v>
      </c>
    </row>
    <row r="42" spans="2:9" collapsed="1" x14ac:dyDescent="0.25"/>
  </sheetData>
  <mergeCells count="2">
    <mergeCell ref="B25:I25"/>
    <mergeCell ref="B4:I4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7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:E9"/>
    </sheetView>
  </sheetViews>
  <sheetFormatPr defaultRowHeight="15" x14ac:dyDescent="0.25"/>
  <cols>
    <col min="1" max="1" width="9.140625" style="271"/>
    <col min="2" max="2" width="10" style="271" bestFit="1" customWidth="1"/>
    <col min="3" max="3" width="40.140625" style="271" customWidth="1"/>
    <col min="4" max="4" width="31.140625" style="271" bestFit="1" customWidth="1"/>
    <col min="5" max="5" width="17.42578125" style="271" customWidth="1"/>
    <col min="6" max="6" width="17.85546875" style="271" customWidth="1"/>
    <col min="7" max="7" width="16.85546875" style="271" customWidth="1"/>
    <col min="8" max="8" width="12.85546875" style="271" customWidth="1"/>
    <col min="9" max="16384" width="9.140625" style="271"/>
  </cols>
  <sheetData>
    <row r="1" spans="1:8" s="368" customFormat="1" x14ac:dyDescent="0.25">
      <c r="A1" s="366" t="str">
        <f>Summary!A1</f>
        <v>ABC Nutri foods</v>
      </c>
      <c r="B1" s="367"/>
    </row>
    <row r="2" spans="1:8" s="371" customFormat="1" x14ac:dyDescent="0.25">
      <c r="A2" s="369" t="s">
        <v>455</v>
      </c>
      <c r="B2" s="370"/>
    </row>
    <row r="3" spans="1:8" ht="15.75" thickBot="1" x14ac:dyDescent="0.3"/>
    <row r="4" spans="1:8" ht="18" x14ac:dyDescent="0.25">
      <c r="B4" s="658" t="s">
        <v>160</v>
      </c>
      <c r="C4" s="659"/>
      <c r="D4" s="659"/>
      <c r="E4" s="659"/>
      <c r="F4" s="659"/>
      <c r="G4" s="659"/>
      <c r="H4" s="660"/>
    </row>
    <row r="5" spans="1:8" ht="63" x14ac:dyDescent="0.25">
      <c r="B5" s="329" t="s">
        <v>132</v>
      </c>
      <c r="C5" s="330" t="s">
        <v>161</v>
      </c>
      <c r="D5" s="330" t="s">
        <v>162</v>
      </c>
      <c r="E5" s="331" t="s">
        <v>163</v>
      </c>
      <c r="F5" s="331" t="s">
        <v>164</v>
      </c>
      <c r="G5" s="332" t="s">
        <v>509</v>
      </c>
      <c r="H5" s="332" t="s">
        <v>510</v>
      </c>
    </row>
    <row r="6" spans="1:8" x14ac:dyDescent="0.25">
      <c r="B6" s="333">
        <v>1</v>
      </c>
      <c r="C6" s="334" t="s">
        <v>346</v>
      </c>
      <c r="D6" s="335" t="s">
        <v>501</v>
      </c>
      <c r="E6" s="661">
        <v>1</v>
      </c>
      <c r="F6" s="661">
        <v>1</v>
      </c>
      <c r="G6" s="664">
        <v>50</v>
      </c>
      <c r="H6" s="667" t="s">
        <v>107</v>
      </c>
    </row>
    <row r="7" spans="1:8" x14ac:dyDescent="0.25">
      <c r="B7" s="337">
        <v>2</v>
      </c>
      <c r="C7" s="338"/>
      <c r="D7" s="339" t="s">
        <v>502</v>
      </c>
      <c r="E7" s="662"/>
      <c r="F7" s="662">
        <v>1</v>
      </c>
      <c r="G7" s="665"/>
      <c r="H7" s="668"/>
    </row>
    <row r="8" spans="1:8" x14ac:dyDescent="0.25">
      <c r="B8" s="333">
        <v>3</v>
      </c>
      <c r="C8" s="336"/>
      <c r="D8" s="335" t="s">
        <v>500</v>
      </c>
      <c r="E8" s="662"/>
      <c r="F8" s="662">
        <v>1</v>
      </c>
      <c r="G8" s="665"/>
      <c r="H8" s="668"/>
    </row>
    <row r="9" spans="1:8" x14ac:dyDescent="0.25">
      <c r="B9" s="337">
        <v>4</v>
      </c>
      <c r="C9" s="338"/>
      <c r="D9" s="339" t="s">
        <v>165</v>
      </c>
      <c r="E9" s="663"/>
      <c r="F9" s="663"/>
      <c r="G9" s="666"/>
      <c r="H9" s="668"/>
    </row>
    <row r="10" spans="1:8" x14ac:dyDescent="0.25">
      <c r="B10" s="333">
        <v>5</v>
      </c>
      <c r="C10" s="342" t="s">
        <v>166</v>
      </c>
      <c r="D10" s="335" t="s">
        <v>167</v>
      </c>
      <c r="E10" s="328">
        <v>1</v>
      </c>
      <c r="F10" s="328">
        <v>1</v>
      </c>
      <c r="G10" s="664">
        <v>50</v>
      </c>
      <c r="H10" s="668"/>
    </row>
    <row r="11" spans="1:8" x14ac:dyDescent="0.25">
      <c r="B11" s="337">
        <v>6</v>
      </c>
      <c r="C11" s="343"/>
      <c r="D11" s="339" t="s">
        <v>507</v>
      </c>
      <c r="E11" s="340">
        <v>0</v>
      </c>
      <c r="F11" s="340">
        <v>1</v>
      </c>
      <c r="G11" s="665"/>
      <c r="H11" s="668"/>
    </row>
    <row r="12" spans="1:8" x14ac:dyDescent="0.25">
      <c r="B12" s="333">
        <v>7</v>
      </c>
      <c r="C12" s="342"/>
      <c r="D12" s="335" t="s">
        <v>168</v>
      </c>
      <c r="E12" s="328">
        <v>0</v>
      </c>
      <c r="F12" s="328">
        <v>1</v>
      </c>
      <c r="G12" s="665"/>
      <c r="H12" s="668"/>
    </row>
    <row r="13" spans="1:8" x14ac:dyDescent="0.25">
      <c r="B13" s="337">
        <v>8</v>
      </c>
      <c r="C13" s="343"/>
      <c r="D13" s="339" t="s">
        <v>504</v>
      </c>
      <c r="E13" s="340">
        <v>0</v>
      </c>
      <c r="F13" s="340">
        <v>1</v>
      </c>
      <c r="G13" s="665"/>
      <c r="H13" s="668"/>
    </row>
    <row r="14" spans="1:8" x14ac:dyDescent="0.25">
      <c r="B14" s="333">
        <v>9</v>
      </c>
      <c r="C14" s="342"/>
      <c r="D14" s="335" t="s">
        <v>503</v>
      </c>
      <c r="E14" s="328">
        <v>1</v>
      </c>
      <c r="F14" s="328">
        <v>1</v>
      </c>
      <c r="G14" s="666"/>
      <c r="H14" s="668"/>
    </row>
    <row r="15" spans="1:8" x14ac:dyDescent="0.25">
      <c r="B15" s="337">
        <v>10</v>
      </c>
      <c r="C15" s="343" t="s">
        <v>169</v>
      </c>
      <c r="D15" s="339" t="s">
        <v>170</v>
      </c>
      <c r="E15" s="340">
        <v>0</v>
      </c>
      <c r="F15" s="340">
        <v>1</v>
      </c>
      <c r="G15" s="664">
        <v>25</v>
      </c>
      <c r="H15" s="668"/>
    </row>
    <row r="16" spans="1:8" x14ac:dyDescent="0.25">
      <c r="B16" s="333">
        <v>11</v>
      </c>
      <c r="C16" s="342"/>
      <c r="D16" s="335" t="s">
        <v>505</v>
      </c>
      <c r="E16" s="328">
        <v>0</v>
      </c>
      <c r="F16" s="328">
        <v>1</v>
      </c>
      <c r="G16" s="665"/>
      <c r="H16" s="668"/>
    </row>
    <row r="17" spans="2:8" x14ac:dyDescent="0.25">
      <c r="B17" s="337">
        <v>12</v>
      </c>
      <c r="C17" s="343"/>
      <c r="D17" s="339" t="s">
        <v>506</v>
      </c>
      <c r="E17" s="340">
        <v>0</v>
      </c>
      <c r="F17" s="340">
        <v>1</v>
      </c>
      <c r="G17" s="666"/>
      <c r="H17" s="669"/>
    </row>
    <row r="18" spans="2:8" x14ac:dyDescent="0.25">
      <c r="B18" s="333">
        <v>13</v>
      </c>
      <c r="C18" s="342" t="s">
        <v>171</v>
      </c>
      <c r="D18" s="335" t="s">
        <v>172</v>
      </c>
      <c r="E18" s="328">
        <v>1</v>
      </c>
      <c r="F18" s="328">
        <v>1</v>
      </c>
      <c r="G18" s="328">
        <v>25</v>
      </c>
      <c r="H18" s="670" t="s">
        <v>109</v>
      </c>
    </row>
    <row r="19" spans="2:8" x14ac:dyDescent="0.25">
      <c r="B19" s="337">
        <v>14</v>
      </c>
      <c r="C19" s="343"/>
      <c r="D19" s="339" t="s">
        <v>508</v>
      </c>
      <c r="E19" s="340">
        <v>1</v>
      </c>
      <c r="F19" s="340">
        <v>1</v>
      </c>
      <c r="G19" s="340">
        <v>25</v>
      </c>
      <c r="H19" s="671"/>
    </row>
    <row r="20" spans="2:8" x14ac:dyDescent="0.25">
      <c r="B20" s="333">
        <v>15</v>
      </c>
      <c r="C20" s="342"/>
      <c r="D20" s="335" t="s">
        <v>173</v>
      </c>
      <c r="E20" s="328">
        <v>1</v>
      </c>
      <c r="F20" s="328">
        <v>1</v>
      </c>
      <c r="G20" s="328">
        <v>50</v>
      </c>
      <c r="H20" s="671"/>
    </row>
    <row r="21" spans="2:8" x14ac:dyDescent="0.25">
      <c r="B21" s="337">
        <v>16</v>
      </c>
      <c r="C21" s="343"/>
      <c r="D21" s="339" t="s">
        <v>345</v>
      </c>
      <c r="E21" s="340">
        <v>1</v>
      </c>
      <c r="F21" s="340">
        <v>1</v>
      </c>
      <c r="G21" s="340">
        <v>50</v>
      </c>
      <c r="H21" s="672"/>
    </row>
    <row r="22" spans="2:8" x14ac:dyDescent="0.25">
      <c r="B22" s="333">
        <v>17</v>
      </c>
      <c r="C22" s="342" t="s">
        <v>175</v>
      </c>
      <c r="D22" s="335" t="s">
        <v>176</v>
      </c>
      <c r="E22" s="328">
        <v>2</v>
      </c>
      <c r="F22" s="328">
        <v>2</v>
      </c>
      <c r="G22" s="328">
        <v>50</v>
      </c>
      <c r="H22" s="667" t="s">
        <v>111</v>
      </c>
    </row>
    <row r="23" spans="2:8" x14ac:dyDescent="0.25">
      <c r="B23" s="337">
        <v>18</v>
      </c>
      <c r="C23" s="343"/>
      <c r="D23" s="339" t="s">
        <v>177</v>
      </c>
      <c r="E23" s="340">
        <v>1</v>
      </c>
      <c r="F23" s="340">
        <v>1</v>
      </c>
      <c r="G23" s="340">
        <v>25</v>
      </c>
      <c r="H23" s="668"/>
    </row>
    <row r="24" spans="2:8" x14ac:dyDescent="0.25">
      <c r="B24" s="333">
        <v>19</v>
      </c>
      <c r="C24" s="342"/>
      <c r="D24" s="335" t="s">
        <v>178</v>
      </c>
      <c r="E24" s="328"/>
      <c r="F24" s="328">
        <v>1</v>
      </c>
      <c r="G24" s="328"/>
      <c r="H24" s="669"/>
    </row>
    <row r="25" spans="2:8" x14ac:dyDescent="0.25">
      <c r="B25" s="337">
        <v>20</v>
      </c>
      <c r="C25" s="343" t="s">
        <v>479</v>
      </c>
      <c r="D25" s="339" t="s">
        <v>513</v>
      </c>
      <c r="E25" s="340"/>
      <c r="F25" s="340">
        <v>1</v>
      </c>
      <c r="G25" s="340">
        <v>0</v>
      </c>
      <c r="H25" s="341">
        <v>0</v>
      </c>
    </row>
    <row r="26" spans="2:8" x14ac:dyDescent="0.25">
      <c r="B26" s="333">
        <v>21</v>
      </c>
      <c r="C26" s="342" t="s">
        <v>347</v>
      </c>
      <c r="D26" s="335" t="s">
        <v>174</v>
      </c>
      <c r="E26" s="328"/>
      <c r="F26" s="328"/>
      <c r="G26" s="328"/>
      <c r="H26" s="303"/>
    </row>
    <row r="27" spans="2:8" ht="16.5" thickBot="1" x14ac:dyDescent="0.3">
      <c r="B27" s="656" t="s">
        <v>0</v>
      </c>
      <c r="C27" s="657"/>
      <c r="D27" s="657"/>
      <c r="E27" s="272">
        <f>SUM(E6:E26)</f>
        <v>10</v>
      </c>
      <c r="F27" s="272">
        <f>SUM(F6:F26)</f>
        <v>20</v>
      </c>
      <c r="G27" s="272">
        <f>SUM(G6:G26)</f>
        <v>350</v>
      </c>
      <c r="H27" s="273"/>
    </row>
  </sheetData>
  <mergeCells count="10">
    <mergeCell ref="B27:D27"/>
    <mergeCell ref="B4:H4"/>
    <mergeCell ref="E6:E9"/>
    <mergeCell ref="F6:F9"/>
    <mergeCell ref="G6:G9"/>
    <mergeCell ref="G10:G14"/>
    <mergeCell ref="G15:G17"/>
    <mergeCell ref="H6:H17"/>
    <mergeCell ref="H18:H21"/>
    <mergeCell ref="H22:H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2D050"/>
  </sheetPr>
  <dimension ref="A1:Q82"/>
  <sheetViews>
    <sheetView showGridLines="0" zoomScaleNormal="100" workbookViewId="0"/>
  </sheetViews>
  <sheetFormatPr defaultRowHeight="15" outlineLevelCol="1" x14ac:dyDescent="0.25"/>
  <cols>
    <col min="1" max="1" width="7.42578125" style="1" customWidth="1"/>
    <col min="2" max="2" width="38.7109375" style="1" customWidth="1"/>
    <col min="3" max="3" width="8.28515625" style="126" customWidth="1"/>
    <col min="4" max="4" width="13.5703125" customWidth="1" outlineLevel="1"/>
    <col min="5" max="5" width="13.5703125" style="1" customWidth="1" outlineLevel="1"/>
    <col min="6" max="6" width="13.5703125" style="5" customWidth="1" outlineLevel="1"/>
    <col min="7" max="8" width="12.85546875" style="1" customWidth="1" outlineLevel="1"/>
    <col min="9" max="11" width="13.5703125" style="1" customWidth="1"/>
    <col min="12" max="13" width="13.85546875" style="1" customWidth="1"/>
    <col min="14" max="14" width="15.42578125" style="1" customWidth="1"/>
    <col min="15" max="15" width="11.5703125" style="1" customWidth="1"/>
    <col min="16" max="16384" width="9.140625" style="1"/>
  </cols>
  <sheetData>
    <row r="1" spans="1:17" s="495" customFormat="1" x14ac:dyDescent="0.25">
      <c r="A1" s="542" t="str">
        <f>Summary!A1</f>
        <v>ABC Nutri foods</v>
      </c>
      <c r="B1" s="494"/>
    </row>
    <row r="2" spans="1:17" s="497" customFormat="1" x14ac:dyDescent="0.25">
      <c r="A2" s="493" t="s">
        <v>448</v>
      </c>
      <c r="B2" s="496"/>
      <c r="K2" s="602"/>
      <c r="L2" s="602"/>
      <c r="M2" s="602"/>
    </row>
    <row r="3" spans="1:17" x14ac:dyDescent="0.25">
      <c r="A3" s="1" t="s">
        <v>336</v>
      </c>
    </row>
    <row r="4" spans="1:17" x14ac:dyDescent="0.25">
      <c r="B4" s="43"/>
      <c r="C4" s="117"/>
      <c r="D4" s="54" t="s">
        <v>62</v>
      </c>
      <c r="E4" s="54" t="s">
        <v>62</v>
      </c>
      <c r="F4" s="54" t="s">
        <v>62</v>
      </c>
      <c r="G4" s="54" t="s">
        <v>62</v>
      </c>
      <c r="H4" s="54" t="s">
        <v>62</v>
      </c>
      <c r="I4" s="54" t="s">
        <v>422</v>
      </c>
      <c r="J4" s="54" t="s">
        <v>63</v>
      </c>
      <c r="K4" s="54" t="str">
        <f>J4</f>
        <v>Projected</v>
      </c>
      <c r="L4" s="54" t="str">
        <f>K4</f>
        <v>Projected</v>
      </c>
      <c r="M4" s="54" t="str">
        <f>L4</f>
        <v>Projected</v>
      </c>
    </row>
    <row r="5" spans="1:17" x14ac:dyDescent="0.25">
      <c r="B5" s="54" t="s">
        <v>2</v>
      </c>
      <c r="C5" s="119"/>
      <c r="D5" s="234">
        <v>43190</v>
      </c>
      <c r="E5" s="234">
        <v>43555</v>
      </c>
      <c r="F5" s="234">
        <v>43921</v>
      </c>
      <c r="G5" s="234">
        <v>44286</v>
      </c>
      <c r="H5" s="234">
        <v>44651</v>
      </c>
      <c r="I5" s="234">
        <v>45016</v>
      </c>
      <c r="J5" s="234">
        <v>45382</v>
      </c>
      <c r="K5" s="234">
        <v>45747</v>
      </c>
      <c r="L5" s="234">
        <v>46112</v>
      </c>
      <c r="M5" s="234">
        <v>46477</v>
      </c>
    </row>
    <row r="6" spans="1:17" ht="14.25" customHeight="1" x14ac:dyDescent="0.25">
      <c r="B6" s="44"/>
      <c r="C6" s="360"/>
      <c r="D6" s="41"/>
      <c r="E6" s="42">
        <f t="shared" ref="E6:J6" si="0">(E7-D7)/D7</f>
        <v>0.86939409591180339</v>
      </c>
      <c r="F6" s="42">
        <f t="shared" si="0"/>
        <v>0.11202640022237981</v>
      </c>
      <c r="G6" s="42">
        <f t="shared" si="0"/>
        <v>-0.24937559947628685</v>
      </c>
      <c r="H6" s="42">
        <f t="shared" si="0"/>
        <v>0.50238631577706505</v>
      </c>
      <c r="I6" s="42">
        <f t="shared" si="0"/>
        <v>3.1207951761371184</v>
      </c>
      <c r="J6" s="42">
        <f t="shared" si="0"/>
        <v>3.0764523965793078</v>
      </c>
      <c r="K6" s="42">
        <f>K7/J7-1</f>
        <v>0.6544164711705116</v>
      </c>
      <c r="L6" s="42">
        <f>L7/K7-1</f>
        <v>0.38125471454125104</v>
      </c>
      <c r="M6" s="42">
        <f>M7/L7-1</f>
        <v>0.2963933439639721</v>
      </c>
    </row>
    <row r="7" spans="1:17" ht="14.25" customHeight="1" x14ac:dyDescent="0.25">
      <c r="B7" s="49" t="s">
        <v>70</v>
      </c>
      <c r="C7" s="361"/>
      <c r="D7" s="26">
        <v>4784041</v>
      </c>
      <c r="E7" s="26">
        <v>8943258</v>
      </c>
      <c r="F7" s="26">
        <v>9945139</v>
      </c>
      <c r="G7" s="26">
        <v>7465064</v>
      </c>
      <c r="H7" s="26">
        <v>11215410</v>
      </c>
      <c r="I7" s="26">
        <f>'Sales Schedule'!F18</f>
        <v>46216407.426399998</v>
      </c>
      <c r="J7" s="26">
        <f>'Sales Schedule'!J18</f>
        <v>188398984.814634</v>
      </c>
      <c r="K7" s="26">
        <f>'Sales Schedule'!N18</f>
        <v>311690383.62913358</v>
      </c>
      <c r="L7" s="26">
        <f>'Sales Schedule'!R18</f>
        <v>430523811.86491191</v>
      </c>
      <c r="M7" s="26">
        <f>'Sales Schedule'!V18</f>
        <v>558128204.1196692</v>
      </c>
      <c r="N7" s="7"/>
      <c r="O7" s="526"/>
    </row>
    <row r="8" spans="1:17" ht="14.25" customHeight="1" x14ac:dyDescent="0.25">
      <c r="B8" s="49" t="s">
        <v>59</v>
      </c>
      <c r="C8" s="362"/>
      <c r="D8" s="26">
        <v>0</v>
      </c>
      <c r="E8" s="26">
        <v>0</v>
      </c>
      <c r="F8" s="26">
        <v>514</v>
      </c>
      <c r="G8" s="26">
        <v>0</v>
      </c>
      <c r="H8" s="26">
        <v>17061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527"/>
    </row>
    <row r="9" spans="1:17" s="7" customFormat="1" ht="14.25" customHeight="1" x14ac:dyDescent="0.25">
      <c r="B9" s="127" t="s">
        <v>12</v>
      </c>
      <c r="C9" s="363"/>
      <c r="D9" s="26">
        <f>SUM(D7:D8)</f>
        <v>4784041</v>
      </c>
      <c r="E9" s="26">
        <f t="shared" ref="E9:L9" si="1">SUM(E7:E8)</f>
        <v>8943258</v>
      </c>
      <c r="F9" s="26">
        <f t="shared" si="1"/>
        <v>9945653</v>
      </c>
      <c r="G9" s="26">
        <f t="shared" si="1"/>
        <v>7465064</v>
      </c>
      <c r="H9" s="26">
        <f>SUM(H7:H8)</f>
        <v>11232471</v>
      </c>
      <c r="I9" s="26">
        <f t="shared" si="1"/>
        <v>46216407.426399998</v>
      </c>
      <c r="J9" s="26">
        <f t="shared" si="1"/>
        <v>188398984.814634</v>
      </c>
      <c r="K9" s="26">
        <f t="shared" si="1"/>
        <v>311690383.62913358</v>
      </c>
      <c r="L9" s="26">
        <f t="shared" si="1"/>
        <v>430523811.86491191</v>
      </c>
      <c r="M9" s="26">
        <f>SUM(M7:M8)</f>
        <v>558128204.1196692</v>
      </c>
      <c r="N9" s="527"/>
      <c r="O9" s="1"/>
      <c r="P9" s="1"/>
      <c r="Q9" s="1"/>
    </row>
    <row r="10" spans="1:17" ht="14.25" customHeight="1" x14ac:dyDescent="0.25">
      <c r="B10" s="49"/>
      <c r="C10" s="362"/>
      <c r="D10" s="27"/>
      <c r="E10" s="27"/>
      <c r="F10" s="27"/>
      <c r="G10" s="27"/>
      <c r="H10" s="27"/>
      <c r="I10" s="27"/>
      <c r="J10" s="27"/>
      <c r="K10" s="28"/>
      <c r="L10" s="28"/>
      <c r="M10" s="28"/>
      <c r="N10" s="527"/>
    </row>
    <row r="11" spans="1:17" ht="14.25" customHeight="1" x14ac:dyDescent="0.25">
      <c r="B11" s="49" t="s">
        <v>52</v>
      </c>
      <c r="C11" s="362"/>
      <c r="D11" s="26">
        <v>542450</v>
      </c>
      <c r="E11" s="26">
        <f t="shared" ref="E11:M11" si="2">D13</f>
        <v>1045000</v>
      </c>
      <c r="F11" s="26">
        <f t="shared" si="2"/>
        <v>1595260</v>
      </c>
      <c r="G11" s="26">
        <f>F13</f>
        <v>6026352</v>
      </c>
      <c r="H11" s="26">
        <f>G13</f>
        <v>5024144</v>
      </c>
      <c r="I11" s="26">
        <f>H13</f>
        <v>4021936</v>
      </c>
      <c r="J11" s="26">
        <f t="shared" si="2"/>
        <v>3637510.2692054799</v>
      </c>
      <c r="K11" s="26">
        <f t="shared" si="2"/>
        <v>25510168.708330192</v>
      </c>
      <c r="L11" s="26">
        <f t="shared" si="2"/>
        <v>41927742.120588586</v>
      </c>
      <c r="M11" s="26">
        <f t="shared" si="2"/>
        <v>86779741.844430581</v>
      </c>
      <c r="N11" s="527"/>
    </row>
    <row r="12" spans="1:17" ht="14.25" customHeight="1" x14ac:dyDescent="0.25">
      <c r="B12" s="49" t="s">
        <v>37</v>
      </c>
      <c r="C12" s="362"/>
      <c r="D12" s="26">
        <v>2908528.72</v>
      </c>
      <c r="E12" s="26">
        <v>5931005</v>
      </c>
      <c r="F12" s="26">
        <v>8444401</v>
      </c>
      <c r="G12" s="26">
        <v>3237627</v>
      </c>
      <c r="H12" s="26">
        <f>3609737+1500</f>
        <v>3611237</v>
      </c>
      <c r="I12" s="26">
        <f>'Sales Schedule'!F34</f>
        <v>30211673.184</v>
      </c>
      <c r="J12" s="26">
        <f>'Sales Schedule'!J34</f>
        <v>121974734.47005001</v>
      </c>
      <c r="K12" s="26">
        <f>'Sales Schedule'!N34</f>
        <v>198430478.83802751</v>
      </c>
      <c r="L12" s="26">
        <f>'Sales Schedule'!R34</f>
        <v>273356316.42880279</v>
      </c>
      <c r="M12" s="26">
        <f>'Sales Schedule'!V34</f>
        <v>351293778.16885746</v>
      </c>
      <c r="N12" s="527"/>
    </row>
    <row r="13" spans="1:17" ht="14.25" customHeight="1" x14ac:dyDescent="0.25">
      <c r="B13" s="49" t="s">
        <v>71</v>
      </c>
      <c r="C13" s="362"/>
      <c r="D13" s="26">
        <v>1045000</v>
      </c>
      <c r="E13" s="26">
        <v>1595260</v>
      </c>
      <c r="F13" s="26">
        <v>6026352</v>
      </c>
      <c r="G13" s="26">
        <v>5024144</v>
      </c>
      <c r="H13" s="26">
        <v>4021936</v>
      </c>
      <c r="I13" s="26">
        <f>'Working Capital'!G18</f>
        <v>3637510.2692054799</v>
      </c>
      <c r="J13" s="26">
        <f>'Working Capital'!H18</f>
        <v>25510168.708330192</v>
      </c>
      <c r="K13" s="26">
        <f>'Working Capital'!I18</f>
        <v>41927742.120588586</v>
      </c>
      <c r="L13" s="26">
        <f>'Working Capital'!J18</f>
        <v>86779741.844430581</v>
      </c>
      <c r="M13" s="26">
        <f>'Working Capital'!K18</f>
        <v>112120518.3643389</v>
      </c>
    </row>
    <row r="14" spans="1:17" ht="14.25" hidden="1" customHeight="1" x14ac:dyDescent="0.25">
      <c r="B14" s="49" t="s">
        <v>40</v>
      </c>
      <c r="C14" s="362"/>
      <c r="D14" s="26">
        <v>0</v>
      </c>
      <c r="E14" s="26">
        <v>215203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8">
        <v>0</v>
      </c>
      <c r="L14" s="28">
        <v>0</v>
      </c>
      <c r="M14" s="28">
        <v>0</v>
      </c>
    </row>
    <row r="15" spans="1:17" ht="15" hidden="1" customHeight="1" x14ac:dyDescent="0.25">
      <c r="B15" s="49"/>
      <c r="C15" s="362"/>
      <c r="D15" s="40"/>
      <c r="E15" s="40"/>
      <c r="F15" s="40"/>
      <c r="G15" s="40"/>
      <c r="H15" s="128"/>
      <c r="I15" s="128"/>
      <c r="J15" s="40"/>
      <c r="K15" s="40"/>
      <c r="L15" s="40"/>
      <c r="M15" s="40"/>
    </row>
    <row r="16" spans="1:17" ht="14.25" customHeight="1" x14ac:dyDescent="0.25">
      <c r="B16" s="49" t="s">
        <v>30</v>
      </c>
      <c r="C16" s="362"/>
      <c r="D16" s="26">
        <f>D11+D12-D13+D14</f>
        <v>2405978.7200000002</v>
      </c>
      <c r="E16" s="26">
        <f t="shared" ref="E16:M16" si="3">E11+E12-E13</f>
        <v>5380745</v>
      </c>
      <c r="F16" s="26">
        <f t="shared" si="3"/>
        <v>4013309</v>
      </c>
      <c r="G16" s="40">
        <f t="shared" si="3"/>
        <v>4239835</v>
      </c>
      <c r="H16" s="40">
        <f t="shared" si="3"/>
        <v>4613445</v>
      </c>
      <c r="I16" s="40">
        <f t="shared" si="3"/>
        <v>30596098.91479452</v>
      </c>
      <c r="J16" s="40">
        <f t="shared" si="3"/>
        <v>100102076.0309253</v>
      </c>
      <c r="K16" s="40">
        <f t="shared" si="3"/>
        <v>182012905.42576909</v>
      </c>
      <c r="L16" s="40">
        <f t="shared" si="3"/>
        <v>228504316.70496082</v>
      </c>
      <c r="M16" s="40">
        <f t="shared" si="3"/>
        <v>325953001.64894915</v>
      </c>
    </row>
    <row r="17" spans="2:14" ht="14.25" customHeight="1" x14ac:dyDescent="0.25">
      <c r="B17" s="51"/>
      <c r="C17" s="362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2:14" ht="14.25" customHeight="1" x14ac:dyDescent="0.25">
      <c r="B18" s="49" t="s">
        <v>31</v>
      </c>
      <c r="C18" s="362"/>
      <c r="D18" s="26">
        <f>D9-D14-D16</f>
        <v>2378062.2799999998</v>
      </c>
      <c r="E18" s="26">
        <f>E9-E14-E16</f>
        <v>3347310</v>
      </c>
      <c r="F18" s="26">
        <f>F9-F14-F16</f>
        <v>5932344</v>
      </c>
      <c r="G18" s="26">
        <f t="shared" ref="G18:M18" si="4">G9-G16</f>
        <v>3225229</v>
      </c>
      <c r="H18" s="26">
        <f>H9-H16</f>
        <v>6619026</v>
      </c>
      <c r="I18" s="26">
        <f t="shared" si="4"/>
        <v>15620308.511605479</v>
      </c>
      <c r="J18" s="26">
        <f t="shared" si="4"/>
        <v>88296908.783708692</v>
      </c>
      <c r="K18" s="26">
        <f t="shared" si="4"/>
        <v>129677478.20336449</v>
      </c>
      <c r="L18" s="26">
        <f t="shared" si="4"/>
        <v>202019495.15995109</v>
      </c>
      <c r="M18" s="26">
        <f t="shared" si="4"/>
        <v>232175202.47072005</v>
      </c>
    </row>
    <row r="19" spans="2:14" ht="14.25" customHeight="1" x14ac:dyDescent="0.25">
      <c r="B19" s="49" t="s">
        <v>53</v>
      </c>
      <c r="C19" s="362"/>
      <c r="D19" s="37">
        <f t="shared" ref="D19:L19" si="5">D18/D9</f>
        <v>0.49708233687796566</v>
      </c>
      <c r="E19" s="37">
        <f t="shared" si="5"/>
        <v>0.37428306328633254</v>
      </c>
      <c r="F19" s="37">
        <f t="shared" si="5"/>
        <v>0.59647606848941948</v>
      </c>
      <c r="G19" s="37">
        <f t="shared" si="5"/>
        <v>0.43204304745411426</v>
      </c>
      <c r="H19" s="37">
        <f>H18/H9</f>
        <v>0.58927603730292288</v>
      </c>
      <c r="I19" s="37">
        <f t="shared" si="5"/>
        <v>0.3379818852532176</v>
      </c>
      <c r="J19" s="37">
        <f t="shared" si="5"/>
        <v>0.46866976948195416</v>
      </c>
      <c r="K19" s="37">
        <f t="shared" si="5"/>
        <v>0.41604581024758824</v>
      </c>
      <c r="L19" s="37">
        <f t="shared" si="5"/>
        <v>0.46924116527923893</v>
      </c>
      <c r="M19" s="37">
        <f>M18/M9</f>
        <v>0.41598901606652899</v>
      </c>
    </row>
    <row r="20" spans="2:14" ht="14.25" customHeight="1" x14ac:dyDescent="0.25">
      <c r="B20" s="51"/>
      <c r="C20" s="362"/>
      <c r="D20" s="29"/>
      <c r="E20" s="29"/>
      <c r="F20" s="29"/>
      <c r="G20" s="27"/>
      <c r="H20" s="27"/>
      <c r="I20" s="27"/>
      <c r="J20" s="27"/>
      <c r="K20" s="28"/>
      <c r="L20" s="28"/>
      <c r="M20" s="28"/>
    </row>
    <row r="21" spans="2:14" ht="14.25" customHeight="1" x14ac:dyDescent="0.25">
      <c r="B21" s="357" t="s">
        <v>72</v>
      </c>
      <c r="C21" s="360"/>
      <c r="D21" s="26"/>
      <c r="E21" s="26"/>
      <c r="F21" s="26"/>
      <c r="G21" s="26"/>
      <c r="H21" s="26"/>
      <c r="I21" s="26"/>
      <c r="J21" s="26"/>
      <c r="K21" s="28"/>
      <c r="L21" s="28"/>
      <c r="M21" s="28"/>
    </row>
    <row r="22" spans="2:14" ht="14.25" customHeight="1" x14ac:dyDescent="0.25">
      <c r="B22" s="49" t="s">
        <v>39</v>
      </c>
      <c r="C22" s="359"/>
      <c r="D22" s="30">
        <v>670501</v>
      </c>
      <c r="E22" s="26">
        <v>654975</v>
      </c>
      <c r="F22" s="26">
        <v>2969581</v>
      </c>
      <c r="G22" s="26">
        <v>1011163</v>
      </c>
      <c r="H22" s="26">
        <v>1262893</v>
      </c>
      <c r="I22" s="26">
        <f>Manpower!L32</f>
        <v>4053000</v>
      </c>
      <c r="J22" s="26">
        <f>Manpower!U32</f>
        <v>17104654</v>
      </c>
      <c r="K22" s="26">
        <f>Manpower!X32</f>
        <v>22828650</v>
      </c>
      <c r="L22" s="26">
        <f>Manpower!AA32</f>
        <v>30975997.5</v>
      </c>
      <c r="M22" s="26">
        <f>Manpower!AD32</f>
        <v>33049896.075000003</v>
      </c>
    </row>
    <row r="23" spans="2:14" ht="14.25" customHeight="1" x14ac:dyDescent="0.25">
      <c r="B23" s="52" t="s">
        <v>641</v>
      </c>
      <c r="C23" s="359"/>
      <c r="D23" s="31">
        <f>D22/D$9</f>
        <v>0.14015369015441131</v>
      </c>
      <c r="E23" s="31">
        <f>E22/E$9</f>
        <v>7.3236733190521847E-2</v>
      </c>
      <c r="F23" s="31">
        <f>F22/F$9</f>
        <v>0.29858079705776985</v>
      </c>
      <c r="G23" s="31"/>
      <c r="H23" s="31"/>
      <c r="I23" s="31"/>
      <c r="J23" s="31"/>
      <c r="K23" s="31"/>
      <c r="L23" s="31"/>
      <c r="M23" s="31"/>
    </row>
    <row r="24" spans="2:14" ht="14.25" customHeight="1" x14ac:dyDescent="0.25">
      <c r="B24" s="49" t="s">
        <v>32</v>
      </c>
      <c r="C24" s="359"/>
      <c r="D24" s="30">
        <v>154000</v>
      </c>
      <c r="E24" s="26">
        <v>372250</v>
      </c>
      <c r="F24" s="26">
        <v>1721310</v>
      </c>
      <c r="G24" s="26">
        <v>844505</v>
      </c>
      <c r="H24" s="26">
        <v>1675000</v>
      </c>
      <c r="I24" s="26">
        <f>110000*5+236000*7</f>
        <v>2202000</v>
      </c>
      <c r="J24" s="26">
        <f>(250000)*12*1.18</f>
        <v>3540000</v>
      </c>
      <c r="K24" s="26">
        <f>J24*(1+K25)</f>
        <v>3717000</v>
      </c>
      <c r="L24" s="26">
        <f>K24+100000*12*1.18</f>
        <v>5133000</v>
      </c>
      <c r="M24" s="26">
        <f>L24*(1+M25)</f>
        <v>5389650</v>
      </c>
      <c r="N24" s="16"/>
    </row>
    <row r="25" spans="2:14" ht="14.25" customHeight="1" x14ac:dyDescent="0.25">
      <c r="B25" s="52" t="s">
        <v>642</v>
      </c>
      <c r="C25" s="359">
        <v>0.05</v>
      </c>
      <c r="D25" s="31"/>
      <c r="E25" s="31"/>
      <c r="F25" s="31"/>
      <c r="G25" s="31"/>
      <c r="H25" s="31"/>
      <c r="I25" s="31"/>
      <c r="J25" s="31"/>
      <c r="K25" s="31">
        <v>0.05</v>
      </c>
      <c r="L25" s="31">
        <v>0.05</v>
      </c>
      <c r="M25" s="31">
        <f>L25</f>
        <v>0.05</v>
      </c>
    </row>
    <row r="26" spans="2:14" ht="14.25" customHeight="1" x14ac:dyDescent="0.25">
      <c r="B26" s="49" t="s">
        <v>429</v>
      </c>
      <c r="C26" s="359"/>
      <c r="D26" s="30">
        <v>25411.1</v>
      </c>
      <c r="E26" s="26">
        <v>113563</v>
      </c>
      <c r="F26" s="26">
        <v>0</v>
      </c>
      <c r="G26" s="26">
        <v>0</v>
      </c>
      <c r="H26" s="26">
        <v>0</v>
      </c>
      <c r="I26" s="26">
        <f>I27*I12</f>
        <v>60423.346367999999</v>
      </c>
      <c r="J26" s="26">
        <f>J27*J12</f>
        <v>146369.68136406</v>
      </c>
      <c r="K26" s="26">
        <f>K27*K12</f>
        <v>198430.47883802751</v>
      </c>
      <c r="L26" s="26">
        <f>L27*L12</f>
        <v>273356.31642880279</v>
      </c>
      <c r="M26" s="26">
        <f>M27*M12</f>
        <v>351293.77816885745</v>
      </c>
      <c r="N26" s="7"/>
    </row>
    <row r="27" spans="2:14" ht="14.25" customHeight="1" x14ac:dyDescent="0.25">
      <c r="B27" s="52" t="s">
        <v>643</v>
      </c>
      <c r="C27" s="359" t="e">
        <f>AVERAGE(D27:F27)</f>
        <v>#DIV/0!</v>
      </c>
      <c r="D27" s="31"/>
      <c r="E27" s="31"/>
      <c r="F27" s="33"/>
      <c r="G27" s="34"/>
      <c r="H27" s="34"/>
      <c r="I27" s="34">
        <v>2E-3</v>
      </c>
      <c r="J27" s="34">
        <v>1.1999999999999999E-3</v>
      </c>
      <c r="K27" s="34">
        <v>1E-3</v>
      </c>
      <c r="L27" s="34">
        <v>1E-3</v>
      </c>
      <c r="M27" s="34">
        <v>1E-3</v>
      </c>
    </row>
    <row r="28" spans="2:14" ht="14.25" customHeight="1" x14ac:dyDescent="0.25">
      <c r="B28" s="49" t="s">
        <v>433</v>
      </c>
      <c r="C28" s="359"/>
      <c r="D28" s="30">
        <v>0</v>
      </c>
      <c r="E28" s="26">
        <v>0</v>
      </c>
      <c r="F28" s="26">
        <v>0</v>
      </c>
      <c r="G28" s="26">
        <v>0</v>
      </c>
      <c r="H28" s="26">
        <f t="shared" ref="H28:M28" si="6">H7*H29</f>
        <v>0</v>
      </c>
      <c r="I28" s="26">
        <f t="shared" si="6"/>
        <v>46216.407426400001</v>
      </c>
      <c r="J28" s="26">
        <f t="shared" si="6"/>
        <v>113039.39088878038</v>
      </c>
      <c r="K28" s="26">
        <f t="shared" si="6"/>
        <v>155845.19181456679</v>
      </c>
      <c r="L28" s="26">
        <f t="shared" si="6"/>
        <v>215261.90593245596</v>
      </c>
      <c r="M28" s="26">
        <f t="shared" si="6"/>
        <v>279064.10205983458</v>
      </c>
    </row>
    <row r="29" spans="2:14" ht="14.25" customHeight="1" x14ac:dyDescent="0.25">
      <c r="B29" s="52" t="s">
        <v>644</v>
      </c>
      <c r="C29" s="359"/>
      <c r="D29" s="31"/>
      <c r="E29" s="31"/>
      <c r="F29" s="33"/>
      <c r="G29" s="34"/>
      <c r="H29" s="34"/>
      <c r="I29" s="34">
        <v>1E-3</v>
      </c>
      <c r="J29" s="34">
        <v>5.9999999999999995E-4</v>
      </c>
      <c r="K29" s="34">
        <v>5.0000000000000001E-4</v>
      </c>
      <c r="L29" s="34">
        <v>5.0000000000000001E-4</v>
      </c>
      <c r="M29" s="34">
        <v>5.0000000000000001E-4</v>
      </c>
    </row>
    <row r="30" spans="2:14" ht="14.25" customHeight="1" x14ac:dyDescent="0.25">
      <c r="B30" s="49" t="s">
        <v>430</v>
      </c>
      <c r="C30" s="359"/>
      <c r="D30" s="30">
        <v>0</v>
      </c>
      <c r="E30" s="26">
        <v>0</v>
      </c>
      <c r="F30" s="26">
        <v>0</v>
      </c>
      <c r="G30" s="26">
        <v>0</v>
      </c>
      <c r="H30" s="26">
        <v>0</v>
      </c>
      <c r="I30" s="26">
        <f>Manpower!H30*200*12</f>
        <v>45600</v>
      </c>
      <c r="J30" s="26">
        <f>Manpower!Q30*250*12</f>
        <v>120000</v>
      </c>
      <c r="K30" s="26">
        <f>Manpower!W30*300*12</f>
        <v>165600</v>
      </c>
      <c r="L30" s="26">
        <f>Manpower!Z30*350*12</f>
        <v>252000</v>
      </c>
      <c r="M30" s="26">
        <f>Manpower!AC30*400*12</f>
        <v>302400</v>
      </c>
    </row>
    <row r="31" spans="2:14" ht="14.25" customHeight="1" x14ac:dyDescent="0.25">
      <c r="B31" s="52" t="s">
        <v>435</v>
      </c>
      <c r="C31" s="359"/>
      <c r="D31" s="31"/>
      <c r="E31" s="31"/>
      <c r="F31" s="33"/>
      <c r="G31" s="34"/>
      <c r="H31" s="34"/>
      <c r="I31" s="34"/>
      <c r="J31" s="34"/>
      <c r="K31" s="34"/>
      <c r="L31" s="34"/>
      <c r="M31" s="34"/>
    </row>
    <row r="32" spans="2:14" ht="14.25" customHeight="1" x14ac:dyDescent="0.25">
      <c r="B32" s="49" t="s">
        <v>425</v>
      </c>
      <c r="C32" s="364"/>
      <c r="D32" s="30">
        <v>73613</v>
      </c>
      <c r="E32" s="26">
        <v>82461</v>
      </c>
      <c r="F32" s="26">
        <v>5000</v>
      </c>
      <c r="G32" s="26">
        <v>21414</v>
      </c>
      <c r="H32" s="26">
        <v>36450</v>
      </c>
      <c r="I32" s="26">
        <v>0</v>
      </c>
      <c r="J32" s="26">
        <f>150000*12</f>
        <v>1800000</v>
      </c>
      <c r="K32" s="26">
        <f>150000*12</f>
        <v>1800000</v>
      </c>
      <c r="L32" s="26">
        <f>200000*12</f>
        <v>2400000</v>
      </c>
      <c r="M32" s="26">
        <f>200000*12</f>
        <v>2400000</v>
      </c>
    </row>
    <row r="33" spans="2:13" ht="14.25" customHeight="1" x14ac:dyDescent="0.25">
      <c r="B33" s="52" t="s">
        <v>435</v>
      </c>
      <c r="C33" s="359" t="e">
        <f>AVERAGE(D33:F33)</f>
        <v>#DIV/0!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2:13" ht="14.25" customHeight="1" x14ac:dyDescent="0.25">
      <c r="B34" s="49" t="s">
        <v>103</v>
      </c>
      <c r="C34" s="359"/>
      <c r="D34" s="30">
        <v>45100</v>
      </c>
      <c r="E34" s="26">
        <v>60165</v>
      </c>
      <c r="F34" s="26">
        <v>67850</v>
      </c>
      <c r="G34" s="26">
        <f>54871</f>
        <v>54871</v>
      </c>
      <c r="H34" s="26">
        <f>34043+93400</f>
        <v>127443</v>
      </c>
      <c r="I34" s="26">
        <f>I35*I$9</f>
        <v>0</v>
      </c>
      <c r="J34" s="26">
        <f>J35*J$9</f>
        <v>565196.95444390201</v>
      </c>
      <c r="K34" s="26">
        <f>K35*K$9</f>
        <v>779225.959072834</v>
      </c>
      <c r="L34" s="26">
        <f>L35*L$9</f>
        <v>1076309.5296622799</v>
      </c>
      <c r="M34" s="26">
        <f>M35*M$9</f>
        <v>1395320.510299173</v>
      </c>
    </row>
    <row r="35" spans="2:13" ht="14.25" customHeight="1" x14ac:dyDescent="0.25">
      <c r="B35" s="52" t="str">
        <f>B29</f>
        <v>As % of Revenue</v>
      </c>
      <c r="C35" s="359" t="e">
        <f>AVERAGE(D35:F35)</f>
        <v>#DIV/0!</v>
      </c>
      <c r="D35" s="31"/>
      <c r="E35" s="31"/>
      <c r="F35" s="31"/>
      <c r="G35" s="31"/>
      <c r="H35" s="34"/>
      <c r="I35" s="34">
        <v>0</v>
      </c>
      <c r="J35" s="34">
        <v>3.0000000000000001E-3</v>
      </c>
      <c r="K35" s="34">
        <v>2.5000000000000001E-3</v>
      </c>
      <c r="L35" s="34">
        <v>2.5000000000000001E-3</v>
      </c>
      <c r="M35" s="34">
        <v>2.5000000000000001E-3</v>
      </c>
    </row>
    <row r="36" spans="2:13" ht="14.25" customHeight="1" x14ac:dyDescent="0.25">
      <c r="B36" s="49" t="s">
        <v>158</v>
      </c>
      <c r="C36" s="359"/>
      <c r="D36" s="30">
        <f>16735.35+4525+36830+1304</f>
        <v>59394.35</v>
      </c>
      <c r="E36" s="26">
        <f>96079+37854</f>
        <v>133933</v>
      </c>
      <c r="F36" s="26">
        <v>104252</v>
      </c>
      <c r="G36" s="26">
        <v>0</v>
      </c>
      <c r="H36" s="26">
        <v>0</v>
      </c>
      <c r="I36" s="26">
        <v>0</v>
      </c>
      <c r="J36" s="26">
        <f>15000*12</f>
        <v>180000</v>
      </c>
      <c r="K36" s="26">
        <f>20000*12</f>
        <v>240000</v>
      </c>
      <c r="L36" s="26">
        <f>25000*12</f>
        <v>300000</v>
      </c>
      <c r="M36" s="26">
        <f>30000*12</f>
        <v>360000</v>
      </c>
    </row>
    <row r="37" spans="2:13" ht="14.25" customHeight="1" x14ac:dyDescent="0.25">
      <c r="B37" s="52" t="s">
        <v>435</v>
      </c>
      <c r="C37" s="359" t="e">
        <f>AVERAGE(D37:F37)</f>
        <v>#DIV/0!</v>
      </c>
      <c r="D37" s="31"/>
      <c r="E37" s="31"/>
      <c r="F37" s="31"/>
      <c r="G37" s="31"/>
      <c r="H37" s="34"/>
      <c r="I37" s="34"/>
      <c r="J37" s="34"/>
      <c r="K37" s="34"/>
      <c r="L37" s="34"/>
      <c r="M37" s="34"/>
    </row>
    <row r="38" spans="2:13" ht="14.25" customHeight="1" x14ac:dyDescent="0.25">
      <c r="B38" s="49" t="s">
        <v>76</v>
      </c>
      <c r="C38" s="359"/>
      <c r="D38" s="30">
        <v>97800</v>
      </c>
      <c r="E38" s="26">
        <f>63780+42000</f>
        <v>105780</v>
      </c>
      <c r="F38" s="26">
        <v>42584</v>
      </c>
      <c r="G38" s="26">
        <f>54145+20000</f>
        <v>74145</v>
      </c>
      <c r="H38" s="26">
        <v>74603</v>
      </c>
      <c r="I38" s="26">
        <f>I39*I9</f>
        <v>207973.83341879997</v>
      </c>
      <c r="J38" s="26">
        <f>J39*J9</f>
        <v>847795.4316658529</v>
      </c>
      <c r="K38" s="26">
        <f>K39*K9</f>
        <v>1402606.726331101</v>
      </c>
      <c r="L38" s="26">
        <f>L39*L9</f>
        <v>1722095.2474596477</v>
      </c>
      <c r="M38" s="26">
        <f>M39*M9</f>
        <v>2232512.8164786766</v>
      </c>
    </row>
    <row r="39" spans="2:13" ht="14.25" customHeight="1" x14ac:dyDescent="0.25">
      <c r="B39" s="52" t="str">
        <f>B35</f>
        <v>As % of Revenue</v>
      </c>
      <c r="C39" s="359" t="e">
        <f>AVERAGE(D39:F39)</f>
        <v>#DIV/0!</v>
      </c>
      <c r="D39" s="31"/>
      <c r="E39" s="31"/>
      <c r="F39" s="31"/>
      <c r="G39" s="34"/>
      <c r="H39" s="34"/>
      <c r="I39" s="34">
        <v>4.4999999999999997E-3</v>
      </c>
      <c r="J39" s="34">
        <f>I39</f>
        <v>4.4999999999999997E-3</v>
      </c>
      <c r="K39" s="34">
        <f t="shared" ref="K39:M39" si="7">J39</f>
        <v>4.4999999999999997E-3</v>
      </c>
      <c r="L39" s="34">
        <v>4.0000000000000001E-3</v>
      </c>
      <c r="M39" s="34">
        <f t="shared" si="7"/>
        <v>4.0000000000000001E-3</v>
      </c>
    </row>
    <row r="40" spans="2:13" ht="14.25" customHeight="1" x14ac:dyDescent="0.25">
      <c r="B40" s="49" t="s">
        <v>34</v>
      </c>
      <c r="C40" s="359"/>
      <c r="D40" s="30">
        <v>25389</v>
      </c>
      <c r="E40" s="26">
        <v>0</v>
      </c>
      <c r="F40" s="26"/>
      <c r="G40" s="26">
        <v>10502</v>
      </c>
      <c r="H40" s="26">
        <v>30708</v>
      </c>
      <c r="I40" s="26">
        <f>I41*I$9</f>
        <v>23108.2037132</v>
      </c>
      <c r="J40" s="26">
        <f>J41*J$9</f>
        <v>56519.695444390192</v>
      </c>
      <c r="K40" s="26">
        <f>K41*K$9</f>
        <v>77922.595907283394</v>
      </c>
      <c r="L40" s="26">
        <f>L41*L$9</f>
        <v>86104.762372982383</v>
      </c>
      <c r="M40" s="26">
        <f>M41*M$9</f>
        <v>111625.64082393385</v>
      </c>
    </row>
    <row r="41" spans="2:13" ht="14.25" customHeight="1" x14ac:dyDescent="0.25">
      <c r="B41" s="52" t="str">
        <f>B39</f>
        <v>As % of Revenue</v>
      </c>
      <c r="C41" s="359">
        <v>0.02</v>
      </c>
      <c r="D41" s="31"/>
      <c r="E41" s="31"/>
      <c r="F41" s="31"/>
      <c r="G41" s="31"/>
      <c r="H41" s="26"/>
      <c r="I41" s="34">
        <v>5.0000000000000001E-4</v>
      </c>
      <c r="J41" s="34">
        <v>2.9999999999999997E-4</v>
      </c>
      <c r="K41" s="34">
        <v>2.5000000000000001E-4</v>
      </c>
      <c r="L41" s="34">
        <v>2.0000000000000001E-4</v>
      </c>
      <c r="M41" s="34">
        <f t="shared" ref="M41" si="8">L41</f>
        <v>2.0000000000000001E-4</v>
      </c>
    </row>
    <row r="42" spans="2:13" ht="14.25" customHeight="1" x14ac:dyDescent="0.25">
      <c r="B42" s="49" t="s">
        <v>35</v>
      </c>
      <c r="C42" s="359"/>
      <c r="D42" s="26">
        <v>42880</v>
      </c>
      <c r="E42" s="26">
        <v>212029</v>
      </c>
      <c r="F42" s="26"/>
      <c r="G42" s="26"/>
      <c r="H42" s="26">
        <v>761599</v>
      </c>
      <c r="I42" s="26">
        <f>I43*I9</f>
        <v>46216.407426400001</v>
      </c>
      <c r="J42" s="26">
        <f>J43*J9</f>
        <v>188398.98481463399</v>
      </c>
      <c r="K42" s="26">
        <f>K43*K9</f>
        <v>311690.38362913358</v>
      </c>
      <c r="L42" s="26">
        <f>L43*L9</f>
        <v>344419.04949192953</v>
      </c>
      <c r="M42" s="26">
        <f>M43*M9</f>
        <v>390689.74288376846</v>
      </c>
    </row>
    <row r="43" spans="2:13" ht="14.25" customHeight="1" x14ac:dyDescent="0.25">
      <c r="B43" s="52" t="str">
        <f>B41</f>
        <v>As % of Revenue</v>
      </c>
      <c r="C43" s="359" t="e">
        <f>AVERAGE(D43:F43)</f>
        <v>#DIV/0!</v>
      </c>
      <c r="D43" s="31"/>
      <c r="E43" s="31"/>
      <c r="F43" s="31"/>
      <c r="G43" s="31"/>
      <c r="H43" s="34"/>
      <c r="I43" s="34">
        <v>1E-3</v>
      </c>
      <c r="J43" s="34">
        <v>1E-3</v>
      </c>
      <c r="K43" s="34">
        <v>1E-3</v>
      </c>
      <c r="L43" s="34">
        <v>8.0000000000000004E-4</v>
      </c>
      <c r="M43" s="34">
        <v>6.9999999999999999E-4</v>
      </c>
    </row>
    <row r="44" spans="2:13" ht="14.25" customHeight="1" x14ac:dyDescent="0.25">
      <c r="B44" s="49" t="s">
        <v>73</v>
      </c>
      <c r="C44" s="359"/>
      <c r="D44" s="26">
        <v>240000</v>
      </c>
      <c r="E44" s="26">
        <v>247000</v>
      </c>
      <c r="F44" s="26">
        <v>0</v>
      </c>
      <c r="G44" s="26">
        <v>0</v>
      </c>
      <c r="H44" s="26">
        <v>1000000</v>
      </c>
      <c r="I44" s="26">
        <f>100000*12</f>
        <v>1200000</v>
      </c>
      <c r="J44" s="26">
        <f>12*200000</f>
        <v>2400000</v>
      </c>
      <c r="K44" s="26">
        <f>12*250000</f>
        <v>3000000</v>
      </c>
      <c r="L44" s="26">
        <f>12*300000</f>
        <v>3600000</v>
      </c>
      <c r="M44" s="26">
        <f>12*300000</f>
        <v>3600000</v>
      </c>
    </row>
    <row r="45" spans="2:13" ht="14.25" customHeight="1" x14ac:dyDescent="0.25">
      <c r="B45" s="52" t="s">
        <v>435</v>
      </c>
      <c r="C45" s="359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2:13" ht="14.25" customHeight="1" x14ac:dyDescent="0.25">
      <c r="B46" s="486" t="s">
        <v>672</v>
      </c>
      <c r="C46" s="359"/>
      <c r="D46" s="26">
        <f>58615+58615</f>
        <v>117230</v>
      </c>
      <c r="E46" s="26">
        <f>3420+3420</f>
        <v>6840</v>
      </c>
      <c r="F46" s="31"/>
      <c r="G46" s="26">
        <v>1740</v>
      </c>
      <c r="H46" s="26">
        <v>16595</v>
      </c>
      <c r="I46" s="26">
        <f>(SUM('Sales (Premixes) - Inst.'!D12:G12))*5</f>
        <v>760100</v>
      </c>
      <c r="J46" s="26">
        <f>(SUM('Sales (Premixes) - Inst.'!H12:K12))*7</f>
        <v>2858849.4374999991</v>
      </c>
      <c r="K46" s="26">
        <f>(SUM('Sales (Premixes) - Inst.'!L12:O12))*6.5</f>
        <v>3696763.2205968751</v>
      </c>
      <c r="L46" s="26">
        <f>(SUM('Sales (Premixes) - Inst.'!P12:S12))*6.5</f>
        <v>4605127.0557576986</v>
      </c>
      <c r="M46" s="26">
        <f>(SUM('Sales (Premixes) - Inst.'!T12:W12))*6.5</f>
        <v>5141593.9647587072</v>
      </c>
    </row>
    <row r="47" spans="2:13" ht="14.25" customHeight="1" x14ac:dyDescent="0.25">
      <c r="B47" s="52" t="s">
        <v>54</v>
      </c>
      <c r="C47" s="359"/>
      <c r="D47" s="31"/>
      <c r="E47" s="31"/>
      <c r="F47" s="31"/>
      <c r="G47" s="31"/>
      <c r="H47" s="26"/>
      <c r="I47" s="32"/>
      <c r="J47" s="32"/>
      <c r="K47" s="32"/>
      <c r="L47" s="32"/>
      <c r="M47" s="32"/>
    </row>
    <row r="48" spans="2:13" ht="14.25" customHeight="1" x14ac:dyDescent="0.25">
      <c r="B48" s="49" t="s">
        <v>159</v>
      </c>
      <c r="C48" s="359"/>
      <c r="D48" s="26">
        <v>31300</v>
      </c>
      <c r="E48" s="26">
        <v>45279</v>
      </c>
      <c r="F48" s="26"/>
      <c r="G48" s="26">
        <v>0</v>
      </c>
      <c r="H48" s="344">
        <v>0</v>
      </c>
      <c r="I48" s="344">
        <f>I49*I$9</f>
        <v>23108.2037132</v>
      </c>
      <c r="J48" s="344">
        <f>J49*J$9</f>
        <v>84779.543166585296</v>
      </c>
      <c r="K48" s="344">
        <f>K49*K$9</f>
        <v>155845.19181456679</v>
      </c>
      <c r="L48" s="344">
        <f>L49*L$9</f>
        <v>215261.90593245596</v>
      </c>
      <c r="M48" s="344">
        <f>M49*M$9</f>
        <v>251157.69185385114</v>
      </c>
    </row>
    <row r="49" spans="2:17" ht="14.25" customHeight="1" x14ac:dyDescent="0.25">
      <c r="B49" s="52" t="s">
        <v>54</v>
      </c>
      <c r="C49" s="359"/>
      <c r="D49" s="31"/>
      <c r="E49" s="31"/>
      <c r="F49" s="31"/>
      <c r="G49" s="31"/>
      <c r="H49" s="32"/>
      <c r="I49" s="32">
        <v>5.0000000000000001E-4</v>
      </c>
      <c r="J49" s="32">
        <v>4.4999999999999999E-4</v>
      </c>
      <c r="K49" s="32">
        <v>5.0000000000000001E-4</v>
      </c>
      <c r="L49" s="32">
        <v>5.0000000000000001E-4</v>
      </c>
      <c r="M49" s="32">
        <v>4.4999999999999999E-4</v>
      </c>
    </row>
    <row r="50" spans="2:17" ht="14.25" customHeight="1" x14ac:dyDescent="0.25">
      <c r="B50" s="49" t="s">
        <v>36</v>
      </c>
      <c r="C50" s="359"/>
      <c r="D50" s="26">
        <v>113537</v>
      </c>
      <c r="E50" s="26">
        <v>9000</v>
      </c>
      <c r="F50" s="26">
        <v>344520</v>
      </c>
      <c r="G50" s="26">
        <v>261250</v>
      </c>
      <c r="H50" s="26">
        <v>639120</v>
      </c>
      <c r="I50" s="26">
        <f>13000*12</f>
        <v>156000</v>
      </c>
      <c r="J50" s="26">
        <f>25000*12</f>
        <v>300000</v>
      </c>
      <c r="K50" s="26">
        <f>30000*12</f>
        <v>360000</v>
      </c>
      <c r="L50" s="26">
        <f>35000*12</f>
        <v>420000</v>
      </c>
      <c r="M50" s="26">
        <f>40000*12</f>
        <v>480000</v>
      </c>
    </row>
    <row r="51" spans="2:17" ht="14.25" customHeight="1" x14ac:dyDescent="0.25">
      <c r="B51" s="52" t="s">
        <v>435</v>
      </c>
      <c r="C51" s="359" t="e">
        <f>AVERAGE(D51:F51)</f>
        <v>#DIV/0!</v>
      </c>
      <c r="D51" s="31"/>
      <c r="E51" s="31"/>
      <c r="F51" s="31"/>
      <c r="G51" s="31"/>
      <c r="H51" s="26"/>
      <c r="I51" s="26"/>
      <c r="J51" s="26"/>
      <c r="K51" s="32"/>
      <c r="L51" s="32"/>
      <c r="M51" s="32"/>
    </row>
    <row r="52" spans="2:17" ht="14.25" customHeight="1" x14ac:dyDescent="0.25">
      <c r="B52" s="49" t="s">
        <v>682</v>
      </c>
      <c r="C52" s="359"/>
      <c r="D52" s="372">
        <v>0</v>
      </c>
      <c r="E52" s="372">
        <v>0</v>
      </c>
      <c r="F52" s="372">
        <v>0</v>
      </c>
      <c r="G52" s="372">
        <v>0</v>
      </c>
      <c r="H52" s="26">
        <f>'Sales Schedule'!E14*H53</f>
        <v>0</v>
      </c>
      <c r="I52" s="26">
        <f>'Sales Schedule'!F14*I53</f>
        <v>60439.829632000001</v>
      </c>
      <c r="J52" s="26">
        <f>'Sales Schedule'!J14*J53</f>
        <v>198046.64662692003</v>
      </c>
      <c r="K52" s="26">
        <f>'Sales Schedule'!N14*K53</f>
        <v>221131.03810346645</v>
      </c>
      <c r="L52" s="26">
        <f>'Sales Schedule'!R14*L53</f>
        <v>209826.05586743072</v>
      </c>
      <c r="M52" s="26">
        <f>'Sales Schedule'!V14*M53</f>
        <v>202370.11789996215</v>
      </c>
    </row>
    <row r="53" spans="2:17" ht="14.25" customHeight="1" x14ac:dyDescent="0.25">
      <c r="B53" s="52" t="s">
        <v>434</v>
      </c>
      <c r="C53" s="359"/>
      <c r="D53" s="372"/>
      <c r="E53" s="372"/>
      <c r="F53" s="372"/>
      <c r="G53" s="372"/>
      <c r="H53" s="32"/>
      <c r="I53" s="32">
        <v>5.0000000000000001E-3</v>
      </c>
      <c r="J53" s="32">
        <f>I53</f>
        <v>5.0000000000000001E-3</v>
      </c>
      <c r="K53" s="32">
        <v>4.0000000000000001E-3</v>
      </c>
      <c r="L53" s="32">
        <v>3.0000000000000001E-3</v>
      </c>
      <c r="M53" s="32">
        <v>2.5000000000000001E-3</v>
      </c>
    </row>
    <row r="54" spans="2:17" ht="14.25" customHeight="1" x14ac:dyDescent="0.25">
      <c r="B54" s="49" t="s">
        <v>428</v>
      </c>
      <c r="C54" s="359"/>
      <c r="D54" s="372"/>
      <c r="E54" s="372"/>
      <c r="F54" s="372"/>
      <c r="G54" s="372"/>
      <c r="H54" s="26"/>
      <c r="I54" s="26">
        <v>75000</v>
      </c>
      <c r="J54" s="26">
        <v>250000</v>
      </c>
      <c r="K54" s="26">
        <v>250000</v>
      </c>
      <c r="L54" s="26">
        <v>300000</v>
      </c>
      <c r="M54" s="26">
        <v>300000</v>
      </c>
    </row>
    <row r="55" spans="2:17" ht="14.25" customHeight="1" x14ac:dyDescent="0.25">
      <c r="B55" s="52" t="s">
        <v>435</v>
      </c>
      <c r="C55" s="359"/>
      <c r="D55" s="372"/>
      <c r="E55" s="372"/>
      <c r="F55" s="372"/>
      <c r="G55" s="372"/>
      <c r="H55" s="26"/>
      <c r="I55" s="26"/>
      <c r="J55" s="26"/>
      <c r="K55" s="26"/>
      <c r="L55" s="26"/>
      <c r="M55" s="26"/>
    </row>
    <row r="56" spans="2:17" ht="14.25" customHeight="1" x14ac:dyDescent="0.25">
      <c r="B56" s="49" t="s">
        <v>653</v>
      </c>
      <c r="C56" s="359"/>
      <c r="D56" s="372"/>
      <c r="E56" s="372"/>
      <c r="F56" s="372"/>
      <c r="G56" s="372"/>
      <c r="H56" s="26"/>
      <c r="I56" s="26">
        <v>336000</v>
      </c>
      <c r="J56" s="26"/>
      <c r="K56" s="26"/>
      <c r="L56" s="26"/>
      <c r="M56" s="26"/>
    </row>
    <row r="57" spans="2:17" ht="14.25" customHeight="1" x14ac:dyDescent="0.25">
      <c r="B57" s="49" t="s">
        <v>691</v>
      </c>
      <c r="C57" s="359"/>
      <c r="D57" s="372"/>
      <c r="E57" s="372"/>
      <c r="F57" s="372"/>
      <c r="G57" s="372"/>
      <c r="H57" s="26"/>
      <c r="I57" s="26"/>
      <c r="J57" s="26">
        <f>'Cash Flow St.'!$C$21*12%</f>
        <v>2400000</v>
      </c>
      <c r="K57" s="26">
        <f>'Cash Flow St.'!$C$21*12%</f>
        <v>2400000</v>
      </c>
      <c r="L57" s="26">
        <f>'Cash Flow St.'!$C$21*12%</f>
        <v>2400000</v>
      </c>
      <c r="M57" s="26">
        <f>'Cash Flow St.'!$C$21*12%</f>
        <v>2400000</v>
      </c>
    </row>
    <row r="58" spans="2:17" ht="14.25" customHeight="1" x14ac:dyDescent="0.25">
      <c r="B58" s="49" t="s">
        <v>423</v>
      </c>
      <c r="C58" s="359"/>
      <c r="D58" s="26">
        <f>19808+898+1300+14530+119014+29630-58615+176048</f>
        <v>302613</v>
      </c>
      <c r="E58" s="26">
        <f>9998+16542+59652+76018+31564-3420+255400</f>
        <v>445754</v>
      </c>
      <c r="F58" s="26">
        <f>102078+55493+30545</f>
        <v>188116</v>
      </c>
      <c r="G58" s="344">
        <f>48244+129798+3552+3731+2100-1</f>
        <v>187424</v>
      </c>
      <c r="H58" s="26">
        <f>11800+82120+77192+12645+1711</f>
        <v>185468</v>
      </c>
      <c r="I58" s="26">
        <f>I59*I9</f>
        <v>138649.22227920001</v>
      </c>
      <c r="J58" s="26">
        <f>J59*J9</f>
        <v>282598.47722195101</v>
      </c>
      <c r="K58" s="26">
        <f>K59*K9</f>
        <v>374028.46035496029</v>
      </c>
      <c r="L58" s="26">
        <f>L59*L9</f>
        <v>430523.81186491193</v>
      </c>
      <c r="M58" s="26">
        <f>M59*M9</f>
        <v>558128.20411966916</v>
      </c>
    </row>
    <row r="59" spans="2:17" ht="14.25" customHeight="1" x14ac:dyDescent="0.25">
      <c r="B59" s="52" t="s">
        <v>54</v>
      </c>
      <c r="C59" s="359" t="e">
        <f>AVERAGE(D59:F59)</f>
        <v>#DIV/0!</v>
      </c>
      <c r="D59" s="31"/>
      <c r="E59" s="31"/>
      <c r="F59" s="31"/>
      <c r="G59" s="31"/>
      <c r="H59" s="32"/>
      <c r="I59" s="32">
        <v>3.0000000000000001E-3</v>
      </c>
      <c r="J59" s="32">
        <v>1.5E-3</v>
      </c>
      <c r="K59" s="32">
        <v>1.1999999999999999E-3</v>
      </c>
      <c r="L59" s="32">
        <v>1E-3</v>
      </c>
      <c r="M59" s="32">
        <v>1E-3</v>
      </c>
    </row>
    <row r="60" spans="2:17" s="8" customFormat="1" ht="14.25" customHeight="1" x14ac:dyDescent="0.25">
      <c r="B60" s="51" t="s">
        <v>338</v>
      </c>
      <c r="C60" s="362"/>
      <c r="D60" s="27">
        <f t="shared" ref="D60:M60" si="9">SUM(D22:D58)</f>
        <v>1998768.59015369</v>
      </c>
      <c r="E60" s="27">
        <f t="shared" si="9"/>
        <v>2489029.0732367332</v>
      </c>
      <c r="F60" s="27">
        <f>SUM(F22:F58)</f>
        <v>5443213.2985807974</v>
      </c>
      <c r="G60" s="27">
        <f t="shared" si="9"/>
        <v>2467014</v>
      </c>
      <c r="H60" s="27">
        <f t="shared" si="9"/>
        <v>5809879</v>
      </c>
      <c r="I60" s="27">
        <f t="shared" si="9"/>
        <v>9433835.4684771989</v>
      </c>
      <c r="J60" s="27">
        <f t="shared" si="9"/>
        <v>33436248.259187073</v>
      </c>
      <c r="K60" s="27">
        <f t="shared" si="9"/>
        <v>42134739.310712814</v>
      </c>
      <c r="L60" s="27">
        <f t="shared" si="9"/>
        <v>54959283.203270607</v>
      </c>
      <c r="M60" s="27">
        <f t="shared" si="9"/>
        <v>59195702.706196435</v>
      </c>
      <c r="N60" s="1"/>
      <c r="O60" s="1"/>
      <c r="P60" s="1"/>
      <c r="Q60" s="1"/>
    </row>
    <row r="61" spans="2:17" ht="14.25" customHeight="1" x14ac:dyDescent="0.25">
      <c r="B61" s="49"/>
      <c r="C61" s="362"/>
      <c r="D61" s="26"/>
      <c r="E61" s="36"/>
      <c r="F61" s="35"/>
      <c r="G61" s="37"/>
      <c r="H61" s="37"/>
      <c r="I61" s="37"/>
      <c r="J61" s="37"/>
      <c r="K61" s="37"/>
      <c r="L61" s="37"/>
      <c r="M61" s="37"/>
    </row>
    <row r="62" spans="2:17" s="8" customFormat="1" ht="14.25" customHeight="1" x14ac:dyDescent="0.25">
      <c r="B62" s="49" t="s">
        <v>38</v>
      </c>
      <c r="C62" s="362"/>
      <c r="D62" s="27">
        <f t="shared" ref="D62:M62" si="10">D18-D60</f>
        <v>379293.68984630983</v>
      </c>
      <c r="E62" s="27">
        <f t="shared" si="10"/>
        <v>858280.92676326679</v>
      </c>
      <c r="F62" s="27">
        <f t="shared" si="10"/>
        <v>489130.70141920261</v>
      </c>
      <c r="G62" s="27">
        <f t="shared" si="10"/>
        <v>758215</v>
      </c>
      <c r="H62" s="27">
        <f t="shared" si="10"/>
        <v>809147</v>
      </c>
      <c r="I62" s="27">
        <f t="shared" si="10"/>
        <v>6186473.04312828</v>
      </c>
      <c r="J62" s="27">
        <f t="shared" si="10"/>
        <v>54860660.524521619</v>
      </c>
      <c r="K62" s="27">
        <f t="shared" si="10"/>
        <v>87542738.892651677</v>
      </c>
      <c r="L62" s="27">
        <f t="shared" si="10"/>
        <v>147060211.95668048</v>
      </c>
      <c r="M62" s="27">
        <f t="shared" si="10"/>
        <v>172979499.76452363</v>
      </c>
      <c r="N62" s="1"/>
      <c r="O62" s="526"/>
      <c r="P62" s="1"/>
      <c r="Q62" s="1"/>
    </row>
    <row r="63" spans="2:17" s="8" customFormat="1" ht="14.25" customHeight="1" x14ac:dyDescent="0.25">
      <c r="B63" s="49" t="s">
        <v>75</v>
      </c>
      <c r="C63" s="362"/>
      <c r="D63" s="128">
        <f t="shared" ref="D63:M63" si="11">D62/D9</f>
        <v>7.92831185699098E-2</v>
      </c>
      <c r="E63" s="128">
        <f t="shared" si="11"/>
        <v>9.5969603780106397E-2</v>
      </c>
      <c r="F63" s="128">
        <f t="shared" si="11"/>
        <v>4.918035059328961E-2</v>
      </c>
      <c r="G63" s="128">
        <f t="shared" si="11"/>
        <v>0.10156845272860353</v>
      </c>
      <c r="H63" s="128">
        <f t="shared" si="11"/>
        <v>7.2036420125188835E-2</v>
      </c>
      <c r="I63" s="128">
        <f t="shared" si="11"/>
        <v>0.13385880442958031</v>
      </c>
      <c r="J63" s="128">
        <f t="shared" si="11"/>
        <v>0.29119403471573424</v>
      </c>
      <c r="K63" s="128">
        <f t="shared" si="11"/>
        <v>0.28086442024087227</v>
      </c>
      <c r="L63" s="128">
        <f t="shared" si="11"/>
        <v>0.3415843860520878</v>
      </c>
      <c r="M63" s="128">
        <f t="shared" si="11"/>
        <v>0.30992789557618344</v>
      </c>
      <c r="N63" s="1"/>
      <c r="O63" s="1"/>
      <c r="P63" s="1"/>
      <c r="Q63" s="1"/>
    </row>
    <row r="64" spans="2:17" ht="14.25" customHeight="1" x14ac:dyDescent="0.25">
      <c r="B64" s="49" t="s">
        <v>683</v>
      </c>
      <c r="C64" s="359"/>
      <c r="D64" s="26">
        <v>213082.87</v>
      </c>
      <c r="E64" s="26">
        <v>243749</v>
      </c>
      <c r="F64" s="26">
        <v>243347</v>
      </c>
      <c r="G64" s="26">
        <f>'FA Schedule'!Y7</f>
        <v>205924</v>
      </c>
      <c r="H64" s="26">
        <f>'FA Schedule'!AE7</f>
        <v>174569</v>
      </c>
      <c r="I64" s="26">
        <f>'FA Schedule'!AK7</f>
        <v>792936.9</v>
      </c>
      <c r="J64" s="26">
        <f>'FA Schedule'!AQ7</f>
        <v>861766.36499999987</v>
      </c>
      <c r="K64" s="26">
        <f>'FA Schedule'!AW7</f>
        <v>1102097.28525</v>
      </c>
      <c r="L64" s="26">
        <f>'FA Schedule'!BC7</f>
        <v>1387390.1924624997</v>
      </c>
      <c r="M64" s="26">
        <f>'FA Schedule'!BI7</f>
        <v>1717682.4198431247</v>
      </c>
    </row>
    <row r="65" spans="1:17" ht="14.25" customHeight="1" x14ac:dyDescent="0.25">
      <c r="B65" s="52" t="s">
        <v>645</v>
      </c>
      <c r="C65" s="359"/>
      <c r="D65" s="30"/>
      <c r="E65" s="26"/>
      <c r="F65" s="26"/>
      <c r="G65" s="26"/>
      <c r="H65" s="26"/>
      <c r="I65" s="26"/>
      <c r="J65" s="26"/>
      <c r="K65" s="26"/>
      <c r="L65" s="26"/>
      <c r="M65" s="26"/>
    </row>
    <row r="66" spans="1:17" s="8" customFormat="1" ht="14.25" customHeight="1" x14ac:dyDescent="0.25">
      <c r="B66" s="53" t="s">
        <v>13</v>
      </c>
      <c r="C66" s="362"/>
      <c r="D66" s="38">
        <f>D62-D64</f>
        <v>166210.81984630984</v>
      </c>
      <c r="E66" s="38">
        <f t="shared" ref="E66:L66" si="12">E62-E64</f>
        <v>614531.92676326679</v>
      </c>
      <c r="F66" s="38">
        <f t="shared" si="12"/>
        <v>245783.70141920261</v>
      </c>
      <c r="G66" s="38">
        <f t="shared" si="12"/>
        <v>552291</v>
      </c>
      <c r="H66" s="38">
        <f>H62-H64</f>
        <v>634578</v>
      </c>
      <c r="I66" s="38">
        <f t="shared" si="12"/>
        <v>5393536.1431282796</v>
      </c>
      <c r="J66" s="38">
        <f t="shared" si="12"/>
        <v>53998894.159521617</v>
      </c>
      <c r="K66" s="38">
        <f t="shared" si="12"/>
        <v>86440641.607401684</v>
      </c>
      <c r="L66" s="38">
        <f t="shared" si="12"/>
        <v>145672821.76421797</v>
      </c>
      <c r="M66" s="38">
        <f>M62-M64</f>
        <v>171261817.34468049</v>
      </c>
      <c r="N66" s="1"/>
      <c r="O66" s="1"/>
      <c r="P66" s="1"/>
      <c r="Q66" s="1"/>
    </row>
    <row r="67" spans="1:17" s="8" customFormat="1" ht="14.25" customHeight="1" x14ac:dyDescent="0.25">
      <c r="B67" s="53"/>
      <c r="C67" s="120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1"/>
      <c r="O67" s="1"/>
      <c r="P67" s="1"/>
      <c r="Q67" s="1"/>
    </row>
    <row r="68" spans="1:17" ht="14.25" customHeight="1" x14ac:dyDescent="0.25">
      <c r="A68" s="599"/>
      <c r="B68" s="49" t="s">
        <v>33</v>
      </c>
      <c r="C68" s="122">
        <v>0.18</v>
      </c>
      <c r="D68" s="30">
        <v>156568</v>
      </c>
      <c r="E68" s="26">
        <f>224361+78022</f>
        <v>302383</v>
      </c>
      <c r="F68" s="26">
        <v>0</v>
      </c>
      <c r="G68" s="26"/>
      <c r="H68" s="26">
        <v>0</v>
      </c>
      <c r="I68" s="26">
        <f>(2500000*10.5%*4/12)+(15000000*$A$69*7/12)</f>
        <v>1093750</v>
      </c>
      <c r="J68" s="26">
        <f>(5000000)*$A$69</f>
        <v>575000</v>
      </c>
      <c r="K68" s="26">
        <f t="shared" ref="K68:M68" si="13">(5000000)*$A$69</f>
        <v>575000</v>
      </c>
      <c r="L68" s="26">
        <f t="shared" si="13"/>
        <v>575000</v>
      </c>
      <c r="M68" s="26">
        <f t="shared" si="13"/>
        <v>575000</v>
      </c>
    </row>
    <row r="69" spans="1:17" ht="14.25" customHeight="1" x14ac:dyDescent="0.25">
      <c r="A69" s="607">
        <v>0.115</v>
      </c>
      <c r="B69" s="49" t="s">
        <v>654</v>
      </c>
      <c r="C69" s="124"/>
      <c r="D69" s="30">
        <v>0</v>
      </c>
      <c r="E69" s="26">
        <v>0</v>
      </c>
      <c r="F69" s="26">
        <v>374820</v>
      </c>
      <c r="G69" s="26">
        <v>389954</v>
      </c>
      <c r="H69" s="26">
        <f>228989+132696</f>
        <v>361685</v>
      </c>
      <c r="I69" s="26">
        <f>30000*12</f>
        <v>360000</v>
      </c>
      <c r="J69" s="26">
        <f>'50L T.L. Repayment Sch.'!Q15*10^5</f>
        <v>573884.70470303099</v>
      </c>
      <c r="K69" s="26">
        <f>'50L T.L. Repayment Sch.'!Q23*10^5</f>
        <v>512338.63615445123</v>
      </c>
      <c r="L69" s="26">
        <f>'50L T.L. Repayment Sch.'!Q31*10^5</f>
        <v>442986.98560769373</v>
      </c>
      <c r="M69" s="26">
        <f>'50L T.L. Repayment Sch.'!Q39*10^5</f>
        <v>364839.80989064171</v>
      </c>
    </row>
    <row r="70" spans="1:17" ht="14.25" customHeight="1" x14ac:dyDescent="0.25">
      <c r="A70" s="599" t="s">
        <v>652</v>
      </c>
      <c r="B70" s="49" t="s">
        <v>11</v>
      </c>
      <c r="C70" s="123"/>
      <c r="D70" s="27">
        <f t="shared" ref="D70:M70" si="14">D66-SUM(D68:D69)</f>
        <v>9642.8198463098379</v>
      </c>
      <c r="E70" s="27">
        <f t="shared" si="14"/>
        <v>312148.92676326679</v>
      </c>
      <c r="F70" s="27">
        <f t="shared" si="14"/>
        <v>-129036.29858079739</v>
      </c>
      <c r="G70" s="27">
        <f t="shared" si="14"/>
        <v>162337</v>
      </c>
      <c r="H70" s="27">
        <f t="shared" si="14"/>
        <v>272893</v>
      </c>
      <c r="I70" s="27">
        <f t="shared" si="14"/>
        <v>3939786.1431282796</v>
      </c>
      <c r="J70" s="27">
        <f t="shared" si="14"/>
        <v>52850009.454818584</v>
      </c>
      <c r="K70" s="27">
        <f t="shared" si="14"/>
        <v>85353302.971247226</v>
      </c>
      <c r="L70" s="27">
        <f t="shared" si="14"/>
        <v>144654834.77861029</v>
      </c>
      <c r="M70" s="27">
        <f t="shared" si="14"/>
        <v>170321977.53478986</v>
      </c>
    </row>
    <row r="71" spans="1:17" ht="14.25" customHeight="1" x14ac:dyDescent="0.25">
      <c r="A71" s="599"/>
      <c r="B71" s="51"/>
      <c r="C71" s="123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7" ht="14.25" customHeight="1" x14ac:dyDescent="0.25">
      <c r="A72" s="599"/>
      <c r="B72" s="49" t="s">
        <v>57</v>
      </c>
      <c r="C72" s="123"/>
      <c r="D72" s="27"/>
      <c r="E72" s="27"/>
      <c r="F72" s="27">
        <f>F70</f>
        <v>-129036.29858079739</v>
      </c>
      <c r="G72" s="27">
        <f>G70+F72</f>
        <v>33300.701419202611</v>
      </c>
      <c r="H72" s="27">
        <f>G72+H70</f>
        <v>306193.70141920261</v>
      </c>
      <c r="I72" s="27">
        <f>G72+I70</f>
        <v>3973086.8445474822</v>
      </c>
      <c r="J72" s="27">
        <f>I72+J70</f>
        <v>56823096.299366064</v>
      </c>
      <c r="K72" s="27">
        <f>J72+K70</f>
        <v>142176399.27061328</v>
      </c>
      <c r="L72" s="27">
        <f>K72+L70</f>
        <v>286831234.04922354</v>
      </c>
      <c r="M72" s="27">
        <f>L72+M70</f>
        <v>457153211.5840134</v>
      </c>
    </row>
    <row r="73" spans="1:17" s="5" customFormat="1" ht="14.25" customHeight="1" x14ac:dyDescent="0.25">
      <c r="A73" s="600"/>
      <c r="B73" s="49" t="s">
        <v>649</v>
      </c>
      <c r="C73" s="121">
        <f>30%*(1.12)*(1.04)</f>
        <v>0.34944000000000003</v>
      </c>
      <c r="D73" s="26"/>
      <c r="E73" s="26"/>
      <c r="F73" s="40">
        <f>IF(F72&gt;0,(F70*$C$73),0)</f>
        <v>0</v>
      </c>
      <c r="G73" s="40">
        <v>0</v>
      </c>
      <c r="H73" s="40">
        <v>85142</v>
      </c>
      <c r="I73" s="40">
        <f>IF(I72&gt;0,(I70*$C$73),0)</f>
        <v>1376718.8698547462</v>
      </c>
      <c r="J73" s="40">
        <f>IF(J72&gt;0,(J70*$C$73),0)</f>
        <v>18467907.303891808</v>
      </c>
      <c r="K73" s="40">
        <f>IF(K72&gt;0,(K70*$C$73),0)</f>
        <v>29825858.190272633</v>
      </c>
      <c r="L73" s="40">
        <f>IF(L72&gt;0,(L70*$C$73),0)</f>
        <v>50548185.465037584</v>
      </c>
      <c r="M73" s="40">
        <f>IF(M72&gt;0,(M70*$C$73),0)</f>
        <v>59517311.829756975</v>
      </c>
    </row>
    <row r="74" spans="1:17" ht="14.25" customHeight="1" x14ac:dyDescent="0.25">
      <c r="B74" s="51" t="s">
        <v>650</v>
      </c>
      <c r="C74" s="123"/>
      <c r="D74" s="27">
        <f t="shared" ref="D74:L74" si="15">D70-D73</f>
        <v>9642.8198463098379</v>
      </c>
      <c r="E74" s="27">
        <f t="shared" si="15"/>
        <v>312148.92676326679</v>
      </c>
      <c r="F74" s="27">
        <f t="shared" si="15"/>
        <v>-129036.29858079739</v>
      </c>
      <c r="G74" s="27">
        <f t="shared" si="15"/>
        <v>162337</v>
      </c>
      <c r="H74" s="27">
        <f>H70-H73</f>
        <v>187751</v>
      </c>
      <c r="I74" s="27">
        <f t="shared" si="15"/>
        <v>2563067.2732735332</v>
      </c>
      <c r="J74" s="27">
        <f t="shared" si="15"/>
        <v>34382102.150926776</v>
      </c>
      <c r="K74" s="27">
        <f t="shared" si="15"/>
        <v>55527444.780974597</v>
      </c>
      <c r="L74" s="27">
        <f t="shared" si="15"/>
        <v>94106649.313572705</v>
      </c>
      <c r="M74" s="27">
        <f>M70-M73</f>
        <v>110804665.70503289</v>
      </c>
      <c r="N74" s="7"/>
      <c r="O74" s="526"/>
    </row>
    <row r="75" spans="1:17" x14ac:dyDescent="0.25">
      <c r="B75" s="2"/>
      <c r="C75" s="125"/>
      <c r="D75" s="6"/>
      <c r="E75" s="15"/>
      <c r="F75" s="14"/>
      <c r="G75" s="14"/>
      <c r="H75" s="14"/>
      <c r="I75" s="14"/>
      <c r="J75" s="14"/>
      <c r="K75" s="14"/>
      <c r="L75" s="14"/>
      <c r="M75" s="14"/>
    </row>
    <row r="76" spans="1:17" x14ac:dyDescent="0.25">
      <c r="B76" s="264" t="s">
        <v>335</v>
      </c>
      <c r="C76" s="265"/>
      <c r="D76" s="266"/>
      <c r="E76" s="266"/>
      <c r="F76" s="266"/>
      <c r="G76" s="266"/>
      <c r="H76" s="120">
        <f t="shared" ref="H76:M76" si="16">H74/H9</f>
        <v>1.6715022010740113E-2</v>
      </c>
      <c r="I76" s="120">
        <f t="shared" si="16"/>
        <v>5.5457951320756343E-2</v>
      </c>
      <c r="J76" s="120">
        <f t="shared" si="16"/>
        <v>0.18249621771983204</v>
      </c>
      <c r="K76" s="120">
        <f t="shared" si="16"/>
        <v>0.17814936776183707</v>
      </c>
      <c r="L76" s="120">
        <f t="shared" si="16"/>
        <v>0.21858639805758553</v>
      </c>
      <c r="M76" s="120">
        <f t="shared" si="16"/>
        <v>0.19852905638374632</v>
      </c>
    </row>
    <row r="77" spans="1:17" x14ac:dyDescent="0.25">
      <c r="D77" s="1"/>
      <c r="E77" s="16"/>
    </row>
    <row r="78" spans="1:17" x14ac:dyDescent="0.25">
      <c r="D78" s="1"/>
      <c r="E78" s="16"/>
    </row>
    <row r="79" spans="1:17" x14ac:dyDescent="0.25">
      <c r="D79" s="1"/>
      <c r="E79" s="16"/>
    </row>
    <row r="80" spans="1:17" hidden="1" x14ac:dyDescent="0.25">
      <c r="B80" s="1" t="s">
        <v>632</v>
      </c>
      <c r="D80" s="1"/>
      <c r="E80" s="17"/>
      <c r="I80" s="7">
        <f>I60+I64+I73+I16</f>
        <v>42199590.153126463</v>
      </c>
      <c r="J80" s="7">
        <f>J60+J64+J73+J16</f>
        <v>152867997.95900419</v>
      </c>
      <c r="K80" s="7">
        <f>K60+K64+K73+K16</f>
        <v>255075600.21200454</v>
      </c>
      <c r="L80" s="7">
        <f>L60+L64+L73+L16</f>
        <v>335399175.56573153</v>
      </c>
      <c r="M80" s="7">
        <f>M60+M64+M73+M16</f>
        <v>446383698.60474569</v>
      </c>
      <c r="N80" s="7"/>
    </row>
    <row r="81" spans="2:13" hidden="1" x14ac:dyDescent="0.25">
      <c r="B81" s="1" t="s">
        <v>634</v>
      </c>
      <c r="D81" s="1"/>
      <c r="I81" s="505">
        <f>I16</f>
        <v>30596098.91479452</v>
      </c>
      <c r="J81" s="505">
        <f>J16</f>
        <v>100102076.0309253</v>
      </c>
      <c r="K81" s="505">
        <f>K16</f>
        <v>182012905.42576909</v>
      </c>
      <c r="L81" s="505">
        <f>L16</f>
        <v>228504316.70496082</v>
      </c>
      <c r="M81" s="505">
        <f>M16</f>
        <v>325953001.64894915</v>
      </c>
    </row>
    <row r="82" spans="2:13" hidden="1" x14ac:dyDescent="0.25">
      <c r="B82" s="1" t="s">
        <v>633</v>
      </c>
      <c r="D82" s="1"/>
      <c r="F82" s="1"/>
      <c r="I82" s="7">
        <f>I80-I81</f>
        <v>11603491.238331944</v>
      </c>
      <c r="J82" s="7">
        <f>J80-J81</f>
        <v>52765921.92807889</v>
      </c>
      <c r="K82" s="7">
        <f>K80-K81</f>
        <v>73062694.786235452</v>
      </c>
      <c r="L82" s="7">
        <f>L80-L81</f>
        <v>106894858.8607707</v>
      </c>
      <c r="M82" s="7">
        <f>M80-M81</f>
        <v>120430696.95579654</v>
      </c>
    </row>
  </sheetData>
  <pageMargins left="0.7" right="0.7" top="0.75" bottom="0.75" header="0.3" footer="0.3"/>
  <pageSetup scale="66" orientation="portrait" r:id="rId1"/>
  <colBreaks count="2" manualBreakCount="2">
    <brk id="7" max="75" man="1"/>
    <brk id="13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G26"/>
  <sheetViews>
    <sheetView workbookViewId="0">
      <selection activeCell="F14" sqref="F14"/>
    </sheetView>
  </sheetViews>
  <sheetFormatPr defaultRowHeight="15" x14ac:dyDescent="0.25"/>
  <cols>
    <col min="1" max="1" width="42.42578125" bestFit="1" customWidth="1"/>
    <col min="2" max="2" width="14.42578125" customWidth="1"/>
    <col min="3" max="3" width="14.85546875" style="10" bestFit="1" customWidth="1"/>
    <col min="4" max="4" width="12.140625" style="478" bestFit="1" customWidth="1"/>
    <col min="5" max="5" width="12.140625" bestFit="1" customWidth="1"/>
    <col min="6" max="6" width="11.5703125" bestFit="1" customWidth="1"/>
    <col min="7" max="7" width="15.140625" customWidth="1"/>
  </cols>
  <sheetData>
    <row r="2" spans="1:7" x14ac:dyDescent="0.25">
      <c r="A2" t="s">
        <v>601</v>
      </c>
      <c r="B2" s="10">
        <f>'Cash Flow St.'!C23</f>
        <v>0</v>
      </c>
      <c r="C2" s="10" t="s">
        <v>610</v>
      </c>
      <c r="D2" s="478" t="s">
        <v>611</v>
      </c>
      <c r="E2" t="s">
        <v>0</v>
      </c>
    </row>
    <row r="3" spans="1:7" x14ac:dyDescent="0.25">
      <c r="A3" t="s">
        <v>612</v>
      </c>
      <c r="F3" t="s">
        <v>640</v>
      </c>
    </row>
    <row r="4" spans="1:7" x14ac:dyDescent="0.25">
      <c r="A4" s="479" t="s">
        <v>613</v>
      </c>
      <c r="C4" s="10">
        <v>9615000</v>
      </c>
      <c r="D4" s="10">
        <f>'Profit &amp; Loss St.'!J32</f>
        <v>1800000</v>
      </c>
      <c r="E4" s="358">
        <f>SUM(C4:D4)</f>
        <v>11415000</v>
      </c>
      <c r="F4" t="s">
        <v>511</v>
      </c>
      <c r="G4" s="358">
        <f>C4/12*6</f>
        <v>4807500</v>
      </c>
    </row>
    <row r="5" spans="1:7" x14ac:dyDescent="0.25">
      <c r="A5" s="479" t="s">
        <v>614</v>
      </c>
      <c r="C5" s="480">
        <f>'Profit &amp; Loss St.'!I26+'Profit &amp; Loss St.'!I28+'Profit &amp; Loss St.'!I32+'Profit &amp; Loss St.'!I34+'Profit &amp; Loss St.'!I48</f>
        <v>129747.95750759999</v>
      </c>
      <c r="D5" s="480">
        <v>10045000</v>
      </c>
      <c r="E5" s="358">
        <f>SUM(C5:D5)</f>
        <v>10174747.957507599</v>
      </c>
      <c r="G5" s="358">
        <f>C5/12*6</f>
        <v>64873.978753799995</v>
      </c>
    </row>
    <row r="6" spans="1:7" x14ac:dyDescent="0.25">
      <c r="A6" s="479"/>
      <c r="B6" s="478" t="e">
        <f>C6/$B$2</f>
        <v>#DIV/0!</v>
      </c>
      <c r="C6" s="10">
        <f>SUM(C4:C5)</f>
        <v>9744747.9575075991</v>
      </c>
      <c r="D6" s="10">
        <f>SUM(D4:D5)</f>
        <v>11845000</v>
      </c>
      <c r="E6" s="482">
        <f>SUM(C6:D6)</f>
        <v>21589747.957507599</v>
      </c>
      <c r="F6" s="538" t="e">
        <f>G6/B2</f>
        <v>#DIV/0!</v>
      </c>
      <c r="G6" s="358">
        <f>SUM(G4:G5)</f>
        <v>4872373.9787537996</v>
      </c>
    </row>
    <row r="7" spans="1:7" x14ac:dyDescent="0.25">
      <c r="A7" s="481" t="s">
        <v>618</v>
      </c>
      <c r="B7" s="478"/>
      <c r="D7" s="10"/>
    </row>
    <row r="8" spans="1:7" x14ac:dyDescent="0.25">
      <c r="A8" s="479" t="s">
        <v>45</v>
      </c>
      <c r="B8" s="478" t="e">
        <f>C8/$B$2</f>
        <v>#DIV/0!</v>
      </c>
      <c r="C8" s="10">
        <f>-'DCF Valuation'!D12</f>
        <v>4214300</v>
      </c>
      <c r="D8" s="10">
        <f>-'DCF Valuation'!E12</f>
        <v>2503600</v>
      </c>
      <c r="E8" s="482">
        <f>SUM(C8:D8)</f>
        <v>6717900</v>
      </c>
      <c r="G8" s="478">
        <f>7/8</f>
        <v>0.875</v>
      </c>
    </row>
    <row r="9" spans="1:7" x14ac:dyDescent="0.25">
      <c r="A9" s="481" t="s">
        <v>616</v>
      </c>
      <c r="B9" s="478"/>
      <c r="D9" s="10"/>
    </row>
    <row r="10" spans="1:7" x14ac:dyDescent="0.25">
      <c r="A10" t="s">
        <v>615</v>
      </c>
      <c r="B10" s="478" t="e">
        <f>C10/$B$2</f>
        <v>#DIV/0!</v>
      </c>
      <c r="C10" s="10">
        <f>'Profit &amp; Loss St.'!I22-C4</f>
        <v>-5562000</v>
      </c>
      <c r="D10" s="10">
        <v>9962000</v>
      </c>
      <c r="E10" s="358">
        <f>SUM(C10:D10)</f>
        <v>4400000</v>
      </c>
      <c r="F10" s="358"/>
      <c r="G10" s="358">
        <f>C10/12*6</f>
        <v>-2781000</v>
      </c>
    </row>
    <row r="11" spans="1:7" x14ac:dyDescent="0.25">
      <c r="A11" t="s">
        <v>617</v>
      </c>
      <c r="B11" s="478" t="e">
        <f>C11/$B$2</f>
        <v>#DIV/0!</v>
      </c>
      <c r="C11" s="10">
        <f>'Profit &amp; Loss St.'!I24+'Profit &amp; Loss St.'!I30+'Profit &amp; Loss St.'!I36+'Profit &amp; Loss St.'!I38+'Profit &amp; Loss St.'!I40+'Profit &amp; Loss St.'!I42+'Profit &amp; Loss St.'!I44+'Profit &amp; Loss St.'!I46+'Profit &amp; Loss St.'!I50+'Profit &amp; Loss St.'!I58</f>
        <v>4779647.666837601</v>
      </c>
      <c r="D11" s="10">
        <v>9527000</v>
      </c>
      <c r="E11" s="358">
        <f>SUM(C11:D11)</f>
        <v>14306647.666837601</v>
      </c>
      <c r="G11" s="358">
        <f>C11/12*6</f>
        <v>2389823.8334188005</v>
      </c>
    </row>
    <row r="12" spans="1:7" x14ac:dyDescent="0.25">
      <c r="B12" s="478"/>
      <c r="D12" s="10"/>
      <c r="E12" s="482">
        <f>SUM(E10:E11)</f>
        <v>18706647.666837603</v>
      </c>
      <c r="G12" s="358">
        <f>SUM(G10:G11)</f>
        <v>-391176.1665811995</v>
      </c>
    </row>
    <row r="13" spans="1:7" x14ac:dyDescent="0.25">
      <c r="B13" s="478"/>
      <c r="D13" s="10"/>
      <c r="E13" s="358"/>
      <c r="G13" s="478" t="e">
        <f>G12/B2</f>
        <v>#DIV/0!</v>
      </c>
    </row>
    <row r="14" spans="1:7" x14ac:dyDescent="0.25">
      <c r="A14" t="s">
        <v>619</v>
      </c>
      <c r="B14" s="478" t="e">
        <f>C14/$B$2</f>
        <v>#DIV/0!</v>
      </c>
      <c r="C14" s="10">
        <f>('Profit &amp; Loss St.'!I12/12)*2</f>
        <v>5035278.8640000001</v>
      </c>
      <c r="D14" s="10">
        <f>-'Working Capital'!H27</f>
        <v>15104060.52479399</v>
      </c>
      <c r="E14" s="482">
        <f>SUM(C14:D14)</f>
        <v>20139339.38879399</v>
      </c>
    </row>
    <row r="15" spans="1:7" x14ac:dyDescent="0.25">
      <c r="A15" s="503" t="s">
        <v>629</v>
      </c>
      <c r="B15" s="478"/>
      <c r="D15" s="10"/>
      <c r="E15" s="482"/>
    </row>
    <row r="16" spans="1:7" x14ac:dyDescent="0.25">
      <c r="A16" t="s">
        <v>0</v>
      </c>
      <c r="B16" s="484" t="e">
        <f>SUM(B6:B15)</f>
        <v>#DIV/0!</v>
      </c>
      <c r="C16" s="483">
        <f>SUM(C6:C14)</f>
        <v>18211974.488345198</v>
      </c>
    </row>
    <row r="19" spans="1:2" x14ac:dyDescent="0.25">
      <c r="A19" t="s">
        <v>602</v>
      </c>
    </row>
    <row r="20" spans="1:2" x14ac:dyDescent="0.25">
      <c r="A20" t="s">
        <v>603</v>
      </c>
    </row>
    <row r="21" spans="1:2" x14ac:dyDescent="0.25">
      <c r="A21" t="s">
        <v>604</v>
      </c>
    </row>
    <row r="22" spans="1:2" x14ac:dyDescent="0.25">
      <c r="A22" t="s">
        <v>605</v>
      </c>
    </row>
    <row r="23" spans="1:2" x14ac:dyDescent="0.25">
      <c r="A23" s="9" t="s">
        <v>608</v>
      </c>
    </row>
    <row r="24" spans="1:2" x14ac:dyDescent="0.25">
      <c r="A24" s="9" t="s">
        <v>606</v>
      </c>
      <c r="B24" t="s">
        <v>609</v>
      </c>
    </row>
    <row r="26" spans="1:2" x14ac:dyDescent="0.25">
      <c r="A26" t="s">
        <v>607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92D050"/>
  </sheetPr>
  <dimension ref="A1:N62"/>
  <sheetViews>
    <sheetView showGridLines="0" zoomScale="90" zoomScaleNormal="90" workbookViewId="0">
      <pane xSplit="2" ySplit="6" topLeftCell="D7" activePane="bottomRight" state="frozen"/>
      <selection pane="topRight"/>
      <selection pane="bottomLeft"/>
      <selection pane="bottomRight" activeCell="J12" sqref="J12"/>
    </sheetView>
  </sheetViews>
  <sheetFormatPr defaultRowHeight="15" outlineLevelRow="1" outlineLevelCol="1" x14ac:dyDescent="0.25"/>
  <cols>
    <col min="1" max="1" width="4.140625" style="11" customWidth="1"/>
    <col min="2" max="2" width="36" style="11" customWidth="1"/>
    <col min="3" max="3" width="12.140625" style="11" hidden="1" customWidth="1"/>
    <col min="4" max="4" width="11.85546875" style="12" customWidth="1" outlineLevel="1"/>
    <col min="5" max="7" width="14.85546875" style="11" customWidth="1" outlineLevel="1"/>
    <col min="8" max="8" width="14.85546875" style="24" customWidth="1" outlineLevel="1"/>
    <col min="9" max="12" width="14.85546875" style="11" customWidth="1"/>
    <col min="13" max="13" width="13.5703125" style="11" customWidth="1"/>
    <col min="14" max="14" width="16.28515625" style="11" bestFit="1" customWidth="1"/>
    <col min="15" max="15" width="13.28515625" style="11" bestFit="1" customWidth="1"/>
    <col min="16" max="17" width="14.42578125" style="11" bestFit="1" customWidth="1"/>
    <col min="18" max="18" width="9.140625" style="11"/>
    <col min="19" max="19" width="13.7109375" style="11" bestFit="1" customWidth="1"/>
    <col min="20" max="16384" width="9.140625" style="11"/>
  </cols>
  <sheetData>
    <row r="1" spans="1:14" s="499" customFormat="1" ht="14.25" x14ac:dyDescent="0.2">
      <c r="A1" s="542" t="str">
        <f>Summary!A1</f>
        <v>ABC Nutri foods</v>
      </c>
      <c r="B1" s="498"/>
      <c r="C1" s="498"/>
    </row>
    <row r="2" spans="1:14" s="502" customFormat="1" ht="14.25" x14ac:dyDescent="0.2">
      <c r="A2" s="500" t="s">
        <v>449</v>
      </c>
      <c r="B2" s="501"/>
      <c r="C2" s="501"/>
    </row>
    <row r="4" spans="1:14" x14ac:dyDescent="0.2">
      <c r="B4" s="43"/>
      <c r="C4" s="43"/>
      <c r="D4" s="54" t="str">
        <f>'Profit &amp; Loss St.'!D4</f>
        <v>Actual</v>
      </c>
      <c r="E4" s="54" t="str">
        <f>'Profit &amp; Loss St.'!E4</f>
        <v>Actual</v>
      </c>
      <c r="F4" s="54" t="str">
        <f>'Profit &amp; Loss St.'!F4</f>
        <v>Actual</v>
      </c>
      <c r="G4" s="54" t="str">
        <f>'Profit &amp; Loss St.'!G4</f>
        <v>Actual</v>
      </c>
      <c r="H4" s="54" t="str">
        <f>'Profit &amp; Loss St.'!H4</f>
        <v>Actual</v>
      </c>
      <c r="I4" s="54" t="str">
        <f>'Profit &amp; Loss St.'!I4</f>
        <v>Provisional</v>
      </c>
      <c r="J4" s="54" t="str">
        <f>'Profit &amp; Loss St.'!J4</f>
        <v>Projected</v>
      </c>
      <c r="K4" s="54" t="str">
        <f>'Profit &amp; Loss St.'!K4</f>
        <v>Projected</v>
      </c>
      <c r="L4" s="54" t="str">
        <f>'Profit &amp; Loss St.'!L4</f>
        <v>Projected</v>
      </c>
      <c r="M4" s="54" t="str">
        <f>'Profit &amp; Loss St.'!M4</f>
        <v>Projected</v>
      </c>
    </row>
    <row r="5" spans="1:14" ht="14.25" x14ac:dyDescent="0.2">
      <c r="B5" s="44" t="s">
        <v>2</v>
      </c>
      <c r="C5" s="44"/>
      <c r="D5" s="45">
        <v>43190</v>
      </c>
      <c r="E5" s="45">
        <v>43555</v>
      </c>
      <c r="F5" s="46">
        <v>43921</v>
      </c>
      <c r="G5" s="47">
        <v>44286</v>
      </c>
      <c r="H5" s="48">
        <v>44651</v>
      </c>
      <c r="I5" s="48">
        <v>45016</v>
      </c>
      <c r="J5" s="48">
        <v>45382</v>
      </c>
      <c r="K5" s="48">
        <v>45747</v>
      </c>
      <c r="L5" s="48">
        <v>46112</v>
      </c>
      <c r="M5" s="48">
        <v>46477</v>
      </c>
    </row>
    <row r="6" spans="1:14" ht="14.25" x14ac:dyDescent="0.2">
      <c r="B6" s="269" t="s">
        <v>622</v>
      </c>
      <c r="C6" s="55"/>
      <c r="D6" s="55"/>
      <c r="E6" s="55"/>
      <c r="F6" s="55"/>
      <c r="G6" s="56"/>
      <c r="H6" s="56"/>
      <c r="I6" s="56"/>
      <c r="J6" s="56"/>
      <c r="K6" s="56"/>
      <c r="L6" s="56"/>
      <c r="M6" s="56"/>
    </row>
    <row r="7" spans="1:14" ht="15" customHeight="1" x14ac:dyDescent="0.2">
      <c r="B7" s="49" t="s">
        <v>313</v>
      </c>
      <c r="C7" s="55"/>
      <c r="D7" s="55"/>
      <c r="E7" s="55"/>
      <c r="F7" s="55"/>
      <c r="G7" s="56"/>
      <c r="H7" s="56"/>
      <c r="I7" s="56"/>
      <c r="J7" s="56"/>
      <c r="K7" s="56"/>
      <c r="L7" s="56"/>
      <c r="M7" s="56"/>
    </row>
    <row r="8" spans="1:14" ht="14.25" x14ac:dyDescent="0.2">
      <c r="B8" s="127" t="s">
        <v>74</v>
      </c>
      <c r="C8" s="55"/>
      <c r="D8" s="55">
        <v>-226735</v>
      </c>
      <c r="E8" s="55">
        <v>85414</v>
      </c>
      <c r="F8" s="55">
        <f>85413+'Profit &amp; Loss St.'!F74</f>
        <v>-43623.298580797389</v>
      </c>
      <c r="G8" s="55">
        <f>98679+10964-80630</f>
        <v>29013</v>
      </c>
      <c r="H8" s="55">
        <f>100000-70986+187752</f>
        <v>216766</v>
      </c>
      <c r="I8" s="55">
        <f>H8+'Profit &amp; Loss St.'!I74</f>
        <v>2779833.2732735332</v>
      </c>
      <c r="J8" s="55">
        <f>I8+'Profit &amp; Loss St.'!J74</f>
        <v>37161935.424200311</v>
      </c>
      <c r="K8" s="55">
        <f>J8+'Profit &amp; Loss St.'!K74</f>
        <v>92689380.205174908</v>
      </c>
      <c r="L8" s="55">
        <f>K8+'Profit &amp; Loss St.'!L74</f>
        <v>186796029.51874763</v>
      </c>
      <c r="M8" s="55">
        <f>L8+'Profit &amp; Loss St.'!M74</f>
        <v>297600695.22378051</v>
      </c>
      <c r="N8" s="525"/>
    </row>
    <row r="9" spans="1:14" ht="14.25" x14ac:dyDescent="0.2">
      <c r="B9" s="51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4" ht="14.25" x14ac:dyDescent="0.2">
      <c r="B10" s="51" t="s">
        <v>621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  <row r="11" spans="1:14" ht="14.25" x14ac:dyDescent="0.2">
      <c r="B11" s="49" t="s">
        <v>44</v>
      </c>
      <c r="C11" s="55"/>
      <c r="D11" s="55">
        <v>1930079.26</v>
      </c>
      <c r="E11" s="55">
        <v>2513370.67</v>
      </c>
      <c r="F11" s="55">
        <v>2849184</v>
      </c>
      <c r="G11" s="55">
        <v>2039591</v>
      </c>
      <c r="H11" s="55">
        <v>2725442</v>
      </c>
      <c r="I11" s="595">
        <f>H11+15000000</f>
        <v>17725442</v>
      </c>
      <c r="J11" s="595">
        <f>I11</f>
        <v>17725442</v>
      </c>
      <c r="K11" s="55">
        <f>J11</f>
        <v>17725442</v>
      </c>
      <c r="L11" s="595">
        <f>K11</f>
        <v>17725442</v>
      </c>
      <c r="M11" s="55">
        <f>L11</f>
        <v>17725442</v>
      </c>
    </row>
    <row r="12" spans="1:14" ht="14.25" x14ac:dyDescent="0.2">
      <c r="B12" s="49" t="s">
        <v>697</v>
      </c>
      <c r="C12" s="55"/>
      <c r="D12" s="55"/>
      <c r="E12" s="55"/>
      <c r="F12" s="55"/>
      <c r="G12" s="55"/>
      <c r="H12" s="55"/>
      <c r="I12" s="595"/>
      <c r="J12" s="595">
        <f>'50L T.L. Repayment Sch.'!$E$14*10^5-'50L T.L. Repayment Sch.'!$Q$17*10^5</f>
        <v>4514716.7047030311</v>
      </c>
      <c r="K12" s="55">
        <f>J12-'50L T.L. Repayment Sch.'!$Q$25*10^5</f>
        <v>3967887.3408574825</v>
      </c>
      <c r="L12" s="594">
        <f>K12-'50L T.L. Repayment Sch.'!$Q$33*10^5</f>
        <v>3351706.3264651764</v>
      </c>
      <c r="M12" s="55">
        <f>L12-'50L T.L. Repayment Sch.'!$Q$41*10^5</f>
        <v>2657378.1363558182</v>
      </c>
    </row>
    <row r="13" spans="1:14" ht="14.25" x14ac:dyDescent="0.2">
      <c r="B13" s="49" t="s">
        <v>696</v>
      </c>
      <c r="C13" s="55"/>
      <c r="D13" s="55"/>
      <c r="E13" s="55"/>
      <c r="F13" s="55"/>
      <c r="G13" s="55"/>
      <c r="H13" s="55"/>
      <c r="I13" s="595">
        <f>'Cash Flow St.'!$C$21</f>
        <v>20000000</v>
      </c>
      <c r="J13" s="595">
        <f>I13</f>
        <v>20000000</v>
      </c>
      <c r="K13" s="55">
        <f>J13</f>
        <v>20000000</v>
      </c>
      <c r="L13" s="55">
        <f t="shared" ref="L13:M13" si="0">K13</f>
        <v>20000000</v>
      </c>
      <c r="M13" s="55">
        <f t="shared" si="0"/>
        <v>20000000</v>
      </c>
    </row>
    <row r="14" spans="1:14" ht="14.25" x14ac:dyDescent="0.2">
      <c r="B14" s="49" t="s">
        <v>698</v>
      </c>
      <c r="C14" s="55"/>
      <c r="D14" s="55"/>
      <c r="E14" s="55"/>
      <c r="F14" s="55"/>
      <c r="G14" s="55"/>
      <c r="H14" s="55"/>
      <c r="I14" s="595"/>
      <c r="J14" s="595">
        <f>'Profit &amp; Loss St.'!J57</f>
        <v>2400000</v>
      </c>
      <c r="K14" s="595">
        <f>J14+'Profit &amp; Loss St.'!K57</f>
        <v>4800000</v>
      </c>
      <c r="L14" s="595">
        <f>K14+'Profit &amp; Loss St.'!L57</f>
        <v>7200000</v>
      </c>
      <c r="M14" s="595">
        <f>L14+'Profit &amp; Loss St.'!M57</f>
        <v>9600000</v>
      </c>
    </row>
    <row r="15" spans="1:14" ht="14.25" x14ac:dyDescent="0.2">
      <c r="B15" s="49" t="s">
        <v>48</v>
      </c>
      <c r="C15" s="55"/>
      <c r="D15" s="55">
        <v>2271120.17</v>
      </c>
      <c r="E15" s="55">
        <v>2025947</v>
      </c>
      <c r="F15" s="55">
        <v>1546388</v>
      </c>
      <c r="G15" s="55">
        <v>824631</v>
      </c>
      <c r="H15" s="55">
        <f>648004+107099</f>
        <v>755103</v>
      </c>
      <c r="I15" s="55">
        <f t="shared" ref="I15:I21" si="1">H15</f>
        <v>755103</v>
      </c>
      <c r="J15" s="55">
        <f t="shared" ref="J15:J21" si="2">I15</f>
        <v>755103</v>
      </c>
      <c r="K15" s="595">
        <f>J15-J15/6</f>
        <v>629252.5</v>
      </c>
      <c r="L15" s="55">
        <f>K15-J15/3</f>
        <v>377551.5</v>
      </c>
      <c r="M15" s="55">
        <f>L15-J15/2</f>
        <v>0</v>
      </c>
    </row>
    <row r="16" spans="1:14" ht="14.25" x14ac:dyDescent="0.2">
      <c r="B16" s="49" t="s">
        <v>55</v>
      </c>
      <c r="C16" s="55"/>
      <c r="D16" s="55"/>
      <c r="E16" s="55">
        <v>-8320</v>
      </c>
      <c r="F16" s="55">
        <v>-8320</v>
      </c>
      <c r="G16" s="55">
        <v>-8320</v>
      </c>
      <c r="H16" s="55">
        <v>0</v>
      </c>
      <c r="I16" s="55">
        <f t="shared" si="1"/>
        <v>0</v>
      </c>
      <c r="J16" s="55">
        <f t="shared" si="2"/>
        <v>0</v>
      </c>
      <c r="K16" s="55">
        <f t="shared" ref="K16:M21" si="3">J16</f>
        <v>0</v>
      </c>
      <c r="L16" s="55">
        <f t="shared" si="3"/>
        <v>0</v>
      </c>
      <c r="M16" s="55">
        <f t="shared" si="3"/>
        <v>0</v>
      </c>
    </row>
    <row r="17" spans="2:13" ht="14.25" x14ac:dyDescent="0.2">
      <c r="B17" s="49" t="s">
        <v>56</v>
      </c>
      <c r="C17" s="55"/>
      <c r="D17" s="55"/>
      <c r="E17" s="55"/>
      <c r="F17" s="55">
        <v>-93270</v>
      </c>
      <c r="G17" s="55">
        <v>-93270</v>
      </c>
      <c r="H17" s="55">
        <v>0</v>
      </c>
      <c r="I17" s="55">
        <f t="shared" si="1"/>
        <v>0</v>
      </c>
      <c r="J17" s="55">
        <f t="shared" ref="J17:M18" si="4">I17</f>
        <v>0</v>
      </c>
      <c r="K17" s="55">
        <f t="shared" si="4"/>
        <v>0</v>
      </c>
      <c r="L17" s="55">
        <f t="shared" si="4"/>
        <v>0</v>
      </c>
      <c r="M17" s="55">
        <f t="shared" si="4"/>
        <v>0</v>
      </c>
    </row>
    <row r="18" spans="2:13" ht="14.25" x14ac:dyDescent="0.2">
      <c r="B18" s="50" t="s">
        <v>688</v>
      </c>
      <c r="C18" s="55"/>
      <c r="D18" s="55">
        <v>327468</v>
      </c>
      <c r="E18" s="55">
        <v>17477.57</v>
      </c>
      <c r="F18" s="55">
        <v>0</v>
      </c>
      <c r="G18" s="55">
        <v>17478</v>
      </c>
      <c r="H18" s="55">
        <f>161921+565127+17478</f>
        <v>744526</v>
      </c>
      <c r="I18" s="55">
        <f>H18</f>
        <v>744526</v>
      </c>
      <c r="J18" s="595">
        <f>I18</f>
        <v>744526</v>
      </c>
      <c r="K18" s="55">
        <f>J18</f>
        <v>744526</v>
      </c>
      <c r="L18" s="55">
        <f>K18</f>
        <v>744526</v>
      </c>
      <c r="M18" s="55">
        <f t="shared" si="4"/>
        <v>744526</v>
      </c>
    </row>
    <row r="19" spans="2:13" ht="14.25" x14ac:dyDescent="0.2">
      <c r="B19" s="51" t="s">
        <v>51</v>
      </c>
      <c r="C19" s="55"/>
      <c r="D19" s="55"/>
      <c r="E19" s="55"/>
      <c r="F19" s="55">
        <v>5268000</v>
      </c>
      <c r="G19" s="55">
        <f>F19</f>
        <v>5268000</v>
      </c>
      <c r="H19" s="55">
        <v>4243000</v>
      </c>
      <c r="I19" s="55">
        <f t="shared" si="1"/>
        <v>4243000</v>
      </c>
      <c r="J19" s="55">
        <f t="shared" si="2"/>
        <v>4243000</v>
      </c>
      <c r="K19" s="595">
        <f>J19-J19/6</f>
        <v>3535833.3333333335</v>
      </c>
      <c r="L19" s="55">
        <f>K19-J19/3</f>
        <v>2121500</v>
      </c>
      <c r="M19" s="55">
        <f>L19-J19/2</f>
        <v>0</v>
      </c>
    </row>
    <row r="20" spans="2:13" ht="14.25" x14ac:dyDescent="0.2">
      <c r="B20" s="51" t="s">
        <v>49</v>
      </c>
      <c r="C20" s="55"/>
      <c r="D20" s="55"/>
      <c r="E20" s="55">
        <v>1904507.57</v>
      </c>
      <c r="F20" s="55">
        <v>1254508</v>
      </c>
      <c r="G20" s="55">
        <v>1563224</v>
      </c>
      <c r="H20" s="55">
        <v>963223</v>
      </c>
      <c r="I20" s="55">
        <f t="shared" si="1"/>
        <v>963223</v>
      </c>
      <c r="J20" s="55">
        <f t="shared" si="2"/>
        <v>963223</v>
      </c>
      <c r="K20" s="55">
        <f>J20-J20/6</f>
        <v>802685.83333333337</v>
      </c>
      <c r="L20" s="55">
        <f>K20-J20/3</f>
        <v>481611.50000000006</v>
      </c>
      <c r="M20" s="55">
        <f>L20-J20/2</f>
        <v>0</v>
      </c>
    </row>
    <row r="21" spans="2:13" ht="14.25" x14ac:dyDescent="0.2">
      <c r="B21" s="49" t="s">
        <v>50</v>
      </c>
      <c r="C21" s="55"/>
      <c r="D21" s="55"/>
      <c r="E21" s="55">
        <v>50000</v>
      </c>
      <c r="F21" s="55">
        <v>0</v>
      </c>
      <c r="G21" s="55">
        <f>F21</f>
        <v>0</v>
      </c>
      <c r="H21" s="55">
        <f>G21</f>
        <v>0</v>
      </c>
      <c r="I21" s="55">
        <f t="shared" si="1"/>
        <v>0</v>
      </c>
      <c r="J21" s="55">
        <f t="shared" si="2"/>
        <v>0</v>
      </c>
      <c r="K21" s="55">
        <f t="shared" si="3"/>
        <v>0</v>
      </c>
      <c r="L21" s="55">
        <f t="shared" si="3"/>
        <v>0</v>
      </c>
      <c r="M21" s="55">
        <f t="shared" si="3"/>
        <v>0</v>
      </c>
    </row>
    <row r="22" spans="2:13" ht="14.25" x14ac:dyDescent="0.2">
      <c r="B22" s="49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2:13" ht="14.25" x14ac:dyDescent="0.2">
      <c r="B23" s="49" t="s">
        <v>620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2:13" ht="14.25" x14ac:dyDescent="0.2">
      <c r="B24" s="49" t="s">
        <v>41</v>
      </c>
      <c r="C24" s="55"/>
      <c r="D24" s="55">
        <v>19450.3</v>
      </c>
      <c r="E24" s="55">
        <v>-110560.05</v>
      </c>
      <c r="F24" s="55">
        <v>-15675</v>
      </c>
      <c r="G24" s="55">
        <v>46615</v>
      </c>
      <c r="H24" s="55">
        <v>1894</v>
      </c>
      <c r="I24" s="55">
        <f>'Working Capital'!G8</f>
        <v>83824.928533683618</v>
      </c>
      <c r="J24" s="55">
        <f>'Working Capital'!H8</f>
        <v>274252.26309842546</v>
      </c>
      <c r="K24" s="55">
        <f>'Working Capital'!I8</f>
        <v>498665.49431717559</v>
      </c>
      <c r="L24" s="55">
        <f>'Working Capital'!J8</f>
        <v>626039.22384920774</v>
      </c>
      <c r="M24" s="55">
        <f>'Working Capital'!K8</f>
        <v>893021.92232588807</v>
      </c>
    </row>
    <row r="25" spans="2:13" ht="14.25" x14ac:dyDescent="0.2">
      <c r="B25" s="127" t="s">
        <v>42</v>
      </c>
      <c r="C25" s="55"/>
      <c r="D25" s="55">
        <f>100928.71+1</f>
        <v>100929.71</v>
      </c>
      <c r="E25" s="55">
        <v>1233417.8700000001</v>
      </c>
      <c r="F25" s="55">
        <v>582807</v>
      </c>
      <c r="G25" s="55">
        <v>0</v>
      </c>
      <c r="H25" s="55">
        <v>1884231</v>
      </c>
      <c r="I25" s="55">
        <f>'Working Capital'!G9</f>
        <v>5029495.7120210165</v>
      </c>
      <c r="J25" s="55">
        <f>'Working Capital'!H9</f>
        <v>16455135.785905529</v>
      </c>
      <c r="K25" s="55">
        <f>'Working Capital'!I9</f>
        <v>29919929.659030534</v>
      </c>
      <c r="L25" s="55">
        <f>'Working Capital'!J9</f>
        <v>37562353.43095246</v>
      </c>
      <c r="M25" s="55">
        <f>'Working Capital'!K9</f>
        <v>53581315.339553282</v>
      </c>
    </row>
    <row r="26" spans="2:13" ht="14.25" hidden="1" outlineLevel="1" x14ac:dyDescent="0.2">
      <c r="B26" s="49" t="s">
        <v>43</v>
      </c>
      <c r="C26" s="55"/>
      <c r="D26" s="55">
        <v>200000</v>
      </c>
      <c r="E26" s="55">
        <v>0</v>
      </c>
      <c r="F26" s="55">
        <v>0</v>
      </c>
      <c r="G26" s="55">
        <v>0</v>
      </c>
      <c r="H26" s="55"/>
      <c r="I26" s="55"/>
      <c r="J26" s="55"/>
      <c r="K26" s="55"/>
      <c r="L26" s="55"/>
      <c r="M26" s="55"/>
    </row>
    <row r="27" spans="2:13" ht="14.25" hidden="1" outlineLevel="1" x14ac:dyDescent="0.2">
      <c r="B27" s="49" t="s">
        <v>67</v>
      </c>
      <c r="C27" s="55"/>
      <c r="D27" s="55">
        <v>276019</v>
      </c>
      <c r="E27" s="55">
        <v>0</v>
      </c>
      <c r="F27" s="55">
        <v>0</v>
      </c>
      <c r="G27" s="55">
        <v>0</v>
      </c>
      <c r="H27" s="55"/>
      <c r="I27" s="55"/>
      <c r="J27" s="55"/>
      <c r="K27" s="55"/>
      <c r="L27" s="55"/>
      <c r="M27" s="55"/>
    </row>
    <row r="28" spans="2:13" ht="14.25" hidden="1" outlineLevel="1" x14ac:dyDescent="0.2">
      <c r="B28" s="49" t="s">
        <v>68</v>
      </c>
      <c r="C28" s="55"/>
      <c r="D28" s="55">
        <v>184124</v>
      </c>
      <c r="E28" s="55">
        <v>0</v>
      </c>
      <c r="F28" s="55">
        <v>0</v>
      </c>
      <c r="G28" s="55">
        <v>550000</v>
      </c>
      <c r="H28" s="55">
        <v>0</v>
      </c>
      <c r="I28" s="55">
        <f>'Working Capital'!G13</f>
        <v>0</v>
      </c>
      <c r="J28" s="55">
        <f>'Working Capital'!H13</f>
        <v>0</v>
      </c>
      <c r="K28" s="55">
        <f>'Working Capital'!I13</f>
        <v>0</v>
      </c>
      <c r="L28" s="55">
        <f>'Working Capital'!J13</f>
        <v>0</v>
      </c>
      <c r="M28" s="55">
        <f>'Working Capital'!K13</f>
        <v>0</v>
      </c>
    </row>
    <row r="29" spans="2:13" ht="14.25" hidden="1" outlineLevel="1" x14ac:dyDescent="0.2">
      <c r="B29" s="49" t="s">
        <v>69</v>
      </c>
      <c r="C29" s="55"/>
      <c r="D29" s="55">
        <v>73440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</row>
    <row r="30" spans="2:13" ht="14.25" hidden="1" outlineLevel="1" x14ac:dyDescent="0.2">
      <c r="B30" s="49" t="s">
        <v>692</v>
      </c>
      <c r="C30" s="55"/>
      <c r="D30" s="55"/>
      <c r="E30" s="55"/>
      <c r="F30" s="55"/>
      <c r="G30" s="55"/>
      <c r="H30" s="55">
        <v>311860</v>
      </c>
      <c r="I30" s="55">
        <v>0</v>
      </c>
      <c r="J30" s="55"/>
      <c r="K30" s="55"/>
      <c r="L30" s="55"/>
      <c r="M30" s="55"/>
    </row>
    <row r="31" spans="2:13" ht="14.25" hidden="1" outlineLevel="1" x14ac:dyDescent="0.2">
      <c r="B31" s="49" t="s">
        <v>693</v>
      </c>
      <c r="C31" s="55"/>
      <c r="D31" s="55"/>
      <c r="E31" s="55"/>
      <c r="F31" s="55"/>
      <c r="G31" s="55"/>
      <c r="H31" s="55">
        <v>85142</v>
      </c>
      <c r="I31" s="55">
        <v>0</v>
      </c>
      <c r="J31" s="55"/>
      <c r="K31" s="55"/>
      <c r="L31" s="55"/>
      <c r="M31" s="55"/>
    </row>
    <row r="32" spans="2:13" ht="14.25" collapsed="1" x14ac:dyDescent="0.2">
      <c r="B32" s="49" t="s">
        <v>0</v>
      </c>
      <c r="C32" s="58"/>
      <c r="D32" s="58">
        <f>SUM(D8:D29)</f>
        <v>5155895.4399999995</v>
      </c>
      <c r="E32" s="58">
        <f>SUM(E8:E29)</f>
        <v>7711254.6300000008</v>
      </c>
      <c r="F32" s="58">
        <f>SUM(F8:F29)</f>
        <v>11339998.701419203</v>
      </c>
      <c r="G32" s="58">
        <f>SUM(G8:G29)</f>
        <v>10236962</v>
      </c>
      <c r="H32" s="58">
        <f>SUM(H8:H31)</f>
        <v>11931187</v>
      </c>
      <c r="I32" s="58">
        <f>SUM(I8:I29)</f>
        <v>52324447.913828231</v>
      </c>
      <c r="J32" s="58">
        <f>SUM(J8:J29)</f>
        <v>105237334.17790729</v>
      </c>
      <c r="K32" s="58">
        <f>SUM(K8:K29)</f>
        <v>175313602.36604676</v>
      </c>
      <c r="L32" s="58">
        <f>SUM(L8:L29)</f>
        <v>276986759.50001448</v>
      </c>
      <c r="M32" s="58">
        <f>SUM(M8:M29)</f>
        <v>402802378.62201554</v>
      </c>
    </row>
    <row r="33" spans="2:14" ht="14.25" x14ac:dyDescent="0.2">
      <c r="B33" s="49"/>
      <c r="C33" s="58"/>
      <c r="D33" s="58"/>
      <c r="E33" s="58"/>
      <c r="F33" s="58"/>
      <c r="G33" s="59"/>
      <c r="H33" s="59"/>
      <c r="I33" s="59"/>
      <c r="J33" s="59"/>
      <c r="K33" s="59"/>
      <c r="L33" s="59"/>
      <c r="M33" s="59"/>
    </row>
    <row r="34" spans="2:14" ht="14.25" x14ac:dyDescent="0.2">
      <c r="B34" s="270" t="s">
        <v>328</v>
      </c>
      <c r="C34" s="55"/>
      <c r="D34" s="55"/>
      <c r="E34" s="56"/>
      <c r="F34" s="56"/>
      <c r="G34" s="56"/>
      <c r="H34" s="56"/>
      <c r="I34" s="56"/>
      <c r="J34" s="56"/>
      <c r="K34" s="56"/>
      <c r="L34" s="56"/>
      <c r="M34" s="56"/>
    </row>
    <row r="35" spans="2:14" ht="14.25" x14ac:dyDescent="0.2">
      <c r="B35" s="51" t="s">
        <v>623</v>
      </c>
      <c r="C35" s="55"/>
      <c r="D35" s="55"/>
      <c r="E35" s="56"/>
      <c r="F35" s="56"/>
      <c r="G35" s="56"/>
      <c r="H35" s="56"/>
      <c r="I35" s="56"/>
      <c r="J35" s="56"/>
      <c r="K35" s="56"/>
      <c r="L35" s="56"/>
      <c r="M35" s="56"/>
      <c r="N35" s="598"/>
    </row>
    <row r="36" spans="2:14" ht="14.25" x14ac:dyDescent="0.2">
      <c r="B36" s="49" t="s">
        <v>597</v>
      </c>
      <c r="C36" s="55"/>
      <c r="D36" s="55">
        <v>910367.70000000007</v>
      </c>
      <c r="E36" s="55">
        <v>1357618.7</v>
      </c>
      <c r="F36" s="55">
        <v>1377689</v>
      </c>
      <c r="G36" s="56">
        <f>'FA Schedule'!Z5</f>
        <v>1171765</v>
      </c>
      <c r="H36" s="56">
        <f>'FA Schedule'!AF5</f>
        <v>1071946</v>
      </c>
      <c r="I36" s="56">
        <f>'FA Schedule'!AL5</f>
        <v>4493309.0999999996</v>
      </c>
      <c r="J36" s="56">
        <f>'FA Schedule'!AR5</f>
        <v>6135142.7349999994</v>
      </c>
      <c r="K36" s="56">
        <f>'FA Schedule'!AX5</f>
        <v>7457390.4497499997</v>
      </c>
      <c r="L36" s="56">
        <f>'FA Schedule'!BD5</f>
        <v>9653755.2572874986</v>
      </c>
      <c r="M36" s="56">
        <f>'FA Schedule'!BJ5</f>
        <v>11530994.587444374</v>
      </c>
    </row>
    <row r="37" spans="2:14" ht="14.25" x14ac:dyDescent="0.2">
      <c r="B37" s="49" t="s">
        <v>100</v>
      </c>
      <c r="C37" s="55"/>
      <c r="D37" s="55">
        <v>2376102.63</v>
      </c>
      <c r="E37" s="55">
        <v>2376102.63</v>
      </c>
      <c r="F37" s="55">
        <v>2892037</v>
      </c>
      <c r="G37" s="56">
        <f>'FA Schedule'!Z6</f>
        <v>2892037</v>
      </c>
      <c r="H37" s="56">
        <f>'FA Schedule'!AF6</f>
        <v>2892037</v>
      </c>
      <c r="I37" s="56">
        <f>'FA Schedule'!AL6</f>
        <v>2892037</v>
      </c>
      <c r="J37" s="56">
        <f>'FA Schedule'!AR6</f>
        <v>2892037</v>
      </c>
      <c r="K37" s="56">
        <f>'FA Schedule'!AX6</f>
        <v>2892037</v>
      </c>
      <c r="L37" s="56">
        <f>'FA Schedule'!BD6</f>
        <v>2892037</v>
      </c>
      <c r="M37" s="56">
        <f>'FA Schedule'!BJ6</f>
        <v>2892037</v>
      </c>
    </row>
    <row r="38" spans="2:14" ht="14.25" x14ac:dyDescent="0.2">
      <c r="B38" s="49"/>
      <c r="C38" s="55"/>
      <c r="D38" s="55"/>
      <c r="E38" s="56"/>
      <c r="F38" s="56"/>
      <c r="G38" s="56"/>
      <c r="H38" s="56"/>
      <c r="I38" s="56"/>
      <c r="J38" s="56"/>
      <c r="K38" s="56"/>
      <c r="L38" s="56"/>
      <c r="M38" s="56"/>
    </row>
    <row r="39" spans="2:14" ht="14.25" x14ac:dyDescent="0.2">
      <c r="B39" s="49" t="s">
        <v>628</v>
      </c>
      <c r="C39" s="60"/>
      <c r="D39" s="60"/>
      <c r="E39" s="55"/>
      <c r="F39" s="55"/>
      <c r="G39" s="56"/>
      <c r="H39" s="56"/>
      <c r="I39" s="56"/>
      <c r="J39" s="56"/>
      <c r="K39" s="56"/>
      <c r="L39" s="56"/>
      <c r="M39" s="56"/>
    </row>
    <row r="40" spans="2:14" ht="14.25" x14ac:dyDescent="0.2">
      <c r="B40" s="49" t="s">
        <v>327</v>
      </c>
      <c r="C40" s="55"/>
      <c r="D40" s="55">
        <v>1045000</v>
      </c>
      <c r="E40" s="57">
        <v>1595260</v>
      </c>
      <c r="F40" s="55">
        <v>6026353</v>
      </c>
      <c r="G40" s="55">
        <f>'Profit &amp; Loss St.'!G13</f>
        <v>5024144</v>
      </c>
      <c r="H40" s="55">
        <f>'Profit &amp; Loss St.'!H13</f>
        <v>4021936</v>
      </c>
      <c r="I40" s="56">
        <f>'Working Capital'!G18</f>
        <v>3637510.2692054799</v>
      </c>
      <c r="J40" s="56">
        <f>'Working Capital'!H18</f>
        <v>25510168.708330192</v>
      </c>
      <c r="K40" s="56">
        <f>'Working Capital'!I18</f>
        <v>41927742.120588586</v>
      </c>
      <c r="L40" s="56">
        <f>'Working Capital'!J18</f>
        <v>86779741.844430581</v>
      </c>
      <c r="M40" s="56">
        <f>'Working Capital'!K18</f>
        <v>112120518.3643389</v>
      </c>
    </row>
    <row r="41" spans="2:14" ht="14.25" x14ac:dyDescent="0.2">
      <c r="B41" s="127" t="s">
        <v>66</v>
      </c>
      <c r="C41" s="55"/>
      <c r="D41" s="55">
        <v>653140</v>
      </c>
      <c r="E41" s="55">
        <v>74750</v>
      </c>
      <c r="F41" s="55">
        <v>74750</v>
      </c>
      <c r="G41" s="55">
        <v>74750</v>
      </c>
      <c r="H41" s="55">
        <v>0</v>
      </c>
      <c r="I41" s="56">
        <f>'Working Capital'!G19</f>
        <v>379860.88295671227</v>
      </c>
      <c r="J41" s="56">
        <f>'Working Capital'!H19</f>
        <v>1548484.8066956217</v>
      </c>
      <c r="K41" s="56">
        <f>'Working Capital'!I19</f>
        <v>2561838.7695545224</v>
      </c>
      <c r="L41" s="56">
        <f>'Working Capital'!J19</f>
        <v>3538551.8783417414</v>
      </c>
      <c r="M41" s="56">
        <f>'Working Capital'!K19</f>
        <v>4587355.1023534453</v>
      </c>
    </row>
    <row r="42" spans="2:14" ht="14.25" x14ac:dyDescent="0.2">
      <c r="B42" s="49" t="s">
        <v>46</v>
      </c>
      <c r="C42" s="55"/>
      <c r="D42" s="55">
        <v>22140</v>
      </c>
      <c r="E42" s="57">
        <v>1243663.8899999999</v>
      </c>
      <c r="F42" s="55">
        <v>582573</v>
      </c>
      <c r="G42" s="55">
        <v>92436</v>
      </c>
      <c r="H42" s="56">
        <v>456316</v>
      </c>
      <c r="I42" s="56">
        <f>H42</f>
        <v>456316</v>
      </c>
      <c r="J42" s="56">
        <f t="shared" ref="J42:M42" si="5">I42</f>
        <v>456316</v>
      </c>
      <c r="K42" s="56">
        <f t="shared" si="5"/>
        <v>456316</v>
      </c>
      <c r="L42" s="56">
        <f t="shared" si="5"/>
        <v>456316</v>
      </c>
      <c r="M42" s="56">
        <f t="shared" si="5"/>
        <v>456316</v>
      </c>
    </row>
    <row r="43" spans="2:14" ht="14.25" x14ac:dyDescent="0.2">
      <c r="B43" s="49" t="s">
        <v>65</v>
      </c>
      <c r="C43" s="55"/>
      <c r="D43" s="55">
        <f>140424.01+1</f>
        <v>140425.01</v>
      </c>
      <c r="E43" s="57">
        <v>1027633.1</v>
      </c>
      <c r="F43" s="55">
        <f>345023</f>
        <v>345023</v>
      </c>
      <c r="G43" s="55">
        <f>871097+1</f>
        <v>871098</v>
      </c>
      <c r="H43" s="56">
        <v>0</v>
      </c>
      <c r="I43" s="56">
        <f>'Working Capital'!G21</f>
        <v>1899304.4147835614</v>
      </c>
      <c r="J43" s="56">
        <f>'Working Capital'!H21</f>
        <v>7742424.0334781092</v>
      </c>
      <c r="K43" s="56">
        <f>'Working Capital'!I21</f>
        <v>12809193.847772613</v>
      </c>
      <c r="L43" s="56">
        <f>'Working Capital'!J21</f>
        <v>17692759.391708709</v>
      </c>
      <c r="M43" s="56">
        <f>'Working Capital'!K21</f>
        <v>22936775.511767227</v>
      </c>
    </row>
    <row r="44" spans="2:14" ht="14.25" x14ac:dyDescent="0.2">
      <c r="B44" s="49" t="s">
        <v>61</v>
      </c>
      <c r="C44" s="55"/>
      <c r="D44" s="55">
        <v>3882</v>
      </c>
      <c r="E44" s="57">
        <v>16488.2</v>
      </c>
      <c r="F44" s="55">
        <v>16489</v>
      </c>
      <c r="G44" s="55">
        <v>16489</v>
      </c>
      <c r="H44" s="56">
        <v>0</v>
      </c>
      <c r="I44" s="56">
        <f>'Working Capital'!G22</f>
        <v>76622.655350423898</v>
      </c>
      <c r="J44" s="56">
        <f>'Working Capital'!H22</f>
        <v>312348.60703550582</v>
      </c>
      <c r="K44" s="56">
        <f>'Working Capital'!I22</f>
        <v>516754.68022670643</v>
      </c>
      <c r="L44" s="56">
        <f>'Working Capital'!J22</f>
        <v>713769.83832439478</v>
      </c>
      <c r="M44" s="56">
        <f>'Working Capital'!K22</f>
        <v>925326.46752598591</v>
      </c>
    </row>
    <row r="45" spans="2:14" ht="14.25" x14ac:dyDescent="0.2">
      <c r="B45" s="49" t="s">
        <v>134</v>
      </c>
      <c r="C45" s="55"/>
      <c r="D45" s="55"/>
      <c r="E45" s="57"/>
      <c r="F45" s="55"/>
      <c r="G45" s="55"/>
      <c r="H45" s="55">
        <f>31333+1</f>
        <v>31334</v>
      </c>
      <c r="I45" s="55">
        <v>0</v>
      </c>
      <c r="J45" s="55"/>
      <c r="K45" s="55"/>
      <c r="L45" s="55"/>
      <c r="M45" s="55"/>
    </row>
    <row r="46" spans="2:14" ht="14.25" x14ac:dyDescent="0.2">
      <c r="B46" s="49" t="s">
        <v>47</v>
      </c>
      <c r="C46" s="55"/>
      <c r="D46" s="55">
        <v>4837.79</v>
      </c>
      <c r="E46" s="57">
        <v>19737.8</v>
      </c>
      <c r="F46" s="55">
        <v>25085</v>
      </c>
      <c r="G46" s="55">
        <v>94243</v>
      </c>
      <c r="H46" s="61">
        <v>3457618</v>
      </c>
      <c r="I46" s="61">
        <f>'Cash Flow St.'!C31</f>
        <v>38489487.591532052</v>
      </c>
      <c r="J46" s="61">
        <f>'Cash Flow St.'!D31</f>
        <v>60640412.287367873</v>
      </c>
      <c r="K46" s="61">
        <f>'Cash Flow St.'!E31</f>
        <v>106692329.49815434</v>
      </c>
      <c r="L46" s="61">
        <f>'Cash Flow St.'!F31</f>
        <v>155259828.28992152</v>
      </c>
      <c r="M46" s="61">
        <f>'Cash Flow St.'!G31</f>
        <v>247353055.58858556</v>
      </c>
    </row>
    <row r="47" spans="2:14" ht="14.25" x14ac:dyDescent="0.2">
      <c r="B47" s="49" t="s">
        <v>0</v>
      </c>
      <c r="C47" s="58"/>
      <c r="D47" s="58">
        <f>SUM(D35:D46)</f>
        <v>5155895.13</v>
      </c>
      <c r="E47" s="58">
        <f>SUM(E35:E46)</f>
        <v>7711254.3199999994</v>
      </c>
      <c r="F47" s="58">
        <f>SUM(F35:F46)</f>
        <v>11339999</v>
      </c>
      <c r="G47" s="58">
        <f t="shared" ref="G47:M47" si="6">SUM(G36:G46)</f>
        <v>10236962</v>
      </c>
      <c r="H47" s="58">
        <f t="shared" si="6"/>
        <v>11931187</v>
      </c>
      <c r="I47" s="58">
        <f t="shared" si="6"/>
        <v>52324447.913828224</v>
      </c>
      <c r="J47" s="58">
        <f t="shared" si="6"/>
        <v>105237334.1779073</v>
      </c>
      <c r="K47" s="58">
        <f t="shared" si="6"/>
        <v>175313602.36604679</v>
      </c>
      <c r="L47" s="58">
        <f t="shared" si="6"/>
        <v>276986759.50001442</v>
      </c>
      <c r="M47" s="58">
        <f t="shared" si="6"/>
        <v>402802378.62201548</v>
      </c>
    </row>
    <row r="48" spans="2:14" ht="12.75" customHeight="1" x14ac:dyDescent="0.2">
      <c r="B48" s="239" t="s">
        <v>330</v>
      </c>
      <c r="C48" s="55"/>
      <c r="D48" s="55">
        <f t="shared" ref="D48:M48" si="7">D32-D47</f>
        <v>0.30999999959021807</v>
      </c>
      <c r="E48" s="55">
        <f t="shared" si="7"/>
        <v>0.31000000145286322</v>
      </c>
      <c r="F48" s="55">
        <f t="shared" si="7"/>
        <v>-0.29858079738914967</v>
      </c>
      <c r="G48" s="55">
        <f t="shared" si="7"/>
        <v>0</v>
      </c>
      <c r="H48" s="55">
        <f t="shared" si="7"/>
        <v>0</v>
      </c>
      <c r="I48" s="55">
        <f t="shared" si="7"/>
        <v>0</v>
      </c>
      <c r="J48" s="55">
        <f t="shared" si="7"/>
        <v>0</v>
      </c>
      <c r="K48" s="55">
        <f t="shared" si="7"/>
        <v>0</v>
      </c>
      <c r="L48" s="55">
        <f t="shared" si="7"/>
        <v>0</v>
      </c>
      <c r="M48" s="55">
        <f t="shared" si="7"/>
        <v>0</v>
      </c>
      <c r="N48" s="593"/>
    </row>
    <row r="49" spans="2:13" x14ac:dyDescent="0.25">
      <c r="C49" s="12"/>
    </row>
    <row r="50" spans="2:13" ht="14.25" x14ac:dyDescent="0.2">
      <c r="B50" s="238" t="s">
        <v>331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 spans="2:13" ht="14.25" x14ac:dyDescent="0.2">
      <c r="B51" s="49" t="s">
        <v>233</v>
      </c>
      <c r="C51" s="55"/>
      <c r="D51" s="55"/>
      <c r="E51" s="55">
        <f t="shared" ref="E51:M51" si="8">SUM(E11:E15)+SUM(E18:E21)</f>
        <v>6511302.8100000005</v>
      </c>
      <c r="F51" s="55">
        <f t="shared" si="8"/>
        <v>10918080</v>
      </c>
      <c r="G51" s="55">
        <f t="shared" si="8"/>
        <v>9712924</v>
      </c>
      <c r="H51" s="55">
        <f t="shared" si="8"/>
        <v>9431294</v>
      </c>
      <c r="I51" s="55">
        <f t="shared" si="8"/>
        <v>44431294</v>
      </c>
      <c r="J51" s="55">
        <f t="shared" si="8"/>
        <v>51346010.704703033</v>
      </c>
      <c r="K51" s="55">
        <f t="shared" si="8"/>
        <v>52205627.007524148</v>
      </c>
      <c r="L51" s="55">
        <f t="shared" si="8"/>
        <v>52002337.326465175</v>
      </c>
      <c r="M51" s="55">
        <f t="shared" si="8"/>
        <v>50727346.136355817</v>
      </c>
    </row>
    <row r="52" spans="2:13" ht="14.25" x14ac:dyDescent="0.2">
      <c r="B52" s="49" t="s">
        <v>234</v>
      </c>
      <c r="C52" s="55"/>
      <c r="D52" s="55"/>
      <c r="E52" s="55">
        <f t="shared" ref="E52:M52" si="9">E8</f>
        <v>85414</v>
      </c>
      <c r="F52" s="55">
        <f t="shared" si="9"/>
        <v>-43623.298580797389</v>
      </c>
      <c r="G52" s="55">
        <f t="shared" si="9"/>
        <v>29013</v>
      </c>
      <c r="H52" s="55">
        <f t="shared" si="9"/>
        <v>216766</v>
      </c>
      <c r="I52" s="55">
        <f t="shared" si="9"/>
        <v>2779833.2732735332</v>
      </c>
      <c r="J52" s="55">
        <f t="shared" si="9"/>
        <v>37161935.424200311</v>
      </c>
      <c r="K52" s="55">
        <f t="shared" si="9"/>
        <v>92689380.205174908</v>
      </c>
      <c r="L52" s="55">
        <f t="shared" si="9"/>
        <v>186796029.51874763</v>
      </c>
      <c r="M52" s="55">
        <f t="shared" si="9"/>
        <v>297600695.22378051</v>
      </c>
    </row>
    <row r="53" spans="2:13" ht="14.25" x14ac:dyDescent="0.2">
      <c r="B53" s="49" t="s">
        <v>235</v>
      </c>
      <c r="C53" s="55"/>
      <c r="D53" s="55"/>
      <c r="E53" s="55">
        <f>SUM(E51:E52)</f>
        <v>6596716.8100000005</v>
      </c>
      <c r="F53" s="55">
        <f t="shared" ref="F53:K53" si="10">SUM(F51:F52)</f>
        <v>10874456.701419203</v>
      </c>
      <c r="G53" s="55">
        <f t="shared" si="10"/>
        <v>9741937</v>
      </c>
      <c r="H53" s="55">
        <f t="shared" si="10"/>
        <v>9648060</v>
      </c>
      <c r="I53" s="55">
        <f t="shared" si="10"/>
        <v>47211127.273273535</v>
      </c>
      <c r="J53" s="55">
        <f t="shared" si="10"/>
        <v>88507946.128903344</v>
      </c>
      <c r="K53" s="55">
        <f t="shared" si="10"/>
        <v>144895007.21269906</v>
      </c>
      <c r="L53" s="55">
        <f>SUM(L51:L52)</f>
        <v>238798366.84521282</v>
      </c>
      <c r="M53" s="55">
        <f>SUM(M51:M52)</f>
        <v>348328041.36013633</v>
      </c>
    </row>
    <row r="54" spans="2:13" ht="14.25" x14ac:dyDescent="0.2">
      <c r="B54" s="49"/>
      <c r="C54" s="237"/>
      <c r="D54" s="237" t="s">
        <v>329</v>
      </c>
      <c r="E54" s="55"/>
      <c r="F54" s="55"/>
      <c r="G54" s="55"/>
      <c r="H54" s="55"/>
      <c r="I54" s="55"/>
      <c r="J54" s="55"/>
      <c r="K54" s="55"/>
      <c r="L54" s="55"/>
      <c r="M54" s="55"/>
    </row>
    <row r="55" spans="2:13" ht="14.25" x14ac:dyDescent="0.2">
      <c r="B55" s="49" t="s">
        <v>236</v>
      </c>
      <c r="C55" s="236"/>
      <c r="D55" s="236">
        <f>AVERAGE(G55:K55)</f>
        <v>0.77122043163264664</v>
      </c>
      <c r="E55" s="236">
        <f>E51/E53</f>
        <v>0.98705204384846101</v>
      </c>
      <c r="F55" s="236">
        <f t="shared" ref="F55:K55" si="11">F51/F53</f>
        <v>1.0040115382109254</v>
      </c>
      <c r="G55" s="236">
        <f t="shared" si="11"/>
        <v>0.99702184483434864</v>
      </c>
      <c r="H55" s="236">
        <f t="shared" si="11"/>
        <v>0.977532685327413</v>
      </c>
      <c r="I55" s="236">
        <f t="shared" si="11"/>
        <v>0.94111910827329015</v>
      </c>
      <c r="J55" s="236">
        <f t="shared" si="11"/>
        <v>0.58012882402583932</v>
      </c>
      <c r="K55" s="236">
        <f t="shared" si="11"/>
        <v>0.36029969570234222</v>
      </c>
      <c r="L55" s="236">
        <f>L51/L53</f>
        <v>0.21776672099341732</v>
      </c>
      <c r="M55" s="236">
        <f>M51/M53</f>
        <v>0.14563095735352763</v>
      </c>
    </row>
    <row r="56" spans="2:13" ht="14.25" x14ac:dyDescent="0.2">
      <c r="B56" s="49" t="s">
        <v>237</v>
      </c>
      <c r="C56" s="236"/>
      <c r="D56" s="236">
        <f>AVERAGE(G56:K56)</f>
        <v>0.2287795683673533</v>
      </c>
      <c r="E56" s="236">
        <f>E52/E53</f>
        <v>1.2947956151538964E-2</v>
      </c>
      <c r="F56" s="236">
        <f t="shared" ref="F56:K56" si="12">F52/F53</f>
        <v>-4.011538210925444E-3</v>
      </c>
      <c r="G56" s="236">
        <f t="shared" si="12"/>
        <v>2.9781551656513482E-3</v>
      </c>
      <c r="H56" s="236">
        <f t="shared" si="12"/>
        <v>2.2467314672587026E-2</v>
      </c>
      <c r="I56" s="236">
        <f t="shared" si="12"/>
        <v>5.888089172670976E-2</v>
      </c>
      <c r="J56" s="236">
        <f t="shared" si="12"/>
        <v>0.41987117597416068</v>
      </c>
      <c r="K56" s="236">
        <f t="shared" si="12"/>
        <v>0.63970030429765778</v>
      </c>
      <c r="L56" s="236">
        <f>L52/L53</f>
        <v>0.78223327900658257</v>
      </c>
      <c r="M56" s="236">
        <f>M52/M53</f>
        <v>0.8543690426464724</v>
      </c>
    </row>
    <row r="57" spans="2:13" x14ac:dyDescent="0.25">
      <c r="D57" s="13"/>
      <c r="E57" s="13"/>
      <c r="F57" s="13"/>
      <c r="G57" s="13"/>
      <c r="H57" s="25"/>
      <c r="I57" s="13"/>
      <c r="J57" s="13"/>
      <c r="K57" s="13"/>
      <c r="L57" s="13"/>
      <c r="M57" s="13"/>
    </row>
    <row r="58" spans="2:13" x14ac:dyDescent="0.25">
      <c r="D58" s="13"/>
      <c r="E58" s="13"/>
      <c r="F58" s="13"/>
      <c r="G58" s="13"/>
      <c r="H58" s="25"/>
      <c r="I58" s="13"/>
      <c r="J58" s="13"/>
      <c r="K58" s="13"/>
      <c r="L58" s="13"/>
      <c r="M58" s="13"/>
    </row>
    <row r="59" spans="2:13" x14ac:dyDescent="0.25">
      <c r="D59" s="13"/>
      <c r="E59" s="13"/>
      <c r="F59" s="13"/>
      <c r="G59" s="13"/>
      <c r="H59" s="25"/>
      <c r="I59" s="13"/>
      <c r="J59" s="13"/>
      <c r="K59" s="13"/>
      <c r="L59" s="13"/>
      <c r="M59" s="13"/>
    </row>
    <row r="60" spans="2:13" x14ac:dyDescent="0.25">
      <c r="D60" s="13"/>
      <c r="E60" s="13"/>
      <c r="F60" s="13"/>
      <c r="G60" s="13"/>
      <c r="H60" s="25"/>
      <c r="I60" s="13"/>
      <c r="J60" s="13"/>
      <c r="K60" s="13"/>
      <c r="L60" s="13"/>
      <c r="M60" s="13"/>
    </row>
    <row r="61" spans="2:13" x14ac:dyDescent="0.25">
      <c r="D61" s="13"/>
      <c r="E61" s="13"/>
      <c r="F61" s="13"/>
      <c r="G61" s="13"/>
      <c r="H61" s="25"/>
      <c r="I61" s="13"/>
      <c r="J61" s="13"/>
      <c r="K61" s="13"/>
      <c r="L61" s="13"/>
      <c r="M61" s="13"/>
    </row>
    <row r="62" spans="2:13" x14ac:dyDescent="0.25">
      <c r="D62" s="13"/>
      <c r="E62" s="13"/>
      <c r="F62" s="13"/>
      <c r="G62" s="13"/>
      <c r="H62" s="25"/>
      <c r="I62" s="13"/>
      <c r="J62" s="13"/>
      <c r="K62" s="13"/>
      <c r="L62" s="13"/>
      <c r="M62" s="13"/>
    </row>
  </sheetData>
  <pageMargins left="0.7" right="0.7" top="0.75" bottom="0.75" header="0.3" footer="0.3"/>
  <pageSetup scale="79" orientation="portrait" r:id="rId1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92D050"/>
  </sheetPr>
  <dimension ref="A1:K34"/>
  <sheetViews>
    <sheetView showGridLines="0" zoomScale="80" zoomScaleNormal="80" workbookViewId="0">
      <pane xSplit="2" ySplit="5" topLeftCell="C16" activePane="bottomRight" state="frozen"/>
      <selection pane="topRight"/>
      <selection pane="bottomLeft"/>
      <selection pane="bottomRight" activeCell="D21" sqref="D21"/>
    </sheetView>
  </sheetViews>
  <sheetFormatPr defaultRowHeight="15" x14ac:dyDescent="0.25"/>
  <cols>
    <col min="1" max="1" width="4.7109375" customWidth="1"/>
    <col min="2" max="2" width="40.42578125" style="9" customWidth="1"/>
    <col min="3" max="7" width="17.7109375" customWidth="1"/>
    <col min="11" max="11" width="11.28515625" bestFit="1" customWidth="1"/>
  </cols>
  <sheetData>
    <row r="1" spans="1:7" s="495" customFormat="1" x14ac:dyDescent="0.25">
      <c r="A1" s="542" t="str">
        <f>Summary!A1</f>
        <v>ABC Nutri foods</v>
      </c>
      <c r="B1" s="494"/>
    </row>
    <row r="2" spans="1:7" s="497" customFormat="1" x14ac:dyDescent="0.25">
      <c r="A2" s="493" t="s">
        <v>450</v>
      </c>
      <c r="B2" s="496"/>
    </row>
    <row r="4" spans="1:7" ht="15.75" x14ac:dyDescent="0.25">
      <c r="B4" s="63"/>
      <c r="C4" s="65" t="str">
        <f>'Profit &amp; Loss St.'!I4</f>
        <v>Provisional</v>
      </c>
      <c r="D4" s="65" t="str">
        <f>'Profit &amp; Loss St.'!J4</f>
        <v>Projected</v>
      </c>
      <c r="E4" s="65" t="str">
        <f>'Profit &amp; Loss St.'!K4</f>
        <v>Projected</v>
      </c>
      <c r="F4" s="65" t="str">
        <f>'Profit &amp; Loss St.'!L4</f>
        <v>Projected</v>
      </c>
      <c r="G4" s="65" t="str">
        <f>'Profit &amp; Loss St.'!M4</f>
        <v>Projected</v>
      </c>
    </row>
    <row r="5" spans="1:7" ht="31.5" x14ac:dyDescent="0.25">
      <c r="B5" s="63"/>
      <c r="C5" s="67" t="s">
        <v>8</v>
      </c>
      <c r="D5" s="66" t="s">
        <v>9</v>
      </c>
      <c r="E5" s="67" t="s">
        <v>10</v>
      </c>
      <c r="F5" s="67" t="s">
        <v>404</v>
      </c>
      <c r="G5" s="67" t="s">
        <v>591</v>
      </c>
    </row>
    <row r="6" spans="1:7" ht="15.75" x14ac:dyDescent="0.25">
      <c r="B6" s="485" t="s">
        <v>20</v>
      </c>
      <c r="C6" s="68"/>
      <c r="D6" s="68"/>
      <c r="E6" s="68"/>
      <c r="F6" s="68"/>
      <c r="G6" s="68"/>
    </row>
    <row r="7" spans="1:7" ht="15.75" x14ac:dyDescent="0.25">
      <c r="B7" s="64"/>
      <c r="C7" s="68"/>
      <c r="D7" s="68"/>
      <c r="E7" s="68"/>
      <c r="F7" s="68"/>
      <c r="G7" s="68"/>
    </row>
    <row r="8" spans="1:7" ht="15.75" x14ac:dyDescent="0.25">
      <c r="B8" s="64" t="s">
        <v>317</v>
      </c>
      <c r="C8" s="69">
        <f>'Profit &amp; Loss St.'!I74</f>
        <v>2563067.2732735332</v>
      </c>
      <c r="D8" s="69">
        <f>'Profit &amp; Loss St.'!J74</f>
        <v>34382102.150926776</v>
      </c>
      <c r="E8" s="69">
        <f>'Profit &amp; Loss St.'!K74</f>
        <v>55527444.780974597</v>
      </c>
      <c r="F8" s="69">
        <f>'Profit &amp; Loss St.'!L74</f>
        <v>94106649.313572705</v>
      </c>
      <c r="G8" s="69">
        <f>'Profit &amp; Loss St.'!M74</f>
        <v>110804665.70503289</v>
      </c>
    </row>
    <row r="9" spans="1:7" ht="16.5" thickBot="1" x14ac:dyDescent="0.3">
      <c r="B9" s="64" t="s">
        <v>685</v>
      </c>
      <c r="C9" s="596">
        <f>SUM('Profit &amp; Loss St.'!I28+'Profit &amp; Loss St.'!I52+'Profit &amp; Loss St.'!I64)</f>
        <v>899593.13705840008</v>
      </c>
      <c r="D9" s="596">
        <f>SUM('Profit &amp; Loss St.'!J28+'Profit &amp; Loss St.'!J52+'Profit &amp; Loss St.'!J64)</f>
        <v>1172852.4025157003</v>
      </c>
      <c r="E9" s="596">
        <f>SUM('Profit &amp; Loss St.'!K28+'Profit &amp; Loss St.'!K52+'Profit &amp; Loss St.'!K64)</f>
        <v>1479073.5151680331</v>
      </c>
      <c r="F9" s="596">
        <f>SUM('Profit &amp; Loss St.'!L28+'Profit &amp; Loss St.'!L52+'Profit &amp; Loss St.'!L64)</f>
        <v>1812478.1542623863</v>
      </c>
      <c r="G9" s="596">
        <f>SUM('Profit &amp; Loss St.'!M28+'Profit &amp; Loss St.'!M52+'Profit &amp; Loss St.'!M64)</f>
        <v>2199116.6398029216</v>
      </c>
    </row>
    <row r="10" spans="1:7" ht="15.75" x14ac:dyDescent="0.25">
      <c r="B10" s="64" t="s">
        <v>686</v>
      </c>
      <c r="C10" s="181">
        <f>C8+C9</f>
        <v>3462660.4103319333</v>
      </c>
      <c r="D10" s="181">
        <f>D8+D9</f>
        <v>35554954.553442478</v>
      </c>
      <c r="E10" s="181">
        <f>E8+E9</f>
        <v>57006518.29614263</v>
      </c>
      <c r="F10" s="181">
        <f>F8+F9</f>
        <v>95919127.467835099</v>
      </c>
      <c r="G10" s="181">
        <f>G8+G9</f>
        <v>113003782.3448358</v>
      </c>
    </row>
    <row r="11" spans="1:7" ht="15.75" x14ac:dyDescent="0.25">
      <c r="B11" s="64" t="s">
        <v>687</v>
      </c>
      <c r="C11" s="69">
        <f>-('Profit &amp; Loss St.'!I28+'Profit &amp; Loss St.'!I52)</f>
        <v>-106656.2370584</v>
      </c>
      <c r="D11" s="69">
        <f>-('Profit &amp; Loss St.'!J28+'Profit &amp; Loss St.'!J52)</f>
        <v>-311086.03751570045</v>
      </c>
      <c r="E11" s="69">
        <f>-('Profit &amp; Loss St.'!K28+'Profit &amp; Loss St.'!K52)</f>
        <v>-376976.22991803323</v>
      </c>
      <c r="F11" s="69">
        <f>-('Profit &amp; Loss St.'!L28+'Profit &amp; Loss St.'!L52)</f>
        <v>-425087.96179988666</v>
      </c>
      <c r="G11" s="69">
        <f>-('Profit &amp; Loss St.'!M28+'Profit &amp; Loss St.'!M52)</f>
        <v>-481434.21995979676</v>
      </c>
    </row>
    <row r="12" spans="1:7" ht="15.75" x14ac:dyDescent="0.25">
      <c r="B12" s="64" t="s">
        <v>21</v>
      </c>
      <c r="C12" s="69">
        <f>'Working Capital'!G27</f>
        <v>890165.41825852171</v>
      </c>
      <c r="D12" s="69">
        <f>'Working Capital'!H27</f>
        <v>-15104060.52479399</v>
      </c>
      <c r="E12" s="69">
        <f>'Working Capital'!I27</f>
        <v>-6612896.1582592539</v>
      </c>
      <c r="F12" s="69">
        <f>'Working Capital'!J27</f>
        <v>-40739496.033209041</v>
      </c>
      <c r="G12" s="69">
        <f>'Working Capital'!K27</f>
        <v>-13159207.886102624</v>
      </c>
    </row>
    <row r="13" spans="1:7" ht="15.75" x14ac:dyDescent="0.25">
      <c r="B13" s="64"/>
      <c r="C13" s="69"/>
      <c r="D13" s="69"/>
      <c r="E13" s="69"/>
      <c r="F13" s="69"/>
      <c r="G13" s="69"/>
    </row>
    <row r="14" spans="1:7" s="9" customFormat="1" ht="15.75" x14ac:dyDescent="0.25">
      <c r="B14" s="64" t="s">
        <v>322</v>
      </c>
      <c r="C14" s="70">
        <f>SUM(C10:C12)</f>
        <v>4246169.5915320553</v>
      </c>
      <c r="D14" s="70">
        <f>SUM(D10:D12)</f>
        <v>20139807.991132788</v>
      </c>
      <c r="E14" s="70">
        <f>SUM(E10:E12)</f>
        <v>50016645.907965347</v>
      </c>
      <c r="F14" s="70">
        <f>SUM(F10:F12)</f>
        <v>54754543.472826168</v>
      </c>
      <c r="G14" s="70">
        <f>SUM(G10:G12)</f>
        <v>99363140.238773376</v>
      </c>
    </row>
    <row r="15" spans="1:7" ht="15.75" x14ac:dyDescent="0.25">
      <c r="B15" s="64"/>
      <c r="C15" s="69"/>
      <c r="D15" s="69"/>
      <c r="E15" s="69"/>
      <c r="F15" s="69"/>
      <c r="G15" s="69"/>
    </row>
    <row r="16" spans="1:7" ht="15.75" x14ac:dyDescent="0.25">
      <c r="B16" s="485" t="s">
        <v>22</v>
      </c>
      <c r="C16" s="69"/>
      <c r="D16" s="69"/>
      <c r="E16" s="69"/>
      <c r="F16" s="69"/>
      <c r="G16" s="69"/>
    </row>
    <row r="17" spans="2:11" s="9" customFormat="1" ht="15.75" x14ac:dyDescent="0.25">
      <c r="B17" s="64" t="s">
        <v>25</v>
      </c>
      <c r="C17" s="72">
        <f>'DCF Valuation'!D12</f>
        <v>-4214300</v>
      </c>
      <c r="D17" s="72">
        <f>'DCF Valuation'!E12</f>
        <v>-2503600</v>
      </c>
      <c r="E17" s="72">
        <f>'DCF Valuation'!F12</f>
        <v>-2424345</v>
      </c>
      <c r="F17" s="72">
        <f>'DCF Valuation'!G12</f>
        <v>-3583755</v>
      </c>
      <c r="G17" s="72">
        <f>'DCF Valuation'!H12</f>
        <v>-3594921.75</v>
      </c>
    </row>
    <row r="18" spans="2:11" s="9" customFormat="1" ht="15.75" x14ac:dyDescent="0.25">
      <c r="B18" s="64" t="s">
        <v>316</v>
      </c>
      <c r="C18" s="601">
        <f>SUM(C16:C17)</f>
        <v>-4214300</v>
      </c>
      <c r="D18" s="601">
        <f>SUM(D16:D17)</f>
        <v>-2503600</v>
      </c>
      <c r="E18" s="601">
        <f>SUM(E16:E17)</f>
        <v>-2424345</v>
      </c>
      <c r="F18" s="601">
        <f>SUM(F16:F17)</f>
        <v>-3583755</v>
      </c>
      <c r="G18" s="601">
        <f>SUM(G16:G17)</f>
        <v>-3594921.75</v>
      </c>
    </row>
    <row r="19" spans="2:11" ht="15.75" x14ac:dyDescent="0.25">
      <c r="B19" s="64"/>
      <c r="C19" s="69"/>
      <c r="D19" s="69"/>
      <c r="E19" s="69"/>
      <c r="F19" s="69"/>
      <c r="G19" s="69"/>
    </row>
    <row r="20" spans="2:11" ht="15.75" x14ac:dyDescent="0.25">
      <c r="B20" s="485" t="s">
        <v>23</v>
      </c>
      <c r="C20" s="69"/>
      <c r="D20" s="69"/>
      <c r="E20" s="69"/>
      <c r="F20" s="69"/>
      <c r="G20" s="69"/>
      <c r="K20" s="11"/>
    </row>
    <row r="21" spans="2:11" ht="15.75" x14ac:dyDescent="0.25">
      <c r="B21" s="64" t="s">
        <v>315</v>
      </c>
      <c r="C21" s="69">
        <v>20000000</v>
      </c>
      <c r="D21" s="69">
        <v>5000000</v>
      </c>
      <c r="E21" s="69"/>
      <c r="F21" s="69"/>
      <c r="G21" s="69"/>
      <c r="K21" s="11"/>
    </row>
    <row r="22" spans="2:11" ht="15.75" x14ac:dyDescent="0.25">
      <c r="B22" s="64" t="s">
        <v>699</v>
      </c>
      <c r="C22" s="69">
        <v>15000000</v>
      </c>
      <c r="D22" s="69"/>
      <c r="E22" s="69"/>
      <c r="F22" s="69"/>
      <c r="G22" s="69"/>
      <c r="K22" s="11"/>
    </row>
    <row r="23" spans="2:11" ht="15.75" x14ac:dyDescent="0.25">
      <c r="B23" s="64" t="s">
        <v>689</v>
      </c>
      <c r="C23" s="69">
        <v>0</v>
      </c>
      <c r="D23" s="71">
        <v>0</v>
      </c>
      <c r="E23" s="71">
        <f>-('Balance Sheet'!$J$15+'Balance Sheet'!$J$19+'Balance Sheet'!$J$20)/6</f>
        <v>-993554.33333333337</v>
      </c>
      <c r="F23" s="71">
        <f>-('Balance Sheet'!$J$15+'Balance Sheet'!$J$19+'Balance Sheet'!$J$20)/3</f>
        <v>-1987108.6666666667</v>
      </c>
      <c r="G23" s="71">
        <f>-('Balance Sheet'!$J$15+'Balance Sheet'!$J$19+'Balance Sheet'!$J$20)/2</f>
        <v>-2980663</v>
      </c>
      <c r="K23" s="11"/>
    </row>
    <row r="24" spans="2:11" ht="15.75" x14ac:dyDescent="0.25">
      <c r="B24" s="64" t="s">
        <v>625</v>
      </c>
      <c r="C24" s="71">
        <f>-'50L T.L. Repayment Sch.'!$Q$9*10^5</f>
        <v>0</v>
      </c>
      <c r="D24" s="69">
        <f>-'50L T.L. Repayment Sch.'!$Q$17*10^5</f>
        <v>-485283.29529696913</v>
      </c>
      <c r="E24" s="69">
        <f>-'50L T.L. Repayment Sch.'!$Q$25*10^5</f>
        <v>-546829.36384554883</v>
      </c>
      <c r="F24" s="69">
        <f>-'50L T.L. Repayment Sch.'!$Q$33*10^5</f>
        <v>-616181.01439230633</v>
      </c>
      <c r="G24" s="69">
        <f>-'50L T.L. Repayment Sch.'!$Q$41*10^5</f>
        <v>-694328.19010935829</v>
      </c>
      <c r="K24" s="11"/>
    </row>
    <row r="25" spans="2:11" ht="15.75" x14ac:dyDescent="0.25">
      <c r="B25" s="64" t="s">
        <v>323</v>
      </c>
      <c r="C25" s="601">
        <f>SUM(C21:C24)</f>
        <v>35000000</v>
      </c>
      <c r="D25" s="601">
        <f>SUM(D21:D24)</f>
        <v>4514716.7047030311</v>
      </c>
      <c r="E25" s="601">
        <f>SUM(E21:E24)</f>
        <v>-1540383.6971788821</v>
      </c>
      <c r="F25" s="601">
        <f>SUM(F21:F24)</f>
        <v>-2603289.6810589731</v>
      </c>
      <c r="G25" s="601">
        <f>SUM(G21:G24)</f>
        <v>-3674991.1901093582</v>
      </c>
      <c r="K25" s="11"/>
    </row>
    <row r="26" spans="2:11" ht="15.75" x14ac:dyDescent="0.25">
      <c r="B26" s="64"/>
      <c r="C26" s="72"/>
      <c r="D26" s="72"/>
      <c r="E26" s="72"/>
      <c r="F26" s="72"/>
      <c r="G26" s="72"/>
      <c r="K26" s="11"/>
    </row>
    <row r="27" spans="2:11" ht="15.75" x14ac:dyDescent="0.25">
      <c r="B27" s="485" t="s">
        <v>24</v>
      </c>
      <c r="C27" s="72">
        <f>+C25+C18+C14</f>
        <v>35031869.591532052</v>
      </c>
      <c r="D27" s="72">
        <f>+D25+D17+D14</f>
        <v>22150924.695835821</v>
      </c>
      <c r="E27" s="72">
        <f>+E25+E17+E14</f>
        <v>46051917.210786462</v>
      </c>
      <c r="F27" s="72">
        <f>+F25+F17+F14</f>
        <v>48567498.791767195</v>
      </c>
      <c r="G27" s="72">
        <f>+G25+G17+G14</f>
        <v>92093227.298664019</v>
      </c>
    </row>
    <row r="28" spans="2:11" ht="15.75" x14ac:dyDescent="0.25">
      <c r="B28" s="64"/>
      <c r="C28" s="72"/>
      <c r="D28" s="72"/>
      <c r="E28" s="72"/>
      <c r="F28" s="72"/>
      <c r="G28" s="72"/>
    </row>
    <row r="29" spans="2:11" ht="15.75" x14ac:dyDescent="0.25">
      <c r="B29" s="64" t="s">
        <v>325</v>
      </c>
      <c r="C29" s="72">
        <f>'Balance Sheet'!H46</f>
        <v>3457618</v>
      </c>
      <c r="D29" s="72">
        <f>C31</f>
        <v>38489487.591532052</v>
      </c>
      <c r="E29" s="72">
        <f>D31</f>
        <v>60640412.287367873</v>
      </c>
      <c r="F29" s="72">
        <f>E31</f>
        <v>106692329.49815434</v>
      </c>
      <c r="G29" s="72">
        <f>F31</f>
        <v>155259828.28992152</v>
      </c>
      <c r="H29" s="62"/>
    </row>
    <row r="30" spans="2:11" ht="15.75" x14ac:dyDescent="0.25">
      <c r="B30" s="64" t="s">
        <v>64</v>
      </c>
      <c r="C30" s="71">
        <f>C27</f>
        <v>35031869.591532052</v>
      </c>
      <c r="D30" s="71">
        <f>D27</f>
        <v>22150924.695835821</v>
      </c>
      <c r="E30" s="71">
        <f>E27</f>
        <v>46051917.210786462</v>
      </c>
      <c r="F30" s="71">
        <f>F27</f>
        <v>48567498.791767195</v>
      </c>
      <c r="G30" s="71">
        <f>G27</f>
        <v>92093227.298664019</v>
      </c>
    </row>
    <row r="31" spans="2:11" ht="15.75" x14ac:dyDescent="0.25">
      <c r="B31" s="64" t="s">
        <v>324</v>
      </c>
      <c r="C31" s="72">
        <f>C30+C29</f>
        <v>38489487.591532052</v>
      </c>
      <c r="D31" s="72">
        <f>D30+D29</f>
        <v>60640412.287367873</v>
      </c>
      <c r="E31" s="72">
        <f>E30+E29</f>
        <v>106692329.49815434</v>
      </c>
      <c r="F31" s="72">
        <f>F30+F29</f>
        <v>155259828.28992152</v>
      </c>
      <c r="G31" s="72">
        <f>G30+G29</f>
        <v>247353055.58858556</v>
      </c>
    </row>
    <row r="32" spans="2:11" x14ac:dyDescent="0.25">
      <c r="C32" s="504"/>
      <c r="D32" s="504"/>
      <c r="E32" s="504"/>
      <c r="F32" s="504"/>
      <c r="G32" s="504"/>
    </row>
    <row r="33" spans="3:4" ht="15" customHeight="1" x14ac:dyDescent="0.25"/>
    <row r="34" spans="3:4" x14ac:dyDescent="0.25">
      <c r="C34" s="358"/>
      <c r="D34" s="358"/>
    </row>
  </sheetData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92D050"/>
  </sheetPr>
  <dimension ref="A1:M44"/>
  <sheetViews>
    <sheetView showGridLines="0" tabSelected="1" zoomScale="80" zoomScaleNormal="80" workbookViewId="0">
      <pane xSplit="2" ySplit="5" topLeftCell="C6" activePane="bottomRight" state="frozen"/>
      <selection pane="topRight"/>
      <selection pane="bottomLeft"/>
      <selection pane="bottomRight" activeCell="C1" sqref="C1"/>
    </sheetView>
  </sheetViews>
  <sheetFormatPr defaultRowHeight="15" outlineLevelCol="1" x14ac:dyDescent="0.25"/>
  <cols>
    <col min="1" max="1" width="5.5703125" customWidth="1"/>
    <col min="2" max="2" width="38.140625" bestFit="1" customWidth="1"/>
    <col min="3" max="3" width="17.7109375" customWidth="1"/>
    <col min="4" max="6" width="18" hidden="1" customWidth="1" outlineLevel="1"/>
    <col min="7" max="7" width="18" customWidth="1" collapsed="1"/>
    <col min="8" max="11" width="18" customWidth="1"/>
  </cols>
  <sheetData>
    <row r="1" spans="1:11" s="495" customFormat="1" x14ac:dyDescent="0.25">
      <c r="A1" s="542" t="str">
        <f>Summary!A1</f>
        <v>ABC Nutri foods</v>
      </c>
      <c r="B1" s="494"/>
    </row>
    <row r="2" spans="1:11" s="497" customFormat="1" x14ac:dyDescent="0.25">
      <c r="A2" s="493" t="s">
        <v>451</v>
      </c>
      <c r="B2" s="496"/>
    </row>
    <row r="4" spans="1:11" s="4" customFormat="1" ht="18" customHeight="1" x14ac:dyDescent="0.25">
      <c r="B4" s="63"/>
      <c r="C4" s="54"/>
      <c r="D4" s="65" t="s">
        <v>62</v>
      </c>
      <c r="E4" s="65" t="s">
        <v>422</v>
      </c>
      <c r="F4" s="65" t="s">
        <v>550</v>
      </c>
      <c r="G4" s="65" t="str">
        <f>'Cash Flow St.'!D4</f>
        <v>Projected</v>
      </c>
      <c r="H4" s="65" t="str">
        <f>'Cash Flow St.'!E4</f>
        <v>Projected</v>
      </c>
      <c r="I4" s="65" t="str">
        <f>'Cash Flow St.'!F4</f>
        <v>Projected</v>
      </c>
      <c r="J4" s="65" t="str">
        <f>'Cash Flow St.'!G4</f>
        <v>Projected</v>
      </c>
      <c r="K4" s="65" t="s">
        <v>63</v>
      </c>
    </row>
    <row r="5" spans="1:11" s="4" customFormat="1" ht="31.5" x14ac:dyDescent="0.2">
      <c r="B5" s="63" t="s">
        <v>2</v>
      </c>
      <c r="C5" s="44"/>
      <c r="D5" s="66" t="s">
        <v>3</v>
      </c>
      <c r="E5" s="67" t="s">
        <v>6</v>
      </c>
      <c r="F5" s="66" t="s">
        <v>7</v>
      </c>
      <c r="G5" s="67" t="s">
        <v>8</v>
      </c>
      <c r="H5" s="67" t="s">
        <v>9</v>
      </c>
      <c r="I5" s="67" t="s">
        <v>10</v>
      </c>
      <c r="J5" s="67" t="s">
        <v>404</v>
      </c>
      <c r="K5" s="67" t="s">
        <v>591</v>
      </c>
    </row>
    <row r="6" spans="1:11" s="4" customFormat="1" ht="18" customHeight="1" x14ac:dyDescent="0.25">
      <c r="B6" s="64"/>
      <c r="C6" s="69"/>
      <c r="D6" s="69"/>
      <c r="E6" s="69"/>
      <c r="F6" s="69"/>
      <c r="G6" s="69"/>
      <c r="H6" s="69"/>
      <c r="I6" s="69"/>
      <c r="J6" s="69"/>
      <c r="K6" s="69"/>
    </row>
    <row r="7" spans="1:11" s="3" customFormat="1" ht="18" customHeight="1" x14ac:dyDescent="0.25">
      <c r="B7" s="64" t="s">
        <v>4</v>
      </c>
      <c r="C7" s="69"/>
      <c r="D7" s="69"/>
      <c r="E7" s="69"/>
      <c r="F7" s="69"/>
      <c r="G7" s="69"/>
      <c r="H7" s="69"/>
      <c r="I7" s="69"/>
      <c r="J7" s="69"/>
      <c r="K7" s="69"/>
    </row>
    <row r="8" spans="1:11" s="3" customFormat="1" ht="18" customHeight="1" x14ac:dyDescent="0.25">
      <c r="B8" s="64" t="str">
        <f>'Balance Sheet'!B24</f>
        <v>Duties &amp; Taxes</v>
      </c>
      <c r="C8" s="69"/>
      <c r="D8" s="69">
        <f>'Balance Sheet'!F24</f>
        <v>-15675</v>
      </c>
      <c r="E8" s="69">
        <f>'Balance Sheet'!G24</f>
        <v>46615</v>
      </c>
      <c r="F8" s="69">
        <f>'Balance Sheet'!H24</f>
        <v>1894</v>
      </c>
      <c r="G8" s="69">
        <f>'Profit &amp; Loss St.'!I$16*('Working Capital'!G34/G$44)</f>
        <v>83824.928533683618</v>
      </c>
      <c r="H8" s="69">
        <f>'Profit &amp; Loss St.'!J$16*('Working Capital'!H34/H$44)</f>
        <v>274252.26309842546</v>
      </c>
      <c r="I8" s="69">
        <f>'Profit &amp; Loss St.'!K$16*('Working Capital'!I34/I$44)</f>
        <v>498665.49431717559</v>
      </c>
      <c r="J8" s="69">
        <f>'Profit &amp; Loss St.'!L$16*('Working Capital'!J34/J$44)</f>
        <v>626039.22384920774</v>
      </c>
      <c r="K8" s="69">
        <f>'Profit &amp; Loss St.'!M$16*('Working Capital'!K34/K$44)</f>
        <v>893021.92232588807</v>
      </c>
    </row>
    <row r="9" spans="1:11" s="3" customFormat="1" ht="18" customHeight="1" x14ac:dyDescent="0.25">
      <c r="B9" s="64" t="str">
        <f>'Balance Sheet'!B25</f>
        <v>Sundry Creditors</v>
      </c>
      <c r="C9" s="69"/>
      <c r="D9" s="69">
        <f>'Balance Sheet'!F25</f>
        <v>582807</v>
      </c>
      <c r="E9" s="69">
        <f>'Balance Sheet'!G25</f>
        <v>0</v>
      </c>
      <c r="F9" s="69">
        <f>'Balance Sheet'!H25</f>
        <v>1884231</v>
      </c>
      <c r="G9" s="69">
        <f>'Profit &amp; Loss St.'!I$16*('Working Capital'!G35/G$44)</f>
        <v>5029495.7120210165</v>
      </c>
      <c r="H9" s="69">
        <f>'Profit &amp; Loss St.'!J$16*('Working Capital'!H35/H$44)</f>
        <v>16455135.785905529</v>
      </c>
      <c r="I9" s="69">
        <f>'Profit &amp; Loss St.'!K$16*('Working Capital'!I35/I$44)</f>
        <v>29919929.659030534</v>
      </c>
      <c r="J9" s="69">
        <f>'Profit &amp; Loss St.'!L$16*('Working Capital'!J35/J$44)</f>
        <v>37562353.43095246</v>
      </c>
      <c r="K9" s="69">
        <f>'Profit &amp; Loss St.'!M$16*('Working Capital'!K35/K$44)</f>
        <v>53581315.339553282</v>
      </c>
    </row>
    <row r="10" spans="1:11" s="3" customFormat="1" ht="18" customHeight="1" x14ac:dyDescent="0.25">
      <c r="B10" s="64" t="s">
        <v>692</v>
      </c>
      <c r="C10" s="69"/>
      <c r="D10" s="69"/>
      <c r="E10" s="69"/>
      <c r="F10" s="69"/>
      <c r="G10" s="69">
        <f>'Balance Sheet'!I30-'Balance Sheet'!H30</f>
        <v>-311860</v>
      </c>
      <c r="H10" s="69">
        <f>G10</f>
        <v>-311860</v>
      </c>
      <c r="I10" s="69">
        <f>H10</f>
        <v>-311860</v>
      </c>
      <c r="J10" s="69">
        <f t="shared" ref="J10:K10" si="0">I10</f>
        <v>-311860</v>
      </c>
      <c r="K10" s="69">
        <f t="shared" si="0"/>
        <v>-311860</v>
      </c>
    </row>
    <row r="11" spans="1:11" s="3" customFormat="1" ht="18" customHeight="1" x14ac:dyDescent="0.25">
      <c r="B11" s="64" t="s">
        <v>693</v>
      </c>
      <c r="C11" s="69"/>
      <c r="D11" s="69"/>
      <c r="E11" s="69"/>
      <c r="F11" s="69"/>
      <c r="G11" s="69">
        <f>'Balance Sheet'!I31-'Balance Sheet'!H31</f>
        <v>-85142</v>
      </c>
      <c r="H11" s="69">
        <f>G11</f>
        <v>-85142</v>
      </c>
      <c r="I11" s="69">
        <f>H11</f>
        <v>-85142</v>
      </c>
      <c r="J11" s="69">
        <f t="shared" ref="J11:K11" si="1">I11</f>
        <v>-85142</v>
      </c>
      <c r="K11" s="69">
        <f t="shared" si="1"/>
        <v>-85142</v>
      </c>
    </row>
    <row r="12" spans="1:11" s="3" customFormat="1" ht="18" customHeight="1" x14ac:dyDescent="0.25">
      <c r="B12" s="64" t="str">
        <f>'Balance Sheet'!B14</f>
        <v>Interest accrued on Convertible Loan</v>
      </c>
      <c r="C12" s="69"/>
      <c r="D12" s="69"/>
      <c r="E12" s="69"/>
      <c r="F12" s="69"/>
      <c r="G12" s="69"/>
      <c r="H12" s="69">
        <f>'Balance Sheet'!J14</f>
        <v>2400000</v>
      </c>
      <c r="I12" s="69">
        <f>'Balance Sheet'!K14</f>
        <v>4800000</v>
      </c>
      <c r="J12" s="69">
        <f>'Balance Sheet'!L14</f>
        <v>7200000</v>
      </c>
      <c r="K12" s="69">
        <f>'Balance Sheet'!M14</f>
        <v>9600000</v>
      </c>
    </row>
    <row r="13" spans="1:11" s="3" customFormat="1" ht="18" customHeight="1" x14ac:dyDescent="0.25">
      <c r="B13" s="64" t="s">
        <v>68</v>
      </c>
      <c r="C13" s="69"/>
      <c r="D13" s="69">
        <f>'Balance Sheet'!F28</f>
        <v>0</v>
      </c>
      <c r="E13" s="69">
        <f>'Balance Sheet'!G28</f>
        <v>550000</v>
      </c>
      <c r="F13" s="69">
        <f>'Balance Sheet'!H28</f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</row>
    <row r="14" spans="1:11" s="3" customFormat="1" ht="18" customHeight="1" x14ac:dyDescent="0.25">
      <c r="A14"/>
      <c r="B14" s="64" t="s">
        <v>27</v>
      </c>
      <c r="C14" s="69"/>
      <c r="D14" s="69">
        <f>SUM(D8:D13)</f>
        <v>567132</v>
      </c>
      <c r="E14" s="69">
        <f t="shared" ref="E14:J14" si="2">SUM(E8:E13)</f>
        <v>596615</v>
      </c>
      <c r="F14" s="69">
        <f t="shared" si="2"/>
        <v>1886125</v>
      </c>
      <c r="G14" s="69">
        <f t="shared" si="2"/>
        <v>4716318.6405547</v>
      </c>
      <c r="H14" s="69">
        <f t="shared" si="2"/>
        <v>18732386.049003955</v>
      </c>
      <c r="I14" s="69">
        <f t="shared" si="2"/>
        <v>34821593.153347708</v>
      </c>
      <c r="J14" s="69">
        <f t="shared" si="2"/>
        <v>44991390.654801667</v>
      </c>
      <c r="K14" s="69">
        <f>SUM(K8:K13)</f>
        <v>63677335.261879168</v>
      </c>
    </row>
    <row r="15" spans="1:11" s="3" customFormat="1" ht="18" customHeight="1" x14ac:dyDescent="0.25">
      <c r="B15" s="64" t="s">
        <v>326</v>
      </c>
      <c r="C15" s="69"/>
      <c r="D15" s="69"/>
      <c r="E15" s="69">
        <f t="shared" ref="E15:K15" si="3">E14-D14</f>
        <v>29483</v>
      </c>
      <c r="F15" s="69">
        <f t="shared" si="3"/>
        <v>1289510</v>
      </c>
      <c r="G15" s="69">
        <f t="shared" si="3"/>
        <v>2830193.6405547</v>
      </c>
      <c r="H15" s="69">
        <f t="shared" si="3"/>
        <v>14016067.408449255</v>
      </c>
      <c r="I15" s="69">
        <f t="shared" si="3"/>
        <v>16089207.104343753</v>
      </c>
      <c r="J15" s="69">
        <f t="shared" si="3"/>
        <v>10169797.501453958</v>
      </c>
      <c r="K15" s="69">
        <f t="shared" si="3"/>
        <v>18685944.607077502</v>
      </c>
    </row>
    <row r="16" spans="1:11" s="3" customFormat="1" ht="18" customHeight="1" x14ac:dyDescent="0.25">
      <c r="B16" s="64"/>
      <c r="C16" s="69"/>
      <c r="D16" s="69"/>
      <c r="E16" s="69"/>
      <c r="F16" s="69"/>
      <c r="G16" s="69"/>
      <c r="H16" s="69"/>
      <c r="I16" s="69"/>
      <c r="J16" s="69"/>
      <c r="K16" s="69"/>
    </row>
    <row r="17" spans="1:12" s="3" customFormat="1" ht="18" customHeight="1" x14ac:dyDescent="0.25">
      <c r="B17" s="64" t="s">
        <v>5</v>
      </c>
      <c r="C17" s="69"/>
      <c r="D17" s="69"/>
      <c r="E17" s="69"/>
      <c r="F17" s="69"/>
      <c r="G17" s="69"/>
      <c r="H17" s="69"/>
      <c r="I17" s="69"/>
      <c r="J17" s="69"/>
      <c r="K17" s="69"/>
    </row>
    <row r="18" spans="1:12" s="3" customFormat="1" ht="18" customHeight="1" x14ac:dyDescent="0.25">
      <c r="B18" s="64" t="str">
        <f>'Balance Sheet'!B40</f>
        <v>Closing Stock / Inventory</v>
      </c>
      <c r="C18" s="69"/>
      <c r="D18" s="69">
        <f>'Balance Sheet'!F40</f>
        <v>6026353</v>
      </c>
      <c r="E18" s="69">
        <f>'Balance Sheet'!G40</f>
        <v>5024144</v>
      </c>
      <c r="F18" s="69">
        <f>'Balance Sheet'!H40</f>
        <v>4021936</v>
      </c>
      <c r="G18" s="69">
        <f>'Profit &amp; Loss St.'!I12*'Working Capital'!G38/'Working Capital'!G44+'Profit &amp; Loss St.'!I7*'Working Capital'!G39/'Working Capital'!G44</f>
        <v>3637510.2692054799</v>
      </c>
      <c r="H18" s="69">
        <f>'Profit &amp; Loss St.'!J12*'Working Capital'!H38/'Working Capital'!H44+'Profit &amp; Loss St.'!J7*'Working Capital'!H39/'Working Capital'!H44</f>
        <v>25510168.708330192</v>
      </c>
      <c r="I18" s="69">
        <f>'Profit &amp; Loss St.'!K12*'Working Capital'!I38/'Working Capital'!I44+'Profit &amp; Loss St.'!K7*'Working Capital'!I39/'Working Capital'!I44</f>
        <v>41927742.120588586</v>
      </c>
      <c r="J18" s="69">
        <f>'Profit &amp; Loss St.'!L12*'Working Capital'!J38/'Working Capital'!J44+'Profit &amp; Loss St.'!L7*'Working Capital'!J39/'Working Capital'!J44</f>
        <v>86779741.844430581</v>
      </c>
      <c r="K18" s="69">
        <f>'Profit &amp; Loss St.'!M12*'Working Capital'!K38/'Working Capital'!K44+'Profit &amp; Loss St.'!M7*'Working Capital'!K39/'Working Capital'!K44</f>
        <v>112120518.3643389</v>
      </c>
    </row>
    <row r="19" spans="1:12" s="3" customFormat="1" ht="18" customHeight="1" x14ac:dyDescent="0.25">
      <c r="B19" s="64" t="str">
        <f>'Balance Sheet'!B41</f>
        <v xml:space="preserve">Working Capital / Work In Progress </v>
      </c>
      <c r="C19" s="69"/>
      <c r="D19" s="69">
        <f>'Balance Sheet'!F41</f>
        <v>74750</v>
      </c>
      <c r="E19" s="69">
        <f>'Balance Sheet'!G41</f>
        <v>74750</v>
      </c>
      <c r="F19" s="69">
        <f>'Balance Sheet'!H41</f>
        <v>0</v>
      </c>
      <c r="G19" s="69">
        <f>IFERROR('Profit &amp; Loss St.'!I$9*('Working Capital'!G40/G44),0)</f>
        <v>379860.88295671227</v>
      </c>
      <c r="H19" s="69">
        <f>IFERROR('Profit &amp; Loss St.'!J$9*('Working Capital'!H40/H44),0)</f>
        <v>1548484.8066956217</v>
      </c>
      <c r="I19" s="69">
        <f>IFERROR('Profit &amp; Loss St.'!K$9*('Working Capital'!I40/I44),0)</f>
        <v>2561838.7695545224</v>
      </c>
      <c r="J19" s="69">
        <f>IFERROR('Profit &amp; Loss St.'!L$9*('Working Capital'!J40/J44),0)</f>
        <v>3538551.8783417414</v>
      </c>
      <c r="K19" s="69">
        <f>IFERROR('Profit &amp; Loss St.'!M$9*('Working Capital'!K40/K44),0)</f>
        <v>4587355.1023534453</v>
      </c>
    </row>
    <row r="20" spans="1:12" s="3" customFormat="1" ht="18" customHeight="1" x14ac:dyDescent="0.25">
      <c r="B20" s="64" t="str">
        <f>'Balance Sheet'!B42</f>
        <v>Loans and Advances (Assets)</v>
      </c>
      <c r="C20" s="69"/>
      <c r="D20" s="69">
        <f>'Balance Sheet'!F42</f>
        <v>582573</v>
      </c>
      <c r="E20" s="69">
        <f>'Balance Sheet'!G42</f>
        <v>92436</v>
      </c>
      <c r="F20" s="69">
        <f>'Balance Sheet'!H42</f>
        <v>456316</v>
      </c>
      <c r="G20" s="69">
        <f>F20</f>
        <v>456316</v>
      </c>
      <c r="H20" s="69">
        <f>G20</f>
        <v>456316</v>
      </c>
      <c r="I20" s="69">
        <f>H20</f>
        <v>456316</v>
      </c>
      <c r="J20" s="69">
        <f>I20</f>
        <v>456316</v>
      </c>
      <c r="K20" s="69">
        <f>J20</f>
        <v>456316</v>
      </c>
    </row>
    <row r="21" spans="1:12" s="3" customFormat="1" ht="18" customHeight="1" x14ac:dyDescent="0.25">
      <c r="B21" s="64" t="str">
        <f>'Balance Sheet'!B43</f>
        <v>Sundry Debtors</v>
      </c>
      <c r="C21" s="69"/>
      <c r="D21" s="69">
        <f>'Balance Sheet'!F43</f>
        <v>345023</v>
      </c>
      <c r="E21" s="69">
        <f>'Balance Sheet'!G43</f>
        <v>871098</v>
      </c>
      <c r="F21" s="69">
        <f>'Balance Sheet'!H43</f>
        <v>0</v>
      </c>
      <c r="G21" s="69">
        <f>IFERROR('Profit &amp; Loss St.'!I$9*('Working Capital'!G41/G44),0)</f>
        <v>1899304.4147835614</v>
      </c>
      <c r="H21" s="69">
        <f>IFERROR('Profit &amp; Loss St.'!J$9*('Working Capital'!H41/H44),0)</f>
        <v>7742424.0334781092</v>
      </c>
      <c r="I21" s="69">
        <f>IFERROR('Profit &amp; Loss St.'!K$9*('Working Capital'!I41/I44),0)</f>
        <v>12809193.847772613</v>
      </c>
      <c r="J21" s="69">
        <f>IFERROR('Profit &amp; Loss St.'!L$9*('Working Capital'!J41/J44),0)</f>
        <v>17692759.391708709</v>
      </c>
      <c r="K21" s="69">
        <f>IFERROR('Profit &amp; Loss St.'!M$9*('Working Capital'!K41/K44),0)</f>
        <v>22936775.511767227</v>
      </c>
    </row>
    <row r="22" spans="1:12" s="3" customFormat="1" ht="18" customHeight="1" x14ac:dyDescent="0.25">
      <c r="B22" s="64" t="str">
        <f>'Balance Sheet'!B44</f>
        <v>TDS Receivable</v>
      </c>
      <c r="C22" s="69"/>
      <c r="D22" s="69">
        <f>'Balance Sheet'!F44</f>
        <v>16489</v>
      </c>
      <c r="E22" s="69">
        <f>'Balance Sheet'!G44</f>
        <v>16489</v>
      </c>
      <c r="F22" s="69">
        <f>'Balance Sheet'!H44</f>
        <v>0</v>
      </c>
      <c r="G22" s="69">
        <f>IFERROR('Profit &amp; Loss St.'!I$9*('Working Capital'!G42/G44),0)</f>
        <v>76622.655350423898</v>
      </c>
      <c r="H22" s="69">
        <f>IFERROR('Profit &amp; Loss St.'!J$9*('Working Capital'!H42/H44),0)</f>
        <v>312348.60703550582</v>
      </c>
      <c r="I22" s="69">
        <f>IFERROR('Profit &amp; Loss St.'!K$9*('Working Capital'!I42/I44),0)</f>
        <v>516754.68022670643</v>
      </c>
      <c r="J22" s="69">
        <f>IFERROR('Profit &amp; Loss St.'!L$9*('Working Capital'!J42/J44),0)</f>
        <v>713769.83832439478</v>
      </c>
      <c r="K22" s="69">
        <f>IFERROR('Profit &amp; Loss St.'!M$9*('Working Capital'!K42/K44),0)</f>
        <v>925326.46752598591</v>
      </c>
    </row>
    <row r="23" spans="1:12" s="3" customFormat="1" ht="18" customHeight="1" x14ac:dyDescent="0.25">
      <c r="B23" s="64" t="s">
        <v>134</v>
      </c>
      <c r="C23" s="69"/>
      <c r="D23" s="69">
        <v>0</v>
      </c>
      <c r="E23" s="69">
        <v>0</v>
      </c>
      <c r="F23" s="69"/>
      <c r="G23" s="69">
        <f>-'Balance Sheet'!H45</f>
        <v>-31334</v>
      </c>
      <c r="H23" s="69">
        <f>G23</f>
        <v>-31334</v>
      </c>
      <c r="I23" s="69">
        <f>H23</f>
        <v>-31334</v>
      </c>
      <c r="J23" s="69">
        <f t="shared" ref="J23:K23" si="4">I23</f>
        <v>-31334</v>
      </c>
      <c r="K23" s="69">
        <f t="shared" si="4"/>
        <v>-31334</v>
      </c>
    </row>
    <row r="24" spans="1:12" s="9" customFormat="1" ht="18" customHeight="1" x14ac:dyDescent="0.25">
      <c r="A24"/>
      <c r="B24" s="64" t="s">
        <v>26</v>
      </c>
      <c r="C24" s="69"/>
      <c r="D24" s="69">
        <f t="shared" ref="D24:I24" si="5">SUM(D18:D23)</f>
        <v>7045188</v>
      </c>
      <c r="E24" s="69">
        <f t="shared" si="5"/>
        <v>6078917</v>
      </c>
      <c r="F24" s="69">
        <f t="shared" si="5"/>
        <v>4478252</v>
      </c>
      <c r="G24" s="69">
        <f t="shared" si="5"/>
        <v>6418280.2222961783</v>
      </c>
      <c r="H24" s="69">
        <f>SUM(H18:H23)</f>
        <v>35538408.155539423</v>
      </c>
      <c r="I24" s="69">
        <f t="shared" si="5"/>
        <v>58240511.41814243</v>
      </c>
      <c r="J24" s="69">
        <f>SUM(J18:J23)</f>
        <v>109149804.95280543</v>
      </c>
      <c r="K24" s="69">
        <f>SUM(K18:K23)</f>
        <v>140994957.44598556</v>
      </c>
    </row>
    <row r="25" spans="1:12" ht="18" customHeight="1" x14ac:dyDescent="0.25">
      <c r="B25" s="64" t="s">
        <v>426</v>
      </c>
      <c r="C25" s="69"/>
      <c r="D25" s="69"/>
      <c r="E25" s="69">
        <f t="shared" ref="E25:K25" si="6">D24-E24</f>
        <v>966271</v>
      </c>
      <c r="F25" s="69">
        <f t="shared" si="6"/>
        <v>1600665</v>
      </c>
      <c r="G25" s="69">
        <f t="shared" si="6"/>
        <v>-1940028.2222961783</v>
      </c>
      <c r="H25" s="69">
        <f t="shared" si="6"/>
        <v>-29120127.933243245</v>
      </c>
      <c r="I25" s="69">
        <f t="shared" si="6"/>
        <v>-22702103.262603007</v>
      </c>
      <c r="J25" s="69">
        <f t="shared" si="6"/>
        <v>-50909293.534662999</v>
      </c>
      <c r="K25" s="69">
        <f t="shared" si="6"/>
        <v>-31845152.493180126</v>
      </c>
    </row>
    <row r="26" spans="1:12" ht="18" customHeight="1" x14ac:dyDescent="0.25">
      <c r="B26" s="64" t="s">
        <v>58</v>
      </c>
      <c r="C26" s="69"/>
      <c r="D26" s="69">
        <f t="shared" ref="D26:I26" si="7">D24-D14</f>
        <v>6478056</v>
      </c>
      <c r="E26" s="69">
        <f t="shared" si="7"/>
        <v>5482302</v>
      </c>
      <c r="F26" s="69">
        <f t="shared" si="7"/>
        <v>2592127</v>
      </c>
      <c r="G26" s="69">
        <f t="shared" si="7"/>
        <v>1701961.5817414783</v>
      </c>
      <c r="H26" s="69">
        <f t="shared" si="7"/>
        <v>16806022.106535468</v>
      </c>
      <c r="I26" s="69">
        <f t="shared" si="7"/>
        <v>23418918.264794722</v>
      </c>
      <c r="J26" s="69">
        <f>J24-J14</f>
        <v>64158414.298003763</v>
      </c>
      <c r="K26" s="69">
        <f>K24-K14</f>
        <v>77317622.18410638</v>
      </c>
    </row>
    <row r="27" spans="1:12" s="9" customFormat="1" ht="18" customHeight="1" x14ac:dyDescent="0.25">
      <c r="B27" s="64" t="s">
        <v>29</v>
      </c>
      <c r="C27" s="69"/>
      <c r="D27" s="70">
        <f t="shared" ref="D27:I27" si="8">D15+D25</f>
        <v>0</v>
      </c>
      <c r="E27" s="70">
        <f>E15+E25</f>
        <v>995754</v>
      </c>
      <c r="F27" s="70">
        <f t="shared" si="8"/>
        <v>2890175</v>
      </c>
      <c r="G27" s="70">
        <f t="shared" si="8"/>
        <v>890165.41825852171</v>
      </c>
      <c r="H27" s="70">
        <f t="shared" si="8"/>
        <v>-15104060.52479399</v>
      </c>
      <c r="I27" s="70">
        <f t="shared" si="8"/>
        <v>-6612896.1582592539</v>
      </c>
      <c r="J27" s="70">
        <f>J15+J25</f>
        <v>-40739496.033209041</v>
      </c>
      <c r="K27" s="70">
        <f>K15+K25</f>
        <v>-13159207.886102624</v>
      </c>
    </row>
    <row r="28" spans="1:12" s="9" customFormat="1" ht="18" customHeight="1" x14ac:dyDescent="0.25">
      <c r="B28" s="174" t="s">
        <v>26</v>
      </c>
      <c r="C28" s="175"/>
      <c r="D28" s="176"/>
      <c r="E28" s="176">
        <f>SUM('Balance Sheet'!G40:G44)</f>
        <v>6078917</v>
      </c>
      <c r="F28" s="176">
        <f>SUM('Balance Sheet'!H40:H44)</f>
        <v>4478252</v>
      </c>
      <c r="G28" s="176">
        <f>SUM('Balance Sheet'!I40:I44)</f>
        <v>6449614.2222961783</v>
      </c>
      <c r="H28" s="176">
        <f>SUM('Balance Sheet'!J40:J44)</f>
        <v>35569742.155539423</v>
      </c>
      <c r="I28" s="176">
        <f>SUM('Balance Sheet'!K40:K44)</f>
        <v>58271845.41814243</v>
      </c>
      <c r="J28" s="176">
        <f>SUM('Balance Sheet'!L40:L44)</f>
        <v>109181138.95280543</v>
      </c>
      <c r="K28" s="176">
        <f>SUM('Balance Sheet'!M40:M44)</f>
        <v>141026291.44598556</v>
      </c>
    </row>
    <row r="29" spans="1:12" s="9" customFormat="1" ht="18" customHeight="1" x14ac:dyDescent="0.25">
      <c r="B29" s="177" t="s">
        <v>27</v>
      </c>
      <c r="C29" s="178"/>
      <c r="D29" s="179"/>
      <c r="E29" s="179">
        <f>SUM('Balance Sheet'!G24:G29)</f>
        <v>596615</v>
      </c>
      <c r="F29" s="179">
        <f>SUM('Balance Sheet'!H24:H29)</f>
        <v>1886125</v>
      </c>
      <c r="G29" s="179">
        <f>SUM('Balance Sheet'!I24:I29)</f>
        <v>5113320.6405547</v>
      </c>
      <c r="H29" s="179">
        <f>SUM('Balance Sheet'!J24:J29)</f>
        <v>16729388.049003955</v>
      </c>
      <c r="I29" s="179">
        <f>SUM('Balance Sheet'!K24:K29)</f>
        <v>30418595.153347708</v>
      </c>
      <c r="J29" s="179">
        <f>SUM('Balance Sheet'!L24:L29)</f>
        <v>38188392.654801667</v>
      </c>
      <c r="K29" s="179">
        <f>SUM('Balance Sheet'!M24:M29)</f>
        <v>54474337.261879168</v>
      </c>
    </row>
    <row r="30" spans="1:12" s="9" customFormat="1" ht="18" customHeight="1" x14ac:dyDescent="0.25">
      <c r="B30" s="180" t="s">
        <v>239</v>
      </c>
      <c r="C30" s="181"/>
      <c r="D30" s="182"/>
      <c r="E30" s="182">
        <f t="shared" ref="E30:K30" si="9">E28-E29</f>
        <v>5482302</v>
      </c>
      <c r="F30" s="182">
        <f t="shared" si="9"/>
        <v>2592127</v>
      </c>
      <c r="G30" s="182">
        <f t="shared" si="9"/>
        <v>1336293.5817414783</v>
      </c>
      <c r="H30" s="182">
        <f t="shared" si="9"/>
        <v>18840354.106535468</v>
      </c>
      <c r="I30" s="182">
        <f t="shared" si="9"/>
        <v>27853250.264794722</v>
      </c>
      <c r="J30" s="182">
        <f t="shared" si="9"/>
        <v>70992746.298003763</v>
      </c>
      <c r="K30" s="182">
        <f t="shared" si="9"/>
        <v>86551954.18410638</v>
      </c>
    </row>
    <row r="31" spans="1:12" ht="18" customHeight="1" x14ac:dyDescent="0.25"/>
    <row r="32" spans="1:12" ht="18" customHeight="1" x14ac:dyDescent="0.25">
      <c r="B32" s="196" t="s">
        <v>314</v>
      </c>
      <c r="C32" s="197"/>
      <c r="D32" s="198"/>
      <c r="E32" s="197"/>
      <c r="F32" s="197"/>
      <c r="G32" s="197"/>
      <c r="H32" s="197"/>
      <c r="I32" s="197"/>
      <c r="J32" s="197"/>
      <c r="K32" s="616"/>
      <c r="L32" s="534"/>
    </row>
    <row r="33" spans="2:13" s="3" customFormat="1" ht="18.75" customHeight="1" x14ac:dyDescent="0.2">
      <c r="B33" s="199" t="s">
        <v>60</v>
      </c>
      <c r="C33" s="200"/>
      <c r="D33" s="201"/>
      <c r="E33" s="202"/>
      <c r="F33" s="202"/>
      <c r="G33" s="202"/>
      <c r="H33" s="202"/>
      <c r="I33" s="202"/>
      <c r="J33" s="202"/>
      <c r="K33" s="617"/>
      <c r="L33" s="535"/>
    </row>
    <row r="34" spans="2:13" s="3" customFormat="1" ht="18.75" customHeight="1" x14ac:dyDescent="0.25">
      <c r="B34" s="203" t="str">
        <f>B8</f>
        <v>Duties &amp; Taxes</v>
      </c>
      <c r="C34" s="200"/>
      <c r="D34" s="204">
        <f>(D8/'Profit &amp; Loss St.'!F$16)*365</f>
        <v>-1.4256004209992303</v>
      </c>
      <c r="E34" s="202">
        <v>1</v>
      </c>
      <c r="F34" s="202">
        <f t="shared" ref="F34:K34" si="10">E34</f>
        <v>1</v>
      </c>
      <c r="G34" s="202">
        <f t="shared" si="10"/>
        <v>1</v>
      </c>
      <c r="H34" s="202">
        <f t="shared" si="10"/>
        <v>1</v>
      </c>
      <c r="I34" s="202">
        <f t="shared" si="10"/>
        <v>1</v>
      </c>
      <c r="J34" s="202">
        <f t="shared" si="10"/>
        <v>1</v>
      </c>
      <c r="K34" s="617">
        <f t="shared" si="10"/>
        <v>1</v>
      </c>
      <c r="L34" s="535"/>
    </row>
    <row r="35" spans="2:13" s="3" customFormat="1" ht="18.75" customHeight="1" x14ac:dyDescent="0.25">
      <c r="B35" s="203" t="str">
        <f>B9</f>
        <v>Sundry Creditors</v>
      </c>
      <c r="C35" s="205"/>
      <c r="D35" s="204">
        <f>(D9/'Profit &amp; Loss St.'!F$16)*365</f>
        <v>53.004778600401814</v>
      </c>
      <c r="E35" s="204">
        <v>45</v>
      </c>
      <c r="F35" s="204">
        <v>30</v>
      </c>
      <c r="G35" s="201">
        <v>60</v>
      </c>
      <c r="H35" s="201">
        <f>G35</f>
        <v>60</v>
      </c>
      <c r="I35" s="201">
        <f>H35</f>
        <v>60</v>
      </c>
      <c r="J35" s="201">
        <f>I35</f>
        <v>60</v>
      </c>
      <c r="K35" s="618">
        <f>J35</f>
        <v>60</v>
      </c>
      <c r="L35" s="535"/>
    </row>
    <row r="36" spans="2:13" s="3" customFormat="1" ht="12.75" customHeight="1" x14ac:dyDescent="0.25">
      <c r="B36" s="206"/>
      <c r="C36" s="205"/>
      <c r="D36" s="204"/>
      <c r="E36" s="202"/>
      <c r="F36" s="202"/>
      <c r="G36" s="202"/>
      <c r="H36" s="202"/>
      <c r="I36" s="202"/>
      <c r="J36" s="202"/>
      <c r="K36" s="617"/>
      <c r="L36" s="535"/>
    </row>
    <row r="37" spans="2:13" s="3" customFormat="1" ht="18.75" customHeight="1" x14ac:dyDescent="0.2">
      <c r="B37" s="199" t="s">
        <v>28</v>
      </c>
      <c r="C37" s="200"/>
      <c r="D37" s="207"/>
      <c r="E37" s="208"/>
      <c r="F37" s="202"/>
      <c r="G37" s="202"/>
      <c r="H37" s="202"/>
      <c r="I37" s="202"/>
      <c r="J37" s="202"/>
      <c r="K37" s="617"/>
      <c r="L37" s="535"/>
    </row>
    <row r="38" spans="2:13" s="3" customFormat="1" ht="18.75" customHeight="1" x14ac:dyDescent="0.2">
      <c r="B38" s="206" t="s">
        <v>155</v>
      </c>
      <c r="C38" s="200"/>
      <c r="D38" s="207"/>
      <c r="E38" s="201">
        <v>7</v>
      </c>
      <c r="F38" s="201">
        <v>7</v>
      </c>
      <c r="G38" s="201">
        <v>21</v>
      </c>
      <c r="H38" s="201">
        <v>30</v>
      </c>
      <c r="I38" s="201">
        <v>30</v>
      </c>
      <c r="J38" s="201">
        <v>45</v>
      </c>
      <c r="K38" s="618">
        <v>45</v>
      </c>
      <c r="L38" s="535"/>
    </row>
    <row r="39" spans="2:13" s="3" customFormat="1" ht="18.75" customHeight="1" x14ac:dyDescent="0.25">
      <c r="B39" s="206" t="s">
        <v>156</v>
      </c>
      <c r="C39" s="209"/>
      <c r="D39" s="204">
        <f>(D18/'Profit &amp; Loss St.'!F$9)*365</f>
        <v>221.16384364103595</v>
      </c>
      <c r="E39" s="201">
        <v>7</v>
      </c>
      <c r="F39" s="201">
        <v>7</v>
      </c>
      <c r="G39" s="201">
        <v>15</v>
      </c>
      <c r="H39" s="201">
        <v>30</v>
      </c>
      <c r="I39" s="201">
        <f t="shared" ref="I39" si="11">H39</f>
        <v>30</v>
      </c>
      <c r="J39" s="201">
        <v>45</v>
      </c>
      <c r="K39" s="618">
        <v>45</v>
      </c>
      <c r="L39" s="535"/>
    </row>
    <row r="40" spans="2:13" s="3" customFormat="1" ht="18.75" customHeight="1" x14ac:dyDescent="0.25">
      <c r="B40" s="206" t="str">
        <f>B19</f>
        <v xml:space="preserve">Working Capital / Work In Progress </v>
      </c>
      <c r="C40" s="209"/>
      <c r="D40" s="204">
        <f>(D19/'Profit &amp; Loss St.'!F$9)*365</f>
        <v>2.7432839251480017</v>
      </c>
      <c r="E40" s="201">
        <v>2</v>
      </c>
      <c r="F40" s="201">
        <v>1</v>
      </c>
      <c r="G40" s="201">
        <v>3</v>
      </c>
      <c r="H40" s="201">
        <f t="shared" ref="F40:H42" si="12">G40</f>
        <v>3</v>
      </c>
      <c r="I40" s="201">
        <f t="shared" ref="I40:K42" si="13">H40</f>
        <v>3</v>
      </c>
      <c r="J40" s="201">
        <f t="shared" si="13"/>
        <v>3</v>
      </c>
      <c r="K40" s="618">
        <f t="shared" si="13"/>
        <v>3</v>
      </c>
      <c r="L40" s="535"/>
    </row>
    <row r="41" spans="2:13" s="3" customFormat="1" ht="18.75" customHeight="1" x14ac:dyDescent="0.25">
      <c r="B41" s="206" t="str">
        <f>B21</f>
        <v>Sundry Debtors</v>
      </c>
      <c r="C41" s="205"/>
      <c r="D41" s="204">
        <f>(D21/'Profit &amp; Loss St.'!F$9)*365</f>
        <v>12.662154511121592</v>
      </c>
      <c r="E41" s="204">
        <v>35</v>
      </c>
      <c r="F41" s="204">
        <f>ROUNDUP(('Sales Schedule'!F14*60+SUM('Sales Schedule'!F15:F16)*16)/SUM('Sales Schedule'!F14:F16),0)</f>
        <v>28</v>
      </c>
      <c r="G41" s="204">
        <v>15</v>
      </c>
      <c r="H41" s="204">
        <f>G41</f>
        <v>15</v>
      </c>
      <c r="I41" s="204">
        <f t="shared" si="13"/>
        <v>15</v>
      </c>
      <c r="J41" s="204">
        <f t="shared" si="13"/>
        <v>15</v>
      </c>
      <c r="K41" s="619">
        <f t="shared" si="13"/>
        <v>15</v>
      </c>
      <c r="L41" s="535"/>
    </row>
    <row r="42" spans="2:13" ht="18.75" customHeight="1" x14ac:dyDescent="0.25">
      <c r="B42" s="206" t="str">
        <f>B22</f>
        <v>TDS Receivable</v>
      </c>
      <c r="C42" s="210"/>
      <c r="D42" s="204">
        <f>(D22/'Profit &amp; Loss St.'!F$9)*365</f>
        <v>0.60513723935472108</v>
      </c>
      <c r="E42" s="211">
        <f>D42</f>
        <v>0.60513723935472108</v>
      </c>
      <c r="F42" s="211">
        <f t="shared" si="12"/>
        <v>0.60513723935472108</v>
      </c>
      <c r="G42" s="211">
        <f t="shared" si="12"/>
        <v>0.60513723935472108</v>
      </c>
      <c r="H42" s="211">
        <f t="shared" si="12"/>
        <v>0.60513723935472108</v>
      </c>
      <c r="I42" s="211">
        <f t="shared" si="13"/>
        <v>0.60513723935472108</v>
      </c>
      <c r="J42" s="211">
        <f t="shared" si="13"/>
        <v>0.60513723935472108</v>
      </c>
      <c r="K42" s="620">
        <f t="shared" si="13"/>
        <v>0.60513723935472108</v>
      </c>
      <c r="L42" s="535"/>
      <c r="M42" s="3"/>
    </row>
    <row r="43" spans="2:13" x14ac:dyDescent="0.25">
      <c r="B43" s="206"/>
      <c r="C43" s="210"/>
      <c r="D43" s="210"/>
      <c r="E43" s="210"/>
      <c r="F43" s="210"/>
      <c r="G43" s="210"/>
      <c r="H43" s="210"/>
      <c r="I43" s="210"/>
      <c r="J43" s="210"/>
      <c r="K43" s="621"/>
      <c r="L43" s="535"/>
      <c r="M43" s="3"/>
    </row>
    <row r="44" spans="2:13" x14ac:dyDescent="0.25">
      <c r="B44" s="212" t="s">
        <v>157</v>
      </c>
      <c r="C44" s="213"/>
      <c r="D44" s="213"/>
      <c r="E44" s="213">
        <v>365</v>
      </c>
      <c r="F44" s="213">
        <f t="shared" ref="F44:K44" si="14">E44</f>
        <v>365</v>
      </c>
      <c r="G44" s="213">
        <f t="shared" si="14"/>
        <v>365</v>
      </c>
      <c r="H44" s="213">
        <f t="shared" si="14"/>
        <v>365</v>
      </c>
      <c r="I44" s="213">
        <f t="shared" si="14"/>
        <v>365</v>
      </c>
      <c r="J44" s="213">
        <f t="shared" si="14"/>
        <v>365</v>
      </c>
      <c r="K44" s="622">
        <f t="shared" si="14"/>
        <v>365</v>
      </c>
      <c r="L44" s="535"/>
      <c r="M44" s="3"/>
    </row>
  </sheetData>
  <pageMargins left="0.7" right="0.7" top="0.75" bottom="0.75" header="0.3" footer="0.3"/>
  <pageSetup scale="59" orientation="portrait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16"/>
  <sheetViews>
    <sheetView showGridLines="0" zoomScale="90" zoomScaleNormal="90" workbookViewId="0">
      <pane xSplit="2" topLeftCell="AG1" activePane="topRight" state="frozen"/>
      <selection pane="topRight"/>
    </sheetView>
  </sheetViews>
  <sheetFormatPr defaultRowHeight="12.75" outlineLevelCol="1" x14ac:dyDescent="0.2"/>
  <cols>
    <col min="1" max="1" width="35.28515625" style="18" customWidth="1"/>
    <col min="2" max="2" width="12.5703125" style="18" customWidth="1"/>
    <col min="3" max="4" width="11.42578125" style="18" hidden="1" customWidth="1"/>
    <col min="5" max="5" width="10" style="18" hidden="1" customWidth="1"/>
    <col min="6" max="6" width="11.42578125" style="18" hidden="1" customWidth="1"/>
    <col min="7" max="7" width="12.42578125" style="18" hidden="1" customWidth="1"/>
    <col min="8" max="8" width="14" style="18" hidden="1" customWidth="1"/>
    <col min="9" max="9" width="11.42578125" style="18" hidden="1" customWidth="1"/>
    <col min="10" max="10" width="13.7109375" style="18" hidden="1" customWidth="1"/>
    <col min="11" max="11" width="9.7109375" style="18" hidden="1" customWidth="1"/>
    <col min="12" max="12" width="13.5703125" style="18" hidden="1" customWidth="1"/>
    <col min="13" max="13" width="12.42578125" style="18" hidden="1" customWidth="1"/>
    <col min="14" max="14" width="14" style="18" hidden="1" customWidth="1"/>
    <col min="15" max="15" width="11.42578125" style="18" hidden="1" customWidth="1"/>
    <col min="16" max="16" width="13.42578125" style="18" hidden="1" customWidth="1"/>
    <col min="17" max="17" width="4.7109375" style="18" hidden="1" customWidth="1"/>
    <col min="18" max="18" width="11.42578125" style="18" hidden="1" customWidth="1"/>
    <col min="19" max="19" width="13" style="18" hidden="1" customWidth="1"/>
    <col min="20" max="20" width="11.42578125" style="18" hidden="1" customWidth="1"/>
    <col min="21" max="21" width="18.5703125" style="18" hidden="1" customWidth="1" outlineLevel="1"/>
    <col min="22" max="22" width="16.5703125" style="18" hidden="1" customWidth="1" outlineLevel="1"/>
    <col min="23" max="23" width="4.7109375" style="18" hidden="1" customWidth="1" outlineLevel="1"/>
    <col min="24" max="24" width="13.5703125" style="18" hidden="1" customWidth="1" outlineLevel="1"/>
    <col min="25" max="25" width="12.140625" style="18" hidden="1" customWidth="1" outlineLevel="1"/>
    <col min="26" max="27" width="11.42578125" style="18" hidden="1" customWidth="1" outlineLevel="1"/>
    <col min="28" max="28" width="15.28515625" style="18" hidden="1" customWidth="1" outlineLevel="1"/>
    <col min="29" max="29" width="6.5703125" style="18" hidden="1" customWidth="1" outlineLevel="1"/>
    <col min="30" max="30" width="11.42578125" style="18" hidden="1" customWidth="1" outlineLevel="1"/>
    <col min="31" max="31" width="13.140625" style="18" hidden="1" customWidth="1" outlineLevel="1"/>
    <col min="32" max="32" width="11.42578125" style="18" hidden="1" customWidth="1" outlineLevel="1"/>
    <col min="33" max="33" width="11.42578125" style="18" bestFit="1" customWidth="1" collapsed="1"/>
    <col min="34" max="34" width="11.28515625" style="18" customWidth="1"/>
    <col min="35" max="35" width="4.7109375" style="18" bestFit="1" customWidth="1"/>
    <col min="36" max="36" width="12.140625" style="18" bestFit="1" customWidth="1"/>
    <col min="37" max="37" width="10.85546875" style="18" customWidth="1"/>
    <col min="38" max="40" width="11.42578125" style="18" bestFit="1" customWidth="1"/>
    <col min="41" max="41" width="4.7109375" style="18" bestFit="1" customWidth="1"/>
    <col min="42" max="42" width="11.42578125" style="18" bestFit="1" customWidth="1"/>
    <col min="43" max="43" width="13.28515625" style="18" customWidth="1"/>
    <col min="44" max="46" width="11.42578125" style="18" bestFit="1" customWidth="1"/>
    <col min="47" max="47" width="9.140625" style="18"/>
    <col min="48" max="48" width="12" style="18" customWidth="1"/>
    <col min="49" max="49" width="12.5703125" style="18" customWidth="1"/>
    <col min="50" max="50" width="12" style="18" customWidth="1"/>
    <col min="51" max="51" width="11.42578125" style="18" bestFit="1" customWidth="1"/>
    <col min="52" max="52" width="12.7109375" style="18" customWidth="1"/>
    <col min="53" max="53" width="9.140625" style="18"/>
    <col min="54" max="54" width="11.42578125" style="18" bestFit="1" customWidth="1"/>
    <col min="55" max="55" width="12.140625" style="18" customWidth="1"/>
    <col min="56" max="58" width="11.42578125" style="18" bestFit="1" customWidth="1"/>
    <col min="59" max="59" width="4.7109375" style="18" bestFit="1" customWidth="1"/>
    <col min="60" max="60" width="11.42578125" style="18" bestFit="1" customWidth="1"/>
    <col min="61" max="61" width="10" style="18" bestFit="1" customWidth="1"/>
    <col min="62" max="62" width="11.42578125" style="18" bestFit="1" customWidth="1"/>
    <col min="63" max="16384" width="9.140625" style="18"/>
  </cols>
  <sheetData>
    <row r="1" spans="1:62" s="495" customFormat="1" ht="15" x14ac:dyDescent="0.25">
      <c r="A1" s="542" t="str">
        <f>Summary!A1</f>
        <v>ABC Nutri foods</v>
      </c>
      <c r="B1" s="494"/>
    </row>
    <row r="2" spans="1:62" s="497" customFormat="1" ht="15" x14ac:dyDescent="0.25">
      <c r="A2" s="493" t="s">
        <v>453</v>
      </c>
      <c r="B2" s="496"/>
    </row>
    <row r="3" spans="1:62" x14ac:dyDescent="0.2">
      <c r="J3" s="19"/>
      <c r="K3" s="19"/>
      <c r="M3" s="19"/>
      <c r="N3" s="19"/>
    </row>
    <row r="4" spans="1:62" s="23" customFormat="1" ht="38.25" x14ac:dyDescent="0.2">
      <c r="A4" s="115" t="s">
        <v>2</v>
      </c>
      <c r="B4" s="115" t="s">
        <v>77</v>
      </c>
      <c r="C4" s="115" t="s">
        <v>78</v>
      </c>
      <c r="D4" s="115" t="s">
        <v>79</v>
      </c>
      <c r="E4" s="115" t="s">
        <v>80</v>
      </c>
      <c r="F4" s="115" t="s">
        <v>81</v>
      </c>
      <c r="G4" s="115" t="s">
        <v>82</v>
      </c>
      <c r="H4" s="115" t="s">
        <v>83</v>
      </c>
      <c r="I4" s="115" t="s">
        <v>84</v>
      </c>
      <c r="J4" s="115" t="s">
        <v>79</v>
      </c>
      <c r="K4" s="115" t="s">
        <v>80</v>
      </c>
      <c r="L4" s="115" t="s">
        <v>81</v>
      </c>
      <c r="M4" s="115" t="s">
        <v>82</v>
      </c>
      <c r="N4" s="115" t="s">
        <v>85</v>
      </c>
      <c r="O4" s="115" t="s">
        <v>86</v>
      </c>
      <c r="P4" s="115" t="s">
        <v>79</v>
      </c>
      <c r="Q4" s="115" t="s">
        <v>80</v>
      </c>
      <c r="R4" s="115" t="s">
        <v>81</v>
      </c>
      <c r="S4" s="115" t="s">
        <v>82</v>
      </c>
      <c r="T4" s="115" t="s">
        <v>87</v>
      </c>
      <c r="U4" s="115" t="s">
        <v>88</v>
      </c>
      <c r="V4" s="115" t="s">
        <v>79</v>
      </c>
      <c r="W4" s="115" t="s">
        <v>80</v>
      </c>
      <c r="X4" s="115" t="s">
        <v>81</v>
      </c>
      <c r="Y4" s="115" t="s">
        <v>82</v>
      </c>
      <c r="Z4" s="115" t="s">
        <v>89</v>
      </c>
      <c r="AA4" s="115" t="s">
        <v>90</v>
      </c>
      <c r="AB4" s="115" t="s">
        <v>79</v>
      </c>
      <c r="AC4" s="115" t="s">
        <v>80</v>
      </c>
      <c r="AD4" s="115" t="s">
        <v>81</v>
      </c>
      <c r="AE4" s="115" t="s">
        <v>82</v>
      </c>
      <c r="AF4" s="115" t="s">
        <v>91</v>
      </c>
      <c r="AG4" s="115" t="s">
        <v>92</v>
      </c>
      <c r="AH4" s="115" t="s">
        <v>79</v>
      </c>
      <c r="AI4" s="115" t="s">
        <v>80</v>
      </c>
      <c r="AJ4" s="115" t="s">
        <v>81</v>
      </c>
      <c r="AK4" s="115" t="s">
        <v>82</v>
      </c>
      <c r="AL4" s="115" t="s">
        <v>93</v>
      </c>
      <c r="AM4" s="115" t="s">
        <v>94</v>
      </c>
      <c r="AN4" s="115" t="s">
        <v>79</v>
      </c>
      <c r="AO4" s="115" t="s">
        <v>80</v>
      </c>
      <c r="AP4" s="115" t="s">
        <v>81</v>
      </c>
      <c r="AQ4" s="115" t="s">
        <v>82</v>
      </c>
      <c r="AR4" s="115" t="s">
        <v>95</v>
      </c>
      <c r="AS4" s="115" t="s">
        <v>96</v>
      </c>
      <c r="AT4" s="115" t="s">
        <v>79</v>
      </c>
      <c r="AU4" s="115" t="s">
        <v>80</v>
      </c>
      <c r="AV4" s="115" t="s">
        <v>81</v>
      </c>
      <c r="AW4" s="115" t="s">
        <v>82</v>
      </c>
      <c r="AX4" s="115" t="s">
        <v>97</v>
      </c>
      <c r="AY4" s="115" t="s">
        <v>405</v>
      </c>
      <c r="AZ4" s="115" t="s">
        <v>79</v>
      </c>
      <c r="BA4" s="115" t="s">
        <v>80</v>
      </c>
      <c r="BB4" s="115" t="s">
        <v>81</v>
      </c>
      <c r="BC4" s="115" t="s">
        <v>82</v>
      </c>
      <c r="BD4" s="115" t="s">
        <v>406</v>
      </c>
      <c r="BE4" s="115" t="s">
        <v>589</v>
      </c>
      <c r="BF4" s="115" t="s">
        <v>79</v>
      </c>
      <c r="BG4" s="115" t="s">
        <v>80</v>
      </c>
      <c r="BH4" s="115" t="s">
        <v>81</v>
      </c>
      <c r="BI4" s="115" t="s">
        <v>82</v>
      </c>
      <c r="BJ4" s="115" t="s">
        <v>590</v>
      </c>
    </row>
    <row r="5" spans="1:62" x14ac:dyDescent="0.2">
      <c r="A5" s="116" t="s">
        <v>98</v>
      </c>
      <c r="B5" s="101">
        <v>0.15</v>
      </c>
      <c r="C5" s="102">
        <v>0</v>
      </c>
      <c r="D5" s="103">
        <v>0</v>
      </c>
      <c r="E5" s="104">
        <v>0</v>
      </c>
      <c r="F5" s="105">
        <f>C5+D5-E5</f>
        <v>0</v>
      </c>
      <c r="G5" s="104">
        <v>0</v>
      </c>
      <c r="H5" s="106">
        <f>+F5-G5</f>
        <v>0</v>
      </c>
      <c r="I5" s="107">
        <f>H5</f>
        <v>0</v>
      </c>
      <c r="J5" s="103">
        <v>0</v>
      </c>
      <c r="K5" s="103">
        <v>0</v>
      </c>
      <c r="L5" s="105">
        <f>+I5+J5-K5</f>
        <v>0</v>
      </c>
      <c r="M5" s="104">
        <v>0</v>
      </c>
      <c r="N5" s="106">
        <f>L5-M5</f>
        <v>0</v>
      </c>
      <c r="O5" s="103">
        <v>0</v>
      </c>
      <c r="P5" s="103">
        <v>0</v>
      </c>
      <c r="Q5" s="103">
        <v>0</v>
      </c>
      <c r="R5" s="105">
        <f>+O5+P5-Q5</f>
        <v>0</v>
      </c>
      <c r="S5" s="108">
        <f>(O5+(P5-Q5)/2)*$B5</f>
        <v>0</v>
      </c>
      <c r="T5" s="106">
        <f>R5-S5</f>
        <v>0</v>
      </c>
      <c r="U5" s="103">
        <f>'Balance Sheet'!F36</f>
        <v>1377689</v>
      </c>
      <c r="V5" s="103">
        <v>0</v>
      </c>
      <c r="W5" s="103">
        <v>0</v>
      </c>
      <c r="X5" s="105">
        <f>+U5+V5-W5</f>
        <v>1377689</v>
      </c>
      <c r="Y5" s="108">
        <v>205924</v>
      </c>
      <c r="Z5" s="105">
        <f>X5-Y5</f>
        <v>1171765</v>
      </c>
      <c r="AA5" s="107">
        <f>Z5</f>
        <v>1171765</v>
      </c>
      <c r="AB5" s="103">
        <v>74750</v>
      </c>
      <c r="AC5" s="103">
        <v>0</v>
      </c>
      <c r="AD5" s="105">
        <f>+AA5+AB5-AC5</f>
        <v>1246515</v>
      </c>
      <c r="AE5" s="104">
        <v>174569</v>
      </c>
      <c r="AF5" s="105">
        <f>AD5-AE5</f>
        <v>1071946</v>
      </c>
      <c r="AG5" s="107">
        <f>AF5</f>
        <v>1071946</v>
      </c>
      <c r="AH5" s="103">
        <f>'Equipment Cost'!F34</f>
        <v>4214300</v>
      </c>
      <c r="AI5" s="103">
        <v>0</v>
      </c>
      <c r="AJ5" s="105">
        <f>+AG5+AH5-AI5</f>
        <v>5286246</v>
      </c>
      <c r="AK5" s="108">
        <f>(AG5+(AH5-AI5))*$B5</f>
        <v>792936.9</v>
      </c>
      <c r="AL5" s="105">
        <f>AJ5-AK5</f>
        <v>4493309.0999999996</v>
      </c>
      <c r="AM5" s="107">
        <f>AL5</f>
        <v>4493309.0999999996</v>
      </c>
      <c r="AN5" s="103">
        <f>'Equipment Cost'!I34</f>
        <v>2503600</v>
      </c>
      <c r="AO5" s="103">
        <v>0</v>
      </c>
      <c r="AP5" s="105">
        <f>+AM5+AN5-AO5</f>
        <v>6996909.0999999996</v>
      </c>
      <c r="AQ5" s="108">
        <f>(AM5+(AN5-AO5)/2)*$B5</f>
        <v>861766.36499999987</v>
      </c>
      <c r="AR5" s="106">
        <f>AP5-AQ5</f>
        <v>6135142.7349999994</v>
      </c>
      <c r="AS5" s="107">
        <f>AR5</f>
        <v>6135142.7349999994</v>
      </c>
      <c r="AT5" s="103">
        <f>'Equipment Cost'!L34</f>
        <v>2424345</v>
      </c>
      <c r="AU5" s="103">
        <v>0</v>
      </c>
      <c r="AV5" s="105">
        <f>+AS5+AT5-AU5</f>
        <v>8559487.7349999994</v>
      </c>
      <c r="AW5" s="108">
        <f>(AS5+(AT5-AU5)/2)*$B5</f>
        <v>1102097.28525</v>
      </c>
      <c r="AX5" s="106">
        <f>AV5-AW5</f>
        <v>7457390.4497499997</v>
      </c>
      <c r="AY5" s="107">
        <f>AX5</f>
        <v>7457390.4497499997</v>
      </c>
      <c r="AZ5" s="103">
        <f>'Equipment Cost'!O34</f>
        <v>3583755</v>
      </c>
      <c r="BA5" s="103">
        <v>0</v>
      </c>
      <c r="BB5" s="105">
        <f>+AY5+AZ5-BA5</f>
        <v>11041145.449749999</v>
      </c>
      <c r="BC5" s="108">
        <f>(AY5+(AZ5-BA5)/2)*$B5</f>
        <v>1387390.1924624997</v>
      </c>
      <c r="BD5" s="106">
        <f>BB5-BC5</f>
        <v>9653755.2572874986</v>
      </c>
      <c r="BE5" s="107">
        <f>BD5</f>
        <v>9653755.2572874986</v>
      </c>
      <c r="BF5" s="103">
        <f>'Equipment Cost'!R34</f>
        <v>3594921.75</v>
      </c>
      <c r="BG5" s="103">
        <v>0</v>
      </c>
      <c r="BH5" s="105">
        <f>+BE5+BF5-BG5</f>
        <v>13248677.007287499</v>
      </c>
      <c r="BI5" s="108">
        <f>(BE5+(BF5-BG5)/2)*$B5</f>
        <v>1717682.4198431247</v>
      </c>
      <c r="BJ5" s="106">
        <f>BH5-BI5</f>
        <v>11530994.587444374</v>
      </c>
    </row>
    <row r="6" spans="1:62" x14ac:dyDescent="0.2">
      <c r="A6" s="116" t="s">
        <v>101</v>
      </c>
      <c r="B6" s="101">
        <v>0</v>
      </c>
      <c r="C6" s="102">
        <v>0</v>
      </c>
      <c r="D6" s="103">
        <v>0</v>
      </c>
      <c r="E6" s="104">
        <v>0</v>
      </c>
      <c r="F6" s="105">
        <f>C6+D6-E6</f>
        <v>0</v>
      </c>
      <c r="G6" s="104">
        <v>0</v>
      </c>
      <c r="H6" s="106">
        <f>+F6-G6</f>
        <v>0</v>
      </c>
      <c r="I6" s="107">
        <f>H6</f>
        <v>0</v>
      </c>
      <c r="J6" s="103">
        <v>0</v>
      </c>
      <c r="K6" s="103">
        <v>0</v>
      </c>
      <c r="L6" s="105">
        <f>+I6+J6-K6</f>
        <v>0</v>
      </c>
      <c r="M6" s="104">
        <v>0</v>
      </c>
      <c r="N6" s="106">
        <f>L6-M6</f>
        <v>0</v>
      </c>
      <c r="O6" s="103">
        <v>0</v>
      </c>
      <c r="P6" s="103">
        <v>0</v>
      </c>
      <c r="Q6" s="103">
        <v>0</v>
      </c>
      <c r="R6" s="105">
        <f>+O6+P6-Q6</f>
        <v>0</v>
      </c>
      <c r="S6" s="108">
        <f>(O6+(P6-Q6)/2)*$B6</f>
        <v>0</v>
      </c>
      <c r="T6" s="109">
        <f>R6-S6</f>
        <v>0</v>
      </c>
      <c r="U6" s="103">
        <v>2892037</v>
      </c>
      <c r="V6" s="103"/>
      <c r="W6" s="103">
        <v>0</v>
      </c>
      <c r="X6" s="105">
        <f>+U6+V6-W6</f>
        <v>2892037</v>
      </c>
      <c r="Y6" s="108">
        <f>(U6+(V6-W6)/2)*$B6</f>
        <v>0</v>
      </c>
      <c r="Z6" s="105">
        <f>X6-Y6</f>
        <v>2892037</v>
      </c>
      <c r="AA6" s="107">
        <f>Z6</f>
        <v>2892037</v>
      </c>
      <c r="AB6" s="103">
        <v>0</v>
      </c>
      <c r="AC6" s="103">
        <v>0</v>
      </c>
      <c r="AD6" s="105">
        <f>+AA6+AB6-AC6</f>
        <v>2892037</v>
      </c>
      <c r="AE6" s="108">
        <f>(AA6+(AB6-AC6)*10/12)*$B6</f>
        <v>0</v>
      </c>
      <c r="AF6" s="105">
        <f>AD6-AE6</f>
        <v>2892037</v>
      </c>
      <c r="AG6" s="107">
        <f>AF6</f>
        <v>2892037</v>
      </c>
      <c r="AH6" s="103">
        <v>0</v>
      </c>
      <c r="AI6" s="103">
        <v>0</v>
      </c>
      <c r="AJ6" s="105">
        <f>+AG6+AH6-AI6</f>
        <v>2892037</v>
      </c>
      <c r="AK6" s="108">
        <f>(AG6+(AH6-AI6)/2)*$B6</f>
        <v>0</v>
      </c>
      <c r="AL6" s="105">
        <f>AJ6-AK6</f>
        <v>2892037</v>
      </c>
      <c r="AM6" s="107">
        <f>AL6</f>
        <v>2892037</v>
      </c>
      <c r="AN6" s="103">
        <v>0</v>
      </c>
      <c r="AO6" s="103">
        <v>0</v>
      </c>
      <c r="AP6" s="105">
        <f>+AM6+AN6-AO6</f>
        <v>2892037</v>
      </c>
      <c r="AQ6" s="108">
        <f>(AM6+(AN6-AO6)/2)*$B6</f>
        <v>0</v>
      </c>
      <c r="AR6" s="106">
        <f>AP6-AQ6</f>
        <v>2892037</v>
      </c>
      <c r="AS6" s="107">
        <f>AR6</f>
        <v>2892037</v>
      </c>
      <c r="AT6" s="103">
        <v>0</v>
      </c>
      <c r="AU6" s="103">
        <v>0</v>
      </c>
      <c r="AV6" s="105">
        <f>+AS6+AT6-AU6</f>
        <v>2892037</v>
      </c>
      <c r="AW6" s="108">
        <f>(AS6+(AT6-AU6)/2)*$B6</f>
        <v>0</v>
      </c>
      <c r="AX6" s="106">
        <f>AV6-AW6</f>
        <v>2892037</v>
      </c>
      <c r="AY6" s="107">
        <f>AX6</f>
        <v>2892037</v>
      </c>
      <c r="AZ6" s="103">
        <v>0</v>
      </c>
      <c r="BA6" s="103">
        <v>0</v>
      </c>
      <c r="BB6" s="105">
        <f>+AY6+AZ6-BA6</f>
        <v>2892037</v>
      </c>
      <c r="BC6" s="108">
        <f>(AY6+(AZ6-BA6)/2)*$B6</f>
        <v>0</v>
      </c>
      <c r="BD6" s="106">
        <f>BB6-BC6</f>
        <v>2892037</v>
      </c>
      <c r="BE6" s="107">
        <f>BD6</f>
        <v>2892037</v>
      </c>
      <c r="BF6" s="103">
        <v>0</v>
      </c>
      <c r="BG6" s="103">
        <v>0</v>
      </c>
      <c r="BH6" s="105">
        <f>+BE6+BF6-BG6</f>
        <v>2892037</v>
      </c>
      <c r="BI6" s="108">
        <f>(BE6+(BF6-BG6)/2)*$B6</f>
        <v>0</v>
      </c>
      <c r="BJ6" s="106">
        <f>BH6-BI6</f>
        <v>2892037</v>
      </c>
    </row>
    <row r="7" spans="1:62" ht="15.75" x14ac:dyDescent="0.2">
      <c r="A7" s="114"/>
      <c r="B7" s="110"/>
      <c r="C7" s="111">
        <f t="shared" ref="C7:AX7" si="0">SUM(C5:C6)</f>
        <v>0</v>
      </c>
      <c r="D7" s="112">
        <f t="shared" si="0"/>
        <v>0</v>
      </c>
      <c r="E7" s="112">
        <f t="shared" si="0"/>
        <v>0</v>
      </c>
      <c r="F7" s="112">
        <f t="shared" si="0"/>
        <v>0</v>
      </c>
      <c r="G7" s="112">
        <f t="shared" si="0"/>
        <v>0</v>
      </c>
      <c r="H7" s="113">
        <f t="shared" si="0"/>
        <v>0</v>
      </c>
      <c r="I7" s="111">
        <f t="shared" si="0"/>
        <v>0</v>
      </c>
      <c r="J7" s="112">
        <f t="shared" si="0"/>
        <v>0</v>
      </c>
      <c r="K7" s="112">
        <f t="shared" si="0"/>
        <v>0</v>
      </c>
      <c r="L7" s="112">
        <f t="shared" si="0"/>
        <v>0</v>
      </c>
      <c r="M7" s="112">
        <f t="shared" si="0"/>
        <v>0</v>
      </c>
      <c r="N7" s="113">
        <f t="shared" si="0"/>
        <v>0</v>
      </c>
      <c r="O7" s="111">
        <f t="shared" si="0"/>
        <v>0</v>
      </c>
      <c r="P7" s="112">
        <f t="shared" si="0"/>
        <v>0</v>
      </c>
      <c r="Q7" s="112">
        <f t="shared" si="0"/>
        <v>0</v>
      </c>
      <c r="R7" s="112">
        <f t="shared" si="0"/>
        <v>0</v>
      </c>
      <c r="S7" s="112">
        <f t="shared" si="0"/>
        <v>0</v>
      </c>
      <c r="T7" s="113">
        <f t="shared" si="0"/>
        <v>0</v>
      </c>
      <c r="U7" s="111">
        <f t="shared" si="0"/>
        <v>4269726</v>
      </c>
      <c r="V7" s="112">
        <f t="shared" si="0"/>
        <v>0</v>
      </c>
      <c r="W7" s="112">
        <f t="shared" si="0"/>
        <v>0</v>
      </c>
      <c r="X7" s="112">
        <f t="shared" si="0"/>
        <v>4269726</v>
      </c>
      <c r="Y7" s="112">
        <f t="shared" si="0"/>
        <v>205924</v>
      </c>
      <c r="Z7" s="113">
        <f t="shared" si="0"/>
        <v>4063802</v>
      </c>
      <c r="AA7" s="111">
        <f t="shared" si="0"/>
        <v>4063802</v>
      </c>
      <c r="AB7" s="112">
        <f t="shared" si="0"/>
        <v>74750</v>
      </c>
      <c r="AC7" s="112">
        <f t="shared" si="0"/>
        <v>0</v>
      </c>
      <c r="AD7" s="112">
        <f t="shared" si="0"/>
        <v>4138552</v>
      </c>
      <c r="AE7" s="112">
        <f t="shared" si="0"/>
        <v>174569</v>
      </c>
      <c r="AF7" s="113">
        <f t="shared" si="0"/>
        <v>3963983</v>
      </c>
      <c r="AG7" s="111">
        <f t="shared" si="0"/>
        <v>3963983</v>
      </c>
      <c r="AH7" s="112">
        <f t="shared" si="0"/>
        <v>4214300</v>
      </c>
      <c r="AI7" s="112">
        <f t="shared" si="0"/>
        <v>0</v>
      </c>
      <c r="AJ7" s="112">
        <f t="shared" si="0"/>
        <v>8178283</v>
      </c>
      <c r="AK7" s="112">
        <f t="shared" si="0"/>
        <v>792936.9</v>
      </c>
      <c r="AL7" s="113">
        <f t="shared" si="0"/>
        <v>7385346.0999999996</v>
      </c>
      <c r="AM7" s="111">
        <f t="shared" si="0"/>
        <v>7385346.0999999996</v>
      </c>
      <c r="AN7" s="112">
        <f>SUM(AN5:AN6)</f>
        <v>2503600</v>
      </c>
      <c r="AO7" s="112">
        <f t="shared" si="0"/>
        <v>0</v>
      </c>
      <c r="AP7" s="112">
        <f t="shared" si="0"/>
        <v>9888946.0999999996</v>
      </c>
      <c r="AQ7" s="112">
        <f t="shared" si="0"/>
        <v>861766.36499999987</v>
      </c>
      <c r="AR7" s="113">
        <f t="shared" si="0"/>
        <v>9027179.7349999994</v>
      </c>
      <c r="AS7" s="111">
        <f t="shared" si="0"/>
        <v>9027179.7349999994</v>
      </c>
      <c r="AT7" s="112">
        <f t="shared" si="0"/>
        <v>2424345</v>
      </c>
      <c r="AU7" s="112">
        <f t="shared" si="0"/>
        <v>0</v>
      </c>
      <c r="AV7" s="112">
        <f t="shared" si="0"/>
        <v>11451524.734999999</v>
      </c>
      <c r="AW7" s="112">
        <f t="shared" si="0"/>
        <v>1102097.28525</v>
      </c>
      <c r="AX7" s="113">
        <f t="shared" si="0"/>
        <v>10349427.449749999</v>
      </c>
      <c r="AY7" s="111">
        <f t="shared" ref="AY7:BD7" si="1">SUM(AY5:AY6)</f>
        <v>10349427.449749999</v>
      </c>
      <c r="AZ7" s="112">
        <f t="shared" si="1"/>
        <v>3583755</v>
      </c>
      <c r="BA7" s="112">
        <f t="shared" si="1"/>
        <v>0</v>
      </c>
      <c r="BB7" s="112">
        <f t="shared" si="1"/>
        <v>13933182.449749999</v>
      </c>
      <c r="BC7" s="112">
        <f t="shared" si="1"/>
        <v>1387390.1924624997</v>
      </c>
      <c r="BD7" s="113">
        <f t="shared" si="1"/>
        <v>12545792.257287499</v>
      </c>
      <c r="BE7" s="111">
        <f t="shared" ref="BE7:BJ7" si="2">SUM(BE5:BE6)</f>
        <v>12545792.257287499</v>
      </c>
      <c r="BF7" s="112">
        <f t="shared" si="2"/>
        <v>3594921.75</v>
      </c>
      <c r="BG7" s="112">
        <f t="shared" si="2"/>
        <v>0</v>
      </c>
      <c r="BH7" s="112">
        <f t="shared" si="2"/>
        <v>16140714.007287499</v>
      </c>
      <c r="BI7" s="112">
        <f t="shared" si="2"/>
        <v>1717682.4198431247</v>
      </c>
      <c r="BJ7" s="113">
        <f t="shared" si="2"/>
        <v>14423031.587444374</v>
      </c>
    </row>
    <row r="8" spans="1:62" x14ac:dyDescent="0.2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19"/>
      <c r="AJ8" s="472"/>
    </row>
    <row r="9" spans="1:62" x14ac:dyDescent="0.2">
      <c r="B9" s="76"/>
      <c r="J9" s="21"/>
      <c r="L9" s="22"/>
      <c r="M9" s="19"/>
      <c r="N9" s="21"/>
      <c r="AF9" s="19"/>
    </row>
    <row r="10" spans="1:62" x14ac:dyDescent="0.2">
      <c r="B10" s="76"/>
      <c r="G10" s="21"/>
      <c r="H10" s="19"/>
      <c r="L10" s="21" t="s">
        <v>99</v>
      </c>
      <c r="M10" s="19"/>
      <c r="N10" s="19"/>
      <c r="U10" s="19"/>
    </row>
    <row r="11" spans="1:62" x14ac:dyDescent="0.2">
      <c r="G11" s="21"/>
    </row>
    <row r="12" spans="1:62" x14ac:dyDescent="0.2">
      <c r="G12" s="21"/>
    </row>
    <row r="13" spans="1:62" x14ac:dyDescent="0.2">
      <c r="G13" s="21"/>
    </row>
    <row r="14" spans="1:62" x14ac:dyDescent="0.2">
      <c r="G14" s="21"/>
      <c r="U14" s="19"/>
    </row>
    <row r="15" spans="1:62" x14ac:dyDescent="0.2">
      <c r="G15" s="21"/>
    </row>
    <row r="16" spans="1:62" x14ac:dyDescent="0.2">
      <c r="G16" s="21"/>
    </row>
  </sheetData>
  <pageMargins left="0.7" right="0.7" top="0.75" bottom="0.75" header="0.3" footer="0.3"/>
  <pageSetup scale="45" orientation="portrait" r:id="rId1"/>
  <colBreaks count="1" manualBreakCount="1">
    <brk id="44" max="2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6"/>
  <sheetViews>
    <sheetView topLeftCell="A36" zoomScaleNormal="100" zoomScaleSheetLayoutView="80" workbookViewId="0"/>
  </sheetViews>
  <sheetFormatPr defaultRowHeight="22.5" customHeight="1" x14ac:dyDescent="0.2"/>
  <cols>
    <col min="1" max="1" width="6.140625" style="546" customWidth="1"/>
    <col min="2" max="2" width="19.85546875" style="546" customWidth="1"/>
    <col min="3" max="3" width="7.28515625" style="546" bestFit="1" customWidth="1"/>
    <col min="4" max="4" width="7.85546875" style="546" customWidth="1"/>
    <col min="5" max="5" width="7.140625" style="546" customWidth="1"/>
    <col min="6" max="11" width="7.85546875" style="546" customWidth="1"/>
    <col min="12" max="12" width="9.140625" style="546"/>
    <col min="13" max="13" width="9.7109375" style="546" customWidth="1"/>
    <col min="14" max="16" width="9.140625" style="546"/>
    <col min="17" max="17" width="9.140625" style="550"/>
    <col min="18" max="256" width="9.140625" style="546"/>
    <col min="257" max="257" width="6.140625" style="546" customWidth="1"/>
    <col min="258" max="258" width="19.85546875" style="546" customWidth="1"/>
    <col min="259" max="259" width="6" style="546" customWidth="1"/>
    <col min="260" max="260" width="7.85546875" style="546" customWidth="1"/>
    <col min="261" max="261" width="7.140625" style="546" customWidth="1"/>
    <col min="262" max="267" width="7.85546875" style="546" customWidth="1"/>
    <col min="268" max="268" width="9.140625" style="546"/>
    <col min="269" max="269" width="23.85546875" style="546" customWidth="1"/>
    <col min="270" max="512" width="9.140625" style="546"/>
    <col min="513" max="513" width="6.140625" style="546" customWidth="1"/>
    <col min="514" max="514" width="19.85546875" style="546" customWidth="1"/>
    <col min="515" max="515" width="6" style="546" customWidth="1"/>
    <col min="516" max="516" width="7.85546875" style="546" customWidth="1"/>
    <col min="517" max="517" width="7.140625" style="546" customWidth="1"/>
    <col min="518" max="523" width="7.85546875" style="546" customWidth="1"/>
    <col min="524" max="524" width="9.140625" style="546"/>
    <col min="525" max="525" width="23.85546875" style="546" customWidth="1"/>
    <col min="526" max="768" width="9.140625" style="546"/>
    <col min="769" max="769" width="6.140625" style="546" customWidth="1"/>
    <col min="770" max="770" width="19.85546875" style="546" customWidth="1"/>
    <col min="771" max="771" width="6" style="546" customWidth="1"/>
    <col min="772" max="772" width="7.85546875" style="546" customWidth="1"/>
    <col min="773" max="773" width="7.140625" style="546" customWidth="1"/>
    <col min="774" max="779" width="7.85546875" style="546" customWidth="1"/>
    <col min="780" max="780" width="9.140625" style="546"/>
    <col min="781" max="781" width="23.85546875" style="546" customWidth="1"/>
    <col min="782" max="1024" width="9.140625" style="546"/>
    <col min="1025" max="1025" width="6.140625" style="546" customWidth="1"/>
    <col min="1026" max="1026" width="19.85546875" style="546" customWidth="1"/>
    <col min="1027" max="1027" width="6" style="546" customWidth="1"/>
    <col min="1028" max="1028" width="7.85546875" style="546" customWidth="1"/>
    <col min="1029" max="1029" width="7.140625" style="546" customWidth="1"/>
    <col min="1030" max="1035" width="7.85546875" style="546" customWidth="1"/>
    <col min="1036" max="1036" width="9.140625" style="546"/>
    <col min="1037" max="1037" width="23.85546875" style="546" customWidth="1"/>
    <col min="1038" max="1280" width="9.140625" style="546"/>
    <col min="1281" max="1281" width="6.140625" style="546" customWidth="1"/>
    <col min="1282" max="1282" width="19.85546875" style="546" customWidth="1"/>
    <col min="1283" max="1283" width="6" style="546" customWidth="1"/>
    <col min="1284" max="1284" width="7.85546875" style="546" customWidth="1"/>
    <col min="1285" max="1285" width="7.140625" style="546" customWidth="1"/>
    <col min="1286" max="1291" width="7.85546875" style="546" customWidth="1"/>
    <col min="1292" max="1292" width="9.140625" style="546"/>
    <col min="1293" max="1293" width="23.85546875" style="546" customWidth="1"/>
    <col min="1294" max="1536" width="9.140625" style="546"/>
    <col min="1537" max="1537" width="6.140625" style="546" customWidth="1"/>
    <col min="1538" max="1538" width="19.85546875" style="546" customWidth="1"/>
    <col min="1539" max="1539" width="6" style="546" customWidth="1"/>
    <col min="1540" max="1540" width="7.85546875" style="546" customWidth="1"/>
    <col min="1541" max="1541" width="7.140625" style="546" customWidth="1"/>
    <col min="1542" max="1547" width="7.85546875" style="546" customWidth="1"/>
    <col min="1548" max="1548" width="9.140625" style="546"/>
    <col min="1549" max="1549" width="23.85546875" style="546" customWidth="1"/>
    <col min="1550" max="1792" width="9.140625" style="546"/>
    <col min="1793" max="1793" width="6.140625" style="546" customWidth="1"/>
    <col min="1794" max="1794" width="19.85546875" style="546" customWidth="1"/>
    <col min="1795" max="1795" width="6" style="546" customWidth="1"/>
    <col min="1796" max="1796" width="7.85546875" style="546" customWidth="1"/>
    <col min="1797" max="1797" width="7.140625" style="546" customWidth="1"/>
    <col min="1798" max="1803" width="7.85546875" style="546" customWidth="1"/>
    <col min="1804" max="1804" width="9.140625" style="546"/>
    <col min="1805" max="1805" width="23.85546875" style="546" customWidth="1"/>
    <col min="1806" max="2048" width="9.140625" style="546"/>
    <col min="2049" max="2049" width="6.140625" style="546" customWidth="1"/>
    <col min="2050" max="2050" width="19.85546875" style="546" customWidth="1"/>
    <col min="2051" max="2051" width="6" style="546" customWidth="1"/>
    <col min="2052" max="2052" width="7.85546875" style="546" customWidth="1"/>
    <col min="2053" max="2053" width="7.140625" style="546" customWidth="1"/>
    <col min="2054" max="2059" width="7.85546875" style="546" customWidth="1"/>
    <col min="2060" max="2060" width="9.140625" style="546"/>
    <col min="2061" max="2061" width="23.85546875" style="546" customWidth="1"/>
    <col min="2062" max="2304" width="9.140625" style="546"/>
    <col min="2305" max="2305" width="6.140625" style="546" customWidth="1"/>
    <col min="2306" max="2306" width="19.85546875" style="546" customWidth="1"/>
    <col min="2307" max="2307" width="6" style="546" customWidth="1"/>
    <col min="2308" max="2308" width="7.85546875" style="546" customWidth="1"/>
    <col min="2309" max="2309" width="7.140625" style="546" customWidth="1"/>
    <col min="2310" max="2315" width="7.85546875" style="546" customWidth="1"/>
    <col min="2316" max="2316" width="9.140625" style="546"/>
    <col min="2317" max="2317" width="23.85546875" style="546" customWidth="1"/>
    <col min="2318" max="2560" width="9.140625" style="546"/>
    <col min="2561" max="2561" width="6.140625" style="546" customWidth="1"/>
    <col min="2562" max="2562" width="19.85546875" style="546" customWidth="1"/>
    <col min="2563" max="2563" width="6" style="546" customWidth="1"/>
    <col min="2564" max="2564" width="7.85546875" style="546" customWidth="1"/>
    <col min="2565" max="2565" width="7.140625" style="546" customWidth="1"/>
    <col min="2566" max="2571" width="7.85546875" style="546" customWidth="1"/>
    <col min="2572" max="2572" width="9.140625" style="546"/>
    <col min="2573" max="2573" width="23.85546875" style="546" customWidth="1"/>
    <col min="2574" max="2816" width="9.140625" style="546"/>
    <col min="2817" max="2817" width="6.140625" style="546" customWidth="1"/>
    <col min="2818" max="2818" width="19.85546875" style="546" customWidth="1"/>
    <col min="2819" max="2819" width="6" style="546" customWidth="1"/>
    <col min="2820" max="2820" width="7.85546875" style="546" customWidth="1"/>
    <col min="2821" max="2821" width="7.140625" style="546" customWidth="1"/>
    <col min="2822" max="2827" width="7.85546875" style="546" customWidth="1"/>
    <col min="2828" max="2828" width="9.140625" style="546"/>
    <col min="2829" max="2829" width="23.85546875" style="546" customWidth="1"/>
    <col min="2830" max="3072" width="9.140625" style="546"/>
    <col min="3073" max="3073" width="6.140625" style="546" customWidth="1"/>
    <col min="3074" max="3074" width="19.85546875" style="546" customWidth="1"/>
    <col min="3075" max="3075" width="6" style="546" customWidth="1"/>
    <col min="3076" max="3076" width="7.85546875" style="546" customWidth="1"/>
    <col min="3077" max="3077" width="7.140625" style="546" customWidth="1"/>
    <col min="3078" max="3083" width="7.85546875" style="546" customWidth="1"/>
    <col min="3084" max="3084" width="9.140625" style="546"/>
    <col min="3085" max="3085" width="23.85546875" style="546" customWidth="1"/>
    <col min="3086" max="3328" width="9.140625" style="546"/>
    <col min="3329" max="3329" width="6.140625" style="546" customWidth="1"/>
    <col min="3330" max="3330" width="19.85546875" style="546" customWidth="1"/>
    <col min="3331" max="3331" width="6" style="546" customWidth="1"/>
    <col min="3332" max="3332" width="7.85546875" style="546" customWidth="1"/>
    <col min="3333" max="3333" width="7.140625" style="546" customWidth="1"/>
    <col min="3334" max="3339" width="7.85546875" style="546" customWidth="1"/>
    <col min="3340" max="3340" width="9.140625" style="546"/>
    <col min="3341" max="3341" width="23.85546875" style="546" customWidth="1"/>
    <col min="3342" max="3584" width="9.140625" style="546"/>
    <col min="3585" max="3585" width="6.140625" style="546" customWidth="1"/>
    <col min="3586" max="3586" width="19.85546875" style="546" customWidth="1"/>
    <col min="3587" max="3587" width="6" style="546" customWidth="1"/>
    <col min="3588" max="3588" width="7.85546875" style="546" customWidth="1"/>
    <col min="3589" max="3589" width="7.140625" style="546" customWidth="1"/>
    <col min="3590" max="3595" width="7.85546875" style="546" customWidth="1"/>
    <col min="3596" max="3596" width="9.140625" style="546"/>
    <col min="3597" max="3597" width="23.85546875" style="546" customWidth="1"/>
    <col min="3598" max="3840" width="9.140625" style="546"/>
    <col min="3841" max="3841" width="6.140625" style="546" customWidth="1"/>
    <col min="3842" max="3842" width="19.85546875" style="546" customWidth="1"/>
    <col min="3843" max="3843" width="6" style="546" customWidth="1"/>
    <col min="3844" max="3844" width="7.85546875" style="546" customWidth="1"/>
    <col min="3845" max="3845" width="7.140625" style="546" customWidth="1"/>
    <col min="3846" max="3851" width="7.85546875" style="546" customWidth="1"/>
    <col min="3852" max="3852" width="9.140625" style="546"/>
    <col min="3853" max="3853" width="23.85546875" style="546" customWidth="1"/>
    <col min="3854" max="4096" width="9.140625" style="546"/>
    <col min="4097" max="4097" width="6.140625" style="546" customWidth="1"/>
    <col min="4098" max="4098" width="19.85546875" style="546" customWidth="1"/>
    <col min="4099" max="4099" width="6" style="546" customWidth="1"/>
    <col min="4100" max="4100" width="7.85546875" style="546" customWidth="1"/>
    <col min="4101" max="4101" width="7.140625" style="546" customWidth="1"/>
    <col min="4102" max="4107" width="7.85546875" style="546" customWidth="1"/>
    <col min="4108" max="4108" width="9.140625" style="546"/>
    <col min="4109" max="4109" width="23.85546875" style="546" customWidth="1"/>
    <col min="4110" max="4352" width="9.140625" style="546"/>
    <col min="4353" max="4353" width="6.140625" style="546" customWidth="1"/>
    <col min="4354" max="4354" width="19.85546875" style="546" customWidth="1"/>
    <col min="4355" max="4355" width="6" style="546" customWidth="1"/>
    <col min="4356" max="4356" width="7.85546875" style="546" customWidth="1"/>
    <col min="4357" max="4357" width="7.140625" style="546" customWidth="1"/>
    <col min="4358" max="4363" width="7.85546875" style="546" customWidth="1"/>
    <col min="4364" max="4364" width="9.140625" style="546"/>
    <col min="4365" max="4365" width="23.85546875" style="546" customWidth="1"/>
    <col min="4366" max="4608" width="9.140625" style="546"/>
    <col min="4609" max="4609" width="6.140625" style="546" customWidth="1"/>
    <col min="4610" max="4610" width="19.85546875" style="546" customWidth="1"/>
    <col min="4611" max="4611" width="6" style="546" customWidth="1"/>
    <col min="4612" max="4612" width="7.85546875" style="546" customWidth="1"/>
    <col min="4613" max="4613" width="7.140625" style="546" customWidth="1"/>
    <col min="4614" max="4619" width="7.85546875" style="546" customWidth="1"/>
    <col min="4620" max="4620" width="9.140625" style="546"/>
    <col min="4621" max="4621" width="23.85546875" style="546" customWidth="1"/>
    <col min="4622" max="4864" width="9.140625" style="546"/>
    <col min="4865" max="4865" width="6.140625" style="546" customWidth="1"/>
    <col min="4866" max="4866" width="19.85546875" style="546" customWidth="1"/>
    <col min="4867" max="4867" width="6" style="546" customWidth="1"/>
    <col min="4868" max="4868" width="7.85546875" style="546" customWidth="1"/>
    <col min="4869" max="4869" width="7.140625" style="546" customWidth="1"/>
    <col min="4870" max="4875" width="7.85546875" style="546" customWidth="1"/>
    <col min="4876" max="4876" width="9.140625" style="546"/>
    <col min="4877" max="4877" width="23.85546875" style="546" customWidth="1"/>
    <col min="4878" max="5120" width="9.140625" style="546"/>
    <col min="5121" max="5121" width="6.140625" style="546" customWidth="1"/>
    <col min="5122" max="5122" width="19.85546875" style="546" customWidth="1"/>
    <col min="5123" max="5123" width="6" style="546" customWidth="1"/>
    <col min="5124" max="5124" width="7.85546875" style="546" customWidth="1"/>
    <col min="5125" max="5125" width="7.140625" style="546" customWidth="1"/>
    <col min="5126" max="5131" width="7.85546875" style="546" customWidth="1"/>
    <col min="5132" max="5132" width="9.140625" style="546"/>
    <col min="5133" max="5133" width="23.85546875" style="546" customWidth="1"/>
    <col min="5134" max="5376" width="9.140625" style="546"/>
    <col min="5377" max="5377" width="6.140625" style="546" customWidth="1"/>
    <col min="5378" max="5378" width="19.85546875" style="546" customWidth="1"/>
    <col min="5379" max="5379" width="6" style="546" customWidth="1"/>
    <col min="5380" max="5380" width="7.85546875" style="546" customWidth="1"/>
    <col min="5381" max="5381" width="7.140625" style="546" customWidth="1"/>
    <col min="5382" max="5387" width="7.85546875" style="546" customWidth="1"/>
    <col min="5388" max="5388" width="9.140625" style="546"/>
    <col min="5389" max="5389" width="23.85546875" style="546" customWidth="1"/>
    <col min="5390" max="5632" width="9.140625" style="546"/>
    <col min="5633" max="5633" width="6.140625" style="546" customWidth="1"/>
    <col min="5634" max="5634" width="19.85546875" style="546" customWidth="1"/>
    <col min="5635" max="5635" width="6" style="546" customWidth="1"/>
    <col min="5636" max="5636" width="7.85546875" style="546" customWidth="1"/>
    <col min="5637" max="5637" width="7.140625" style="546" customWidth="1"/>
    <col min="5638" max="5643" width="7.85546875" style="546" customWidth="1"/>
    <col min="5644" max="5644" width="9.140625" style="546"/>
    <col min="5645" max="5645" width="23.85546875" style="546" customWidth="1"/>
    <col min="5646" max="5888" width="9.140625" style="546"/>
    <col min="5889" max="5889" width="6.140625" style="546" customWidth="1"/>
    <col min="5890" max="5890" width="19.85546875" style="546" customWidth="1"/>
    <col min="5891" max="5891" width="6" style="546" customWidth="1"/>
    <col min="5892" max="5892" width="7.85546875" style="546" customWidth="1"/>
    <col min="5893" max="5893" width="7.140625" style="546" customWidth="1"/>
    <col min="5894" max="5899" width="7.85546875" style="546" customWidth="1"/>
    <col min="5900" max="5900" width="9.140625" style="546"/>
    <col min="5901" max="5901" width="23.85546875" style="546" customWidth="1"/>
    <col min="5902" max="6144" width="9.140625" style="546"/>
    <col min="6145" max="6145" width="6.140625" style="546" customWidth="1"/>
    <col min="6146" max="6146" width="19.85546875" style="546" customWidth="1"/>
    <col min="6147" max="6147" width="6" style="546" customWidth="1"/>
    <col min="6148" max="6148" width="7.85546875" style="546" customWidth="1"/>
    <col min="6149" max="6149" width="7.140625" style="546" customWidth="1"/>
    <col min="6150" max="6155" width="7.85546875" style="546" customWidth="1"/>
    <col min="6156" max="6156" width="9.140625" style="546"/>
    <col min="6157" max="6157" width="23.85546875" style="546" customWidth="1"/>
    <col min="6158" max="6400" width="9.140625" style="546"/>
    <col min="6401" max="6401" width="6.140625" style="546" customWidth="1"/>
    <col min="6402" max="6402" width="19.85546875" style="546" customWidth="1"/>
    <col min="6403" max="6403" width="6" style="546" customWidth="1"/>
    <col min="6404" max="6404" width="7.85546875" style="546" customWidth="1"/>
    <col min="6405" max="6405" width="7.140625" style="546" customWidth="1"/>
    <col min="6406" max="6411" width="7.85546875" style="546" customWidth="1"/>
    <col min="6412" max="6412" width="9.140625" style="546"/>
    <col min="6413" max="6413" width="23.85546875" style="546" customWidth="1"/>
    <col min="6414" max="6656" width="9.140625" style="546"/>
    <col min="6657" max="6657" width="6.140625" style="546" customWidth="1"/>
    <col min="6658" max="6658" width="19.85546875" style="546" customWidth="1"/>
    <col min="6659" max="6659" width="6" style="546" customWidth="1"/>
    <col min="6660" max="6660" width="7.85546875" style="546" customWidth="1"/>
    <col min="6661" max="6661" width="7.140625" style="546" customWidth="1"/>
    <col min="6662" max="6667" width="7.85546875" style="546" customWidth="1"/>
    <col min="6668" max="6668" width="9.140625" style="546"/>
    <col min="6669" max="6669" width="23.85546875" style="546" customWidth="1"/>
    <col min="6670" max="6912" width="9.140625" style="546"/>
    <col min="6913" max="6913" width="6.140625" style="546" customWidth="1"/>
    <col min="6914" max="6914" width="19.85546875" style="546" customWidth="1"/>
    <col min="6915" max="6915" width="6" style="546" customWidth="1"/>
    <col min="6916" max="6916" width="7.85546875" style="546" customWidth="1"/>
    <col min="6917" max="6917" width="7.140625" style="546" customWidth="1"/>
    <col min="6918" max="6923" width="7.85546875" style="546" customWidth="1"/>
    <col min="6924" max="6924" width="9.140625" style="546"/>
    <col min="6925" max="6925" width="23.85546875" style="546" customWidth="1"/>
    <col min="6926" max="7168" width="9.140625" style="546"/>
    <col min="7169" max="7169" width="6.140625" style="546" customWidth="1"/>
    <col min="7170" max="7170" width="19.85546875" style="546" customWidth="1"/>
    <col min="7171" max="7171" width="6" style="546" customWidth="1"/>
    <col min="7172" max="7172" width="7.85546875" style="546" customWidth="1"/>
    <col min="7173" max="7173" width="7.140625" style="546" customWidth="1"/>
    <col min="7174" max="7179" width="7.85546875" style="546" customWidth="1"/>
    <col min="7180" max="7180" width="9.140625" style="546"/>
    <col min="7181" max="7181" width="23.85546875" style="546" customWidth="1"/>
    <col min="7182" max="7424" width="9.140625" style="546"/>
    <col min="7425" max="7425" width="6.140625" style="546" customWidth="1"/>
    <col min="7426" max="7426" width="19.85546875" style="546" customWidth="1"/>
    <col min="7427" max="7427" width="6" style="546" customWidth="1"/>
    <col min="7428" max="7428" width="7.85546875" style="546" customWidth="1"/>
    <col min="7429" max="7429" width="7.140625" style="546" customWidth="1"/>
    <col min="7430" max="7435" width="7.85546875" style="546" customWidth="1"/>
    <col min="7436" max="7436" width="9.140625" style="546"/>
    <col min="7437" max="7437" width="23.85546875" style="546" customWidth="1"/>
    <col min="7438" max="7680" width="9.140625" style="546"/>
    <col min="7681" max="7681" width="6.140625" style="546" customWidth="1"/>
    <col min="7682" max="7682" width="19.85546875" style="546" customWidth="1"/>
    <col min="7683" max="7683" width="6" style="546" customWidth="1"/>
    <col min="7684" max="7684" width="7.85546875" style="546" customWidth="1"/>
    <col min="7685" max="7685" width="7.140625" style="546" customWidth="1"/>
    <col min="7686" max="7691" width="7.85546875" style="546" customWidth="1"/>
    <col min="7692" max="7692" width="9.140625" style="546"/>
    <col min="7693" max="7693" width="23.85546875" style="546" customWidth="1"/>
    <col min="7694" max="7936" width="9.140625" style="546"/>
    <col min="7937" max="7937" width="6.140625" style="546" customWidth="1"/>
    <col min="7938" max="7938" width="19.85546875" style="546" customWidth="1"/>
    <col min="7939" max="7939" width="6" style="546" customWidth="1"/>
    <col min="7940" max="7940" width="7.85546875" style="546" customWidth="1"/>
    <col min="7941" max="7941" width="7.140625" style="546" customWidth="1"/>
    <col min="7942" max="7947" width="7.85546875" style="546" customWidth="1"/>
    <col min="7948" max="7948" width="9.140625" style="546"/>
    <col min="7949" max="7949" width="23.85546875" style="546" customWidth="1"/>
    <col min="7950" max="8192" width="9.140625" style="546"/>
    <col min="8193" max="8193" width="6.140625" style="546" customWidth="1"/>
    <col min="8194" max="8194" width="19.85546875" style="546" customWidth="1"/>
    <col min="8195" max="8195" width="6" style="546" customWidth="1"/>
    <col min="8196" max="8196" width="7.85546875" style="546" customWidth="1"/>
    <col min="8197" max="8197" width="7.140625" style="546" customWidth="1"/>
    <col min="8198" max="8203" width="7.85546875" style="546" customWidth="1"/>
    <col min="8204" max="8204" width="9.140625" style="546"/>
    <col min="8205" max="8205" width="23.85546875" style="546" customWidth="1"/>
    <col min="8206" max="8448" width="9.140625" style="546"/>
    <col min="8449" max="8449" width="6.140625" style="546" customWidth="1"/>
    <col min="8450" max="8450" width="19.85546875" style="546" customWidth="1"/>
    <col min="8451" max="8451" width="6" style="546" customWidth="1"/>
    <col min="8452" max="8452" width="7.85546875" style="546" customWidth="1"/>
    <col min="8453" max="8453" width="7.140625" style="546" customWidth="1"/>
    <col min="8454" max="8459" width="7.85546875" style="546" customWidth="1"/>
    <col min="8460" max="8460" width="9.140625" style="546"/>
    <col min="8461" max="8461" width="23.85546875" style="546" customWidth="1"/>
    <col min="8462" max="8704" width="9.140625" style="546"/>
    <col min="8705" max="8705" width="6.140625" style="546" customWidth="1"/>
    <col min="8706" max="8706" width="19.85546875" style="546" customWidth="1"/>
    <col min="8707" max="8707" width="6" style="546" customWidth="1"/>
    <col min="8708" max="8708" width="7.85546875" style="546" customWidth="1"/>
    <col min="8709" max="8709" width="7.140625" style="546" customWidth="1"/>
    <col min="8710" max="8715" width="7.85546875" style="546" customWidth="1"/>
    <col min="8716" max="8716" width="9.140625" style="546"/>
    <col min="8717" max="8717" width="23.85546875" style="546" customWidth="1"/>
    <col min="8718" max="8960" width="9.140625" style="546"/>
    <col min="8961" max="8961" width="6.140625" style="546" customWidth="1"/>
    <col min="8962" max="8962" width="19.85546875" style="546" customWidth="1"/>
    <col min="8963" max="8963" width="6" style="546" customWidth="1"/>
    <col min="8964" max="8964" width="7.85546875" style="546" customWidth="1"/>
    <col min="8965" max="8965" width="7.140625" style="546" customWidth="1"/>
    <col min="8966" max="8971" width="7.85546875" style="546" customWidth="1"/>
    <col min="8972" max="8972" width="9.140625" style="546"/>
    <col min="8973" max="8973" width="23.85546875" style="546" customWidth="1"/>
    <col min="8974" max="9216" width="9.140625" style="546"/>
    <col min="9217" max="9217" width="6.140625" style="546" customWidth="1"/>
    <col min="9218" max="9218" width="19.85546875" style="546" customWidth="1"/>
    <col min="9219" max="9219" width="6" style="546" customWidth="1"/>
    <col min="9220" max="9220" width="7.85546875" style="546" customWidth="1"/>
    <col min="9221" max="9221" width="7.140625" style="546" customWidth="1"/>
    <col min="9222" max="9227" width="7.85546875" style="546" customWidth="1"/>
    <col min="9228" max="9228" width="9.140625" style="546"/>
    <col min="9229" max="9229" width="23.85546875" style="546" customWidth="1"/>
    <col min="9230" max="9472" width="9.140625" style="546"/>
    <col min="9473" max="9473" width="6.140625" style="546" customWidth="1"/>
    <col min="9474" max="9474" width="19.85546875" style="546" customWidth="1"/>
    <col min="9475" max="9475" width="6" style="546" customWidth="1"/>
    <col min="9476" max="9476" width="7.85546875" style="546" customWidth="1"/>
    <col min="9477" max="9477" width="7.140625" style="546" customWidth="1"/>
    <col min="9478" max="9483" width="7.85546875" style="546" customWidth="1"/>
    <col min="9484" max="9484" width="9.140625" style="546"/>
    <col min="9485" max="9485" width="23.85546875" style="546" customWidth="1"/>
    <col min="9486" max="9728" width="9.140625" style="546"/>
    <col min="9729" max="9729" width="6.140625" style="546" customWidth="1"/>
    <col min="9730" max="9730" width="19.85546875" style="546" customWidth="1"/>
    <col min="9731" max="9731" width="6" style="546" customWidth="1"/>
    <col min="9732" max="9732" width="7.85546875" style="546" customWidth="1"/>
    <col min="9733" max="9733" width="7.140625" style="546" customWidth="1"/>
    <col min="9734" max="9739" width="7.85546875" style="546" customWidth="1"/>
    <col min="9740" max="9740" width="9.140625" style="546"/>
    <col min="9741" max="9741" width="23.85546875" style="546" customWidth="1"/>
    <col min="9742" max="9984" width="9.140625" style="546"/>
    <col min="9985" max="9985" width="6.140625" style="546" customWidth="1"/>
    <col min="9986" max="9986" width="19.85546875" style="546" customWidth="1"/>
    <col min="9987" max="9987" width="6" style="546" customWidth="1"/>
    <col min="9988" max="9988" width="7.85546875" style="546" customWidth="1"/>
    <col min="9989" max="9989" width="7.140625" style="546" customWidth="1"/>
    <col min="9990" max="9995" width="7.85546875" style="546" customWidth="1"/>
    <col min="9996" max="9996" width="9.140625" style="546"/>
    <col min="9997" max="9997" width="23.85546875" style="546" customWidth="1"/>
    <col min="9998" max="10240" width="9.140625" style="546"/>
    <col min="10241" max="10241" width="6.140625" style="546" customWidth="1"/>
    <col min="10242" max="10242" width="19.85546875" style="546" customWidth="1"/>
    <col min="10243" max="10243" width="6" style="546" customWidth="1"/>
    <col min="10244" max="10244" width="7.85546875" style="546" customWidth="1"/>
    <col min="10245" max="10245" width="7.140625" style="546" customWidth="1"/>
    <col min="10246" max="10251" width="7.85546875" style="546" customWidth="1"/>
    <col min="10252" max="10252" width="9.140625" style="546"/>
    <col min="10253" max="10253" width="23.85546875" style="546" customWidth="1"/>
    <col min="10254" max="10496" width="9.140625" style="546"/>
    <col min="10497" max="10497" width="6.140625" style="546" customWidth="1"/>
    <col min="10498" max="10498" width="19.85546875" style="546" customWidth="1"/>
    <col min="10499" max="10499" width="6" style="546" customWidth="1"/>
    <col min="10500" max="10500" width="7.85546875" style="546" customWidth="1"/>
    <col min="10501" max="10501" width="7.140625" style="546" customWidth="1"/>
    <col min="10502" max="10507" width="7.85546875" style="546" customWidth="1"/>
    <col min="10508" max="10508" width="9.140625" style="546"/>
    <col min="10509" max="10509" width="23.85546875" style="546" customWidth="1"/>
    <col min="10510" max="10752" width="9.140625" style="546"/>
    <col min="10753" max="10753" width="6.140625" style="546" customWidth="1"/>
    <col min="10754" max="10754" width="19.85546875" style="546" customWidth="1"/>
    <col min="10755" max="10755" width="6" style="546" customWidth="1"/>
    <col min="10756" max="10756" width="7.85546875" style="546" customWidth="1"/>
    <col min="10757" max="10757" width="7.140625" style="546" customWidth="1"/>
    <col min="10758" max="10763" width="7.85546875" style="546" customWidth="1"/>
    <col min="10764" max="10764" width="9.140625" style="546"/>
    <col min="10765" max="10765" width="23.85546875" style="546" customWidth="1"/>
    <col min="10766" max="11008" width="9.140625" style="546"/>
    <col min="11009" max="11009" width="6.140625" style="546" customWidth="1"/>
    <col min="11010" max="11010" width="19.85546875" style="546" customWidth="1"/>
    <col min="11011" max="11011" width="6" style="546" customWidth="1"/>
    <col min="11012" max="11012" width="7.85546875" style="546" customWidth="1"/>
    <col min="11013" max="11013" width="7.140625" style="546" customWidth="1"/>
    <col min="11014" max="11019" width="7.85546875" style="546" customWidth="1"/>
    <col min="11020" max="11020" width="9.140625" style="546"/>
    <col min="11021" max="11021" width="23.85546875" style="546" customWidth="1"/>
    <col min="11022" max="11264" width="9.140625" style="546"/>
    <col min="11265" max="11265" width="6.140625" style="546" customWidth="1"/>
    <col min="11266" max="11266" width="19.85546875" style="546" customWidth="1"/>
    <col min="11267" max="11267" width="6" style="546" customWidth="1"/>
    <col min="11268" max="11268" width="7.85546875" style="546" customWidth="1"/>
    <col min="11269" max="11269" width="7.140625" style="546" customWidth="1"/>
    <col min="11270" max="11275" width="7.85546875" style="546" customWidth="1"/>
    <col min="11276" max="11276" width="9.140625" style="546"/>
    <col min="11277" max="11277" width="23.85546875" style="546" customWidth="1"/>
    <col min="11278" max="11520" width="9.140625" style="546"/>
    <col min="11521" max="11521" width="6.140625" style="546" customWidth="1"/>
    <col min="11522" max="11522" width="19.85546875" style="546" customWidth="1"/>
    <col min="11523" max="11523" width="6" style="546" customWidth="1"/>
    <col min="11524" max="11524" width="7.85546875" style="546" customWidth="1"/>
    <col min="11525" max="11525" width="7.140625" style="546" customWidth="1"/>
    <col min="11526" max="11531" width="7.85546875" style="546" customWidth="1"/>
    <col min="11532" max="11532" width="9.140625" style="546"/>
    <col min="11533" max="11533" width="23.85546875" style="546" customWidth="1"/>
    <col min="11534" max="11776" width="9.140625" style="546"/>
    <col min="11777" max="11777" width="6.140625" style="546" customWidth="1"/>
    <col min="11778" max="11778" width="19.85546875" style="546" customWidth="1"/>
    <col min="11779" max="11779" width="6" style="546" customWidth="1"/>
    <col min="11780" max="11780" width="7.85546875" style="546" customWidth="1"/>
    <col min="11781" max="11781" width="7.140625" style="546" customWidth="1"/>
    <col min="11782" max="11787" width="7.85546875" style="546" customWidth="1"/>
    <col min="11788" max="11788" width="9.140625" style="546"/>
    <col min="11789" max="11789" width="23.85546875" style="546" customWidth="1"/>
    <col min="11790" max="12032" width="9.140625" style="546"/>
    <col min="12033" max="12033" width="6.140625" style="546" customWidth="1"/>
    <col min="12034" max="12034" width="19.85546875" style="546" customWidth="1"/>
    <col min="12035" max="12035" width="6" style="546" customWidth="1"/>
    <col min="12036" max="12036" width="7.85546875" style="546" customWidth="1"/>
    <col min="12037" max="12037" width="7.140625" style="546" customWidth="1"/>
    <col min="12038" max="12043" width="7.85546875" style="546" customWidth="1"/>
    <col min="12044" max="12044" width="9.140625" style="546"/>
    <col min="12045" max="12045" width="23.85546875" style="546" customWidth="1"/>
    <col min="12046" max="12288" width="9.140625" style="546"/>
    <col min="12289" max="12289" width="6.140625" style="546" customWidth="1"/>
    <col min="12290" max="12290" width="19.85546875" style="546" customWidth="1"/>
    <col min="12291" max="12291" width="6" style="546" customWidth="1"/>
    <col min="12292" max="12292" width="7.85546875" style="546" customWidth="1"/>
    <col min="12293" max="12293" width="7.140625" style="546" customWidth="1"/>
    <col min="12294" max="12299" width="7.85546875" style="546" customWidth="1"/>
    <col min="12300" max="12300" width="9.140625" style="546"/>
    <col min="12301" max="12301" width="23.85546875" style="546" customWidth="1"/>
    <col min="12302" max="12544" width="9.140625" style="546"/>
    <col min="12545" max="12545" width="6.140625" style="546" customWidth="1"/>
    <col min="12546" max="12546" width="19.85546875" style="546" customWidth="1"/>
    <col min="12547" max="12547" width="6" style="546" customWidth="1"/>
    <col min="12548" max="12548" width="7.85546875" style="546" customWidth="1"/>
    <col min="12549" max="12549" width="7.140625" style="546" customWidth="1"/>
    <col min="12550" max="12555" width="7.85546875" style="546" customWidth="1"/>
    <col min="12556" max="12556" width="9.140625" style="546"/>
    <col min="12557" max="12557" width="23.85546875" style="546" customWidth="1"/>
    <col min="12558" max="12800" width="9.140625" style="546"/>
    <col min="12801" max="12801" width="6.140625" style="546" customWidth="1"/>
    <col min="12802" max="12802" width="19.85546875" style="546" customWidth="1"/>
    <col min="12803" max="12803" width="6" style="546" customWidth="1"/>
    <col min="12804" max="12804" width="7.85546875" style="546" customWidth="1"/>
    <col min="12805" max="12805" width="7.140625" style="546" customWidth="1"/>
    <col min="12806" max="12811" width="7.85546875" style="546" customWidth="1"/>
    <col min="12812" max="12812" width="9.140625" style="546"/>
    <col min="12813" max="12813" width="23.85546875" style="546" customWidth="1"/>
    <col min="12814" max="13056" width="9.140625" style="546"/>
    <col min="13057" max="13057" width="6.140625" style="546" customWidth="1"/>
    <col min="13058" max="13058" width="19.85546875" style="546" customWidth="1"/>
    <col min="13059" max="13059" width="6" style="546" customWidth="1"/>
    <col min="13060" max="13060" width="7.85546875" style="546" customWidth="1"/>
    <col min="13061" max="13061" width="7.140625" style="546" customWidth="1"/>
    <col min="13062" max="13067" width="7.85546875" style="546" customWidth="1"/>
    <col min="13068" max="13068" width="9.140625" style="546"/>
    <col min="13069" max="13069" width="23.85546875" style="546" customWidth="1"/>
    <col min="13070" max="13312" width="9.140625" style="546"/>
    <col min="13313" max="13313" width="6.140625" style="546" customWidth="1"/>
    <col min="13314" max="13314" width="19.85546875" style="546" customWidth="1"/>
    <col min="13315" max="13315" width="6" style="546" customWidth="1"/>
    <col min="13316" max="13316" width="7.85546875" style="546" customWidth="1"/>
    <col min="13317" max="13317" width="7.140625" style="546" customWidth="1"/>
    <col min="13318" max="13323" width="7.85546875" style="546" customWidth="1"/>
    <col min="13324" max="13324" width="9.140625" style="546"/>
    <col min="13325" max="13325" width="23.85546875" style="546" customWidth="1"/>
    <col min="13326" max="13568" width="9.140625" style="546"/>
    <col min="13569" max="13569" width="6.140625" style="546" customWidth="1"/>
    <col min="13570" max="13570" width="19.85546875" style="546" customWidth="1"/>
    <col min="13571" max="13571" width="6" style="546" customWidth="1"/>
    <col min="13572" max="13572" width="7.85546875" style="546" customWidth="1"/>
    <col min="13573" max="13573" width="7.140625" style="546" customWidth="1"/>
    <col min="13574" max="13579" width="7.85546875" style="546" customWidth="1"/>
    <col min="13580" max="13580" width="9.140625" style="546"/>
    <col min="13581" max="13581" width="23.85546875" style="546" customWidth="1"/>
    <col min="13582" max="13824" width="9.140625" style="546"/>
    <col min="13825" max="13825" width="6.140625" style="546" customWidth="1"/>
    <col min="13826" max="13826" width="19.85546875" style="546" customWidth="1"/>
    <col min="13827" max="13827" width="6" style="546" customWidth="1"/>
    <col min="13828" max="13828" width="7.85546875" style="546" customWidth="1"/>
    <col min="13829" max="13829" width="7.140625" style="546" customWidth="1"/>
    <col min="13830" max="13835" width="7.85546875" style="546" customWidth="1"/>
    <col min="13836" max="13836" width="9.140625" style="546"/>
    <col min="13837" max="13837" width="23.85546875" style="546" customWidth="1"/>
    <col min="13838" max="14080" width="9.140625" style="546"/>
    <col min="14081" max="14081" width="6.140625" style="546" customWidth="1"/>
    <col min="14082" max="14082" width="19.85546875" style="546" customWidth="1"/>
    <col min="14083" max="14083" width="6" style="546" customWidth="1"/>
    <col min="14084" max="14084" width="7.85546875" style="546" customWidth="1"/>
    <col min="14085" max="14085" width="7.140625" style="546" customWidth="1"/>
    <col min="14086" max="14091" width="7.85546875" style="546" customWidth="1"/>
    <col min="14092" max="14092" width="9.140625" style="546"/>
    <col min="14093" max="14093" width="23.85546875" style="546" customWidth="1"/>
    <col min="14094" max="14336" width="9.140625" style="546"/>
    <col min="14337" max="14337" width="6.140625" style="546" customWidth="1"/>
    <col min="14338" max="14338" width="19.85546875" style="546" customWidth="1"/>
    <col min="14339" max="14339" width="6" style="546" customWidth="1"/>
    <col min="14340" max="14340" width="7.85546875" style="546" customWidth="1"/>
    <col min="14341" max="14341" width="7.140625" style="546" customWidth="1"/>
    <col min="14342" max="14347" width="7.85546875" style="546" customWidth="1"/>
    <col min="14348" max="14348" width="9.140625" style="546"/>
    <col min="14349" max="14349" width="23.85546875" style="546" customWidth="1"/>
    <col min="14350" max="14592" width="9.140625" style="546"/>
    <col min="14593" max="14593" width="6.140625" style="546" customWidth="1"/>
    <col min="14594" max="14594" width="19.85546875" style="546" customWidth="1"/>
    <col min="14595" max="14595" width="6" style="546" customWidth="1"/>
    <col min="14596" max="14596" width="7.85546875" style="546" customWidth="1"/>
    <col min="14597" max="14597" width="7.140625" style="546" customWidth="1"/>
    <col min="14598" max="14603" width="7.85546875" style="546" customWidth="1"/>
    <col min="14604" max="14604" width="9.140625" style="546"/>
    <col min="14605" max="14605" width="23.85546875" style="546" customWidth="1"/>
    <col min="14606" max="14848" width="9.140625" style="546"/>
    <col min="14849" max="14849" width="6.140625" style="546" customWidth="1"/>
    <col min="14850" max="14850" width="19.85546875" style="546" customWidth="1"/>
    <col min="14851" max="14851" width="6" style="546" customWidth="1"/>
    <col min="14852" max="14852" width="7.85546875" style="546" customWidth="1"/>
    <col min="14853" max="14853" width="7.140625" style="546" customWidth="1"/>
    <col min="14854" max="14859" width="7.85546875" style="546" customWidth="1"/>
    <col min="14860" max="14860" width="9.140625" style="546"/>
    <col min="14861" max="14861" width="23.85546875" style="546" customWidth="1"/>
    <col min="14862" max="15104" width="9.140625" style="546"/>
    <col min="15105" max="15105" width="6.140625" style="546" customWidth="1"/>
    <col min="15106" max="15106" width="19.85546875" style="546" customWidth="1"/>
    <col min="15107" max="15107" width="6" style="546" customWidth="1"/>
    <col min="15108" max="15108" width="7.85546875" style="546" customWidth="1"/>
    <col min="15109" max="15109" width="7.140625" style="546" customWidth="1"/>
    <col min="15110" max="15115" width="7.85546875" style="546" customWidth="1"/>
    <col min="15116" max="15116" width="9.140625" style="546"/>
    <col min="15117" max="15117" width="23.85546875" style="546" customWidth="1"/>
    <col min="15118" max="15360" width="9.140625" style="546"/>
    <col min="15361" max="15361" width="6.140625" style="546" customWidth="1"/>
    <col min="15362" max="15362" width="19.85546875" style="546" customWidth="1"/>
    <col min="15363" max="15363" width="6" style="546" customWidth="1"/>
    <col min="15364" max="15364" width="7.85546875" style="546" customWidth="1"/>
    <col min="15365" max="15365" width="7.140625" style="546" customWidth="1"/>
    <col min="15366" max="15371" width="7.85546875" style="546" customWidth="1"/>
    <col min="15372" max="15372" width="9.140625" style="546"/>
    <col min="15373" max="15373" width="23.85546875" style="546" customWidth="1"/>
    <col min="15374" max="15616" width="9.140625" style="546"/>
    <col min="15617" max="15617" width="6.140625" style="546" customWidth="1"/>
    <col min="15618" max="15618" width="19.85546875" style="546" customWidth="1"/>
    <col min="15619" max="15619" width="6" style="546" customWidth="1"/>
    <col min="15620" max="15620" width="7.85546875" style="546" customWidth="1"/>
    <col min="15621" max="15621" width="7.140625" style="546" customWidth="1"/>
    <col min="15622" max="15627" width="7.85546875" style="546" customWidth="1"/>
    <col min="15628" max="15628" width="9.140625" style="546"/>
    <col min="15629" max="15629" width="23.85546875" style="546" customWidth="1"/>
    <col min="15630" max="15872" width="9.140625" style="546"/>
    <col min="15873" max="15873" width="6.140625" style="546" customWidth="1"/>
    <col min="15874" max="15874" width="19.85546875" style="546" customWidth="1"/>
    <col min="15875" max="15875" width="6" style="546" customWidth="1"/>
    <col min="15876" max="15876" width="7.85546875" style="546" customWidth="1"/>
    <col min="15877" max="15877" width="7.140625" style="546" customWidth="1"/>
    <col min="15878" max="15883" width="7.85546875" style="546" customWidth="1"/>
    <col min="15884" max="15884" width="9.140625" style="546"/>
    <col min="15885" max="15885" width="23.85546875" style="546" customWidth="1"/>
    <col min="15886" max="16128" width="9.140625" style="546"/>
    <col min="16129" max="16129" width="6.140625" style="546" customWidth="1"/>
    <col min="16130" max="16130" width="19.85546875" style="546" customWidth="1"/>
    <col min="16131" max="16131" width="6" style="546" customWidth="1"/>
    <col min="16132" max="16132" width="7.85546875" style="546" customWidth="1"/>
    <col min="16133" max="16133" width="7.140625" style="546" customWidth="1"/>
    <col min="16134" max="16139" width="7.85546875" style="546" customWidth="1"/>
    <col min="16140" max="16140" width="9.140625" style="546"/>
    <col min="16141" max="16141" width="23.85546875" style="546" customWidth="1"/>
    <col min="16142" max="16384" width="9.140625" style="546"/>
  </cols>
  <sheetData>
    <row r="1" spans="1:17" ht="22.5" customHeight="1" x14ac:dyDescent="0.25">
      <c r="A1" s="553"/>
      <c r="B1" s="554"/>
      <c r="C1" s="555"/>
      <c r="D1" s="557"/>
      <c r="E1" s="557"/>
      <c r="F1" s="557"/>
      <c r="G1" s="557"/>
      <c r="H1" s="557"/>
      <c r="I1" s="557"/>
      <c r="J1" s="547" t="s">
        <v>655</v>
      </c>
    </row>
    <row r="2" spans="1:17" ht="22.5" customHeight="1" x14ac:dyDescent="0.25">
      <c r="A2" s="558" t="s">
        <v>656</v>
      </c>
      <c r="B2" s="554"/>
      <c r="C2" s="551"/>
      <c r="D2" s="559"/>
      <c r="E2" s="551"/>
      <c r="F2" s="551"/>
    </row>
    <row r="3" spans="1:17" ht="22.5" customHeight="1" x14ac:dyDescent="0.25">
      <c r="A3" s="558"/>
      <c r="B3" s="554"/>
      <c r="C3" s="551"/>
      <c r="D3" s="554"/>
      <c r="E3" s="551"/>
      <c r="F3" s="551"/>
    </row>
    <row r="4" spans="1:17" ht="22.5" customHeight="1" x14ac:dyDescent="0.2">
      <c r="B4" s="585" t="s">
        <v>670</v>
      </c>
      <c r="C4" s="586" t="s">
        <v>673</v>
      </c>
      <c r="D4" s="587"/>
      <c r="E4" s="630" t="s">
        <v>671</v>
      </c>
      <c r="F4" s="630"/>
      <c r="G4" s="630"/>
      <c r="H4" s="630"/>
      <c r="I4" s="630"/>
      <c r="J4" s="630"/>
      <c r="K4" s="630"/>
      <c r="L4" s="630"/>
      <c r="M4" s="630"/>
      <c r="N4" s="630"/>
      <c r="O4" s="630"/>
      <c r="P4" s="631"/>
    </row>
    <row r="5" spans="1:17" ht="22.5" customHeight="1" x14ac:dyDescent="0.2">
      <c r="B5" s="580" t="s">
        <v>669</v>
      </c>
      <c r="C5" s="576">
        <v>0</v>
      </c>
      <c r="E5" s="585">
        <v>1</v>
      </c>
      <c r="F5" s="586">
        <v>2</v>
      </c>
      <c r="G5" s="586">
        <v>3</v>
      </c>
      <c r="H5" s="586">
        <v>4</v>
      </c>
      <c r="I5" s="586">
        <v>5</v>
      </c>
      <c r="J5" s="586">
        <v>6</v>
      </c>
      <c r="K5" s="586">
        <v>7</v>
      </c>
      <c r="L5" s="586">
        <v>8</v>
      </c>
      <c r="M5" s="586">
        <v>9</v>
      </c>
      <c r="N5" s="586">
        <v>10</v>
      </c>
      <c r="O5" s="586">
        <v>11</v>
      </c>
      <c r="P5" s="588">
        <v>12</v>
      </c>
      <c r="Q5" s="550" t="s">
        <v>123</v>
      </c>
    </row>
    <row r="6" spans="1:17" ht="22.5" customHeight="1" x14ac:dyDescent="0.25">
      <c r="B6" s="580" t="s">
        <v>657</v>
      </c>
      <c r="E6" s="589">
        <v>0</v>
      </c>
      <c r="F6" s="551">
        <v>0</v>
      </c>
      <c r="G6" s="551">
        <v>0</v>
      </c>
      <c r="H6" s="551">
        <v>0</v>
      </c>
      <c r="I6" s="551">
        <f t="shared" ref="I6:P6" si="0">H10</f>
        <v>0</v>
      </c>
      <c r="J6" s="551">
        <f t="shared" si="0"/>
        <v>0</v>
      </c>
      <c r="K6" s="551">
        <f t="shared" si="0"/>
        <v>0</v>
      </c>
      <c r="L6" s="551">
        <f t="shared" si="0"/>
        <v>0</v>
      </c>
      <c r="M6" s="551">
        <f t="shared" si="0"/>
        <v>0</v>
      </c>
      <c r="N6" s="551">
        <f t="shared" si="0"/>
        <v>0</v>
      </c>
      <c r="O6" s="551">
        <f t="shared" si="0"/>
        <v>0</v>
      </c>
      <c r="P6" s="581">
        <f t="shared" si="0"/>
        <v>0</v>
      </c>
    </row>
    <row r="7" spans="1:17" ht="22.5" customHeight="1" x14ac:dyDescent="0.25">
      <c r="B7" s="580" t="s">
        <v>668</v>
      </c>
      <c r="C7" s="579">
        <v>0.105</v>
      </c>
      <c r="E7" s="590">
        <f>E6*$C$7/12</f>
        <v>0</v>
      </c>
      <c r="F7" s="561">
        <f t="shared" ref="F7:P7" si="1">F6*$C$7/12</f>
        <v>0</v>
      </c>
      <c r="G7" s="561">
        <f t="shared" si="1"/>
        <v>0</v>
      </c>
      <c r="H7" s="561">
        <f t="shared" si="1"/>
        <v>0</v>
      </c>
      <c r="I7" s="561">
        <f t="shared" si="1"/>
        <v>0</v>
      </c>
      <c r="J7" s="561">
        <f t="shared" si="1"/>
        <v>0</v>
      </c>
      <c r="K7" s="561">
        <f t="shared" si="1"/>
        <v>0</v>
      </c>
      <c r="L7" s="561">
        <f t="shared" si="1"/>
        <v>0</v>
      </c>
      <c r="M7" s="561">
        <f t="shared" si="1"/>
        <v>0</v>
      </c>
      <c r="N7" s="561">
        <f t="shared" si="1"/>
        <v>0</v>
      </c>
      <c r="O7" s="561">
        <f t="shared" si="1"/>
        <v>0</v>
      </c>
      <c r="P7" s="582">
        <f t="shared" si="1"/>
        <v>0</v>
      </c>
      <c r="Q7" s="592">
        <f>SUM(E7:P7)</f>
        <v>0</v>
      </c>
    </row>
    <row r="8" spans="1:17" ht="22.5" customHeight="1" x14ac:dyDescent="0.25">
      <c r="B8" s="580"/>
      <c r="E8" s="589">
        <f>SUM(E6:E7)</f>
        <v>0</v>
      </c>
      <c r="F8" s="551">
        <f>SUM(F6:F7)</f>
        <v>0</v>
      </c>
      <c r="G8" s="551">
        <f>SUM(G6:G7)</f>
        <v>0</v>
      </c>
      <c r="H8" s="551">
        <f>H6</f>
        <v>0</v>
      </c>
      <c r="I8" s="551">
        <f t="shared" ref="I8:P8" si="2">I6</f>
        <v>0</v>
      </c>
      <c r="J8" s="551">
        <f t="shared" si="2"/>
        <v>0</v>
      </c>
      <c r="K8" s="551">
        <f t="shared" si="2"/>
        <v>0</v>
      </c>
      <c r="L8" s="551">
        <f t="shared" si="2"/>
        <v>0</v>
      </c>
      <c r="M8" s="551">
        <f t="shared" si="2"/>
        <v>0</v>
      </c>
      <c r="N8" s="551">
        <f t="shared" si="2"/>
        <v>0</v>
      </c>
      <c r="O8" s="551">
        <f t="shared" si="2"/>
        <v>0</v>
      </c>
      <c r="P8" s="581">
        <f t="shared" si="2"/>
        <v>0</v>
      </c>
    </row>
    <row r="9" spans="1:17" ht="22.5" customHeight="1" x14ac:dyDescent="0.25">
      <c r="B9" s="580" t="s">
        <v>675</v>
      </c>
      <c r="E9" s="589">
        <v>0</v>
      </c>
      <c r="F9" s="551">
        <v>0</v>
      </c>
      <c r="G9" s="551">
        <v>0</v>
      </c>
      <c r="H9" s="551">
        <f>$C$5-H7</f>
        <v>0</v>
      </c>
      <c r="I9" s="551">
        <f t="shared" ref="I9:P9" si="3">$C$5-I7</f>
        <v>0</v>
      </c>
      <c r="J9" s="551">
        <f t="shared" si="3"/>
        <v>0</v>
      </c>
      <c r="K9" s="551">
        <f t="shared" si="3"/>
        <v>0</v>
      </c>
      <c r="L9" s="551">
        <f t="shared" si="3"/>
        <v>0</v>
      </c>
      <c r="M9" s="551">
        <f t="shared" si="3"/>
        <v>0</v>
      </c>
      <c r="N9" s="551">
        <f t="shared" si="3"/>
        <v>0</v>
      </c>
      <c r="O9" s="551">
        <f t="shared" si="3"/>
        <v>0</v>
      </c>
      <c r="P9" s="581">
        <f t="shared" si="3"/>
        <v>0</v>
      </c>
      <c r="Q9" s="592">
        <f>SUM(E9:P9)</f>
        <v>0</v>
      </c>
    </row>
    <row r="10" spans="1:17" ht="22.5" customHeight="1" x14ac:dyDescent="0.2">
      <c r="B10" s="583" t="s">
        <v>658</v>
      </c>
      <c r="C10" s="548"/>
      <c r="D10" s="548"/>
      <c r="E10" s="591">
        <f t="shared" ref="E10:K10" si="4">SUM(E8-E9)</f>
        <v>0</v>
      </c>
      <c r="F10" s="562">
        <f t="shared" si="4"/>
        <v>0</v>
      </c>
      <c r="G10" s="562">
        <f t="shared" si="4"/>
        <v>0</v>
      </c>
      <c r="H10" s="562">
        <f t="shared" si="4"/>
        <v>0</v>
      </c>
      <c r="I10" s="562">
        <f t="shared" si="4"/>
        <v>0</v>
      </c>
      <c r="J10" s="562">
        <f t="shared" si="4"/>
        <v>0</v>
      </c>
      <c r="K10" s="562">
        <f t="shared" si="4"/>
        <v>0</v>
      </c>
      <c r="L10" s="562">
        <f>SUM(L8-L9)</f>
        <v>0</v>
      </c>
      <c r="M10" s="562">
        <f>SUM(M8-M9)</f>
        <v>0</v>
      </c>
      <c r="N10" s="562">
        <f>SUM(N8-N9)</f>
        <v>0</v>
      </c>
      <c r="O10" s="562">
        <f>SUM(O8-O9)</f>
        <v>0</v>
      </c>
      <c r="P10" s="584">
        <f>SUM(P8-P9)</f>
        <v>0</v>
      </c>
    </row>
    <row r="11" spans="1:17" ht="22.5" customHeight="1" x14ac:dyDescent="0.2">
      <c r="A11" s="546" t="s">
        <v>659</v>
      </c>
    </row>
    <row r="12" spans="1:17" ht="22.5" customHeight="1" x14ac:dyDescent="0.2">
      <c r="A12" s="546" t="s">
        <v>660</v>
      </c>
      <c r="B12" s="585" t="s">
        <v>670</v>
      </c>
      <c r="C12" s="586" t="s">
        <v>674</v>
      </c>
      <c r="D12" s="587"/>
      <c r="E12" s="630" t="str">
        <f>E4</f>
        <v>Month</v>
      </c>
      <c r="F12" s="630"/>
      <c r="G12" s="630"/>
      <c r="H12" s="630"/>
      <c r="I12" s="630"/>
      <c r="J12" s="630"/>
      <c r="K12" s="630"/>
      <c r="L12" s="630"/>
      <c r="M12" s="630"/>
      <c r="N12" s="630"/>
      <c r="O12" s="630"/>
      <c r="P12" s="631"/>
    </row>
    <row r="13" spans="1:17" ht="22.5" customHeight="1" x14ac:dyDescent="0.2">
      <c r="A13" s="546" t="s">
        <v>660</v>
      </c>
      <c r="B13" s="580" t="str">
        <f>B5</f>
        <v>EMI</v>
      </c>
      <c r="C13" s="576">
        <v>0.88263999999999998</v>
      </c>
      <c r="E13" s="585">
        <f>E5</f>
        <v>1</v>
      </c>
      <c r="F13" s="586">
        <f>F5</f>
        <v>2</v>
      </c>
      <c r="G13" s="586">
        <f t="shared" ref="G13:Q13" si="5">G5</f>
        <v>3</v>
      </c>
      <c r="H13" s="586">
        <f t="shared" si="5"/>
        <v>4</v>
      </c>
      <c r="I13" s="586">
        <f t="shared" si="5"/>
        <v>5</v>
      </c>
      <c r="J13" s="586">
        <f t="shared" si="5"/>
        <v>6</v>
      </c>
      <c r="K13" s="586">
        <f t="shared" si="5"/>
        <v>7</v>
      </c>
      <c r="L13" s="586">
        <f t="shared" si="5"/>
        <v>8</v>
      </c>
      <c r="M13" s="586">
        <f t="shared" si="5"/>
        <v>9</v>
      </c>
      <c r="N13" s="586">
        <f t="shared" si="5"/>
        <v>10</v>
      </c>
      <c r="O13" s="586">
        <f t="shared" si="5"/>
        <v>11</v>
      </c>
      <c r="P13" s="588">
        <f t="shared" si="5"/>
        <v>12</v>
      </c>
      <c r="Q13" s="550" t="str">
        <f t="shared" si="5"/>
        <v>Total</v>
      </c>
    </row>
    <row r="14" spans="1:17" ht="22.5" customHeight="1" x14ac:dyDescent="0.25">
      <c r="A14" s="546" t="s">
        <v>660</v>
      </c>
      <c r="B14" s="580" t="str">
        <f>B6</f>
        <v>Loan Amount Outstanding</v>
      </c>
      <c r="E14" s="589">
        <v>50</v>
      </c>
      <c r="F14" s="551">
        <f t="shared" ref="F14:P14" si="6">E18</f>
        <v>49.617359999999998</v>
      </c>
      <c r="G14" s="551">
        <f t="shared" si="6"/>
        <v>49.230893599999995</v>
      </c>
      <c r="H14" s="551">
        <f t="shared" si="6"/>
        <v>48.840562535999993</v>
      </c>
      <c r="I14" s="551">
        <f t="shared" si="6"/>
        <v>48.446328161359993</v>
      </c>
      <c r="J14" s="551">
        <f t="shared" si="6"/>
        <v>48.048151442973591</v>
      </c>
      <c r="K14" s="551">
        <f t="shared" si="6"/>
        <v>47.64599295740333</v>
      </c>
      <c r="L14" s="551">
        <f t="shared" si="6"/>
        <v>47.239812886977361</v>
      </c>
      <c r="M14" s="551">
        <f t="shared" si="6"/>
        <v>46.829571015847137</v>
      </c>
      <c r="N14" s="551">
        <f t="shared" si="6"/>
        <v>46.415226726005606</v>
      </c>
      <c r="O14" s="551">
        <f t="shared" si="6"/>
        <v>45.996738993265666</v>
      </c>
      <c r="P14" s="581">
        <f t="shared" si="6"/>
        <v>45.574066383198321</v>
      </c>
    </row>
    <row r="15" spans="1:17" ht="22.5" customHeight="1" x14ac:dyDescent="0.25">
      <c r="A15" s="546" t="s">
        <v>660</v>
      </c>
      <c r="B15" s="580" t="str">
        <f>B7</f>
        <v>Interest p.a. @</v>
      </c>
      <c r="C15" s="579">
        <v>0.12</v>
      </c>
      <c r="E15" s="590">
        <f>E14*$C15/12</f>
        <v>0.5</v>
      </c>
      <c r="F15" s="561">
        <f t="shared" ref="F15:P15" si="7">F14*$C15/12</f>
        <v>0.49617359999999994</v>
      </c>
      <c r="G15" s="561">
        <f t="shared" si="7"/>
        <v>0.49230893599999992</v>
      </c>
      <c r="H15" s="561">
        <f t="shared" si="7"/>
        <v>0.48840562535999993</v>
      </c>
      <c r="I15" s="561">
        <f t="shared" si="7"/>
        <v>0.48446328161359992</v>
      </c>
      <c r="J15" s="561">
        <f t="shared" si="7"/>
        <v>0.48048151442973586</v>
      </c>
      <c r="K15" s="561">
        <f t="shared" si="7"/>
        <v>0.47645992957403327</v>
      </c>
      <c r="L15" s="561">
        <f t="shared" si="7"/>
        <v>0.47239812886977361</v>
      </c>
      <c r="M15" s="561">
        <f t="shared" si="7"/>
        <v>0.46829571015847132</v>
      </c>
      <c r="N15" s="561">
        <f t="shared" si="7"/>
        <v>0.46415226726005604</v>
      </c>
      <c r="O15" s="561">
        <f t="shared" si="7"/>
        <v>0.45996738993265662</v>
      </c>
      <c r="P15" s="582">
        <f t="shared" si="7"/>
        <v>0.45574066383198319</v>
      </c>
      <c r="Q15" s="592">
        <f>SUM(E15:P15)</f>
        <v>5.7388470470303101</v>
      </c>
    </row>
    <row r="16" spans="1:17" ht="22.5" customHeight="1" x14ac:dyDescent="0.25">
      <c r="A16" s="546" t="s">
        <v>660</v>
      </c>
      <c r="B16" s="580"/>
      <c r="E16" s="589">
        <f>E14</f>
        <v>50</v>
      </c>
      <c r="F16" s="551">
        <f t="shared" ref="F16:P16" si="8">F14</f>
        <v>49.617359999999998</v>
      </c>
      <c r="G16" s="551">
        <f t="shared" si="8"/>
        <v>49.230893599999995</v>
      </c>
      <c r="H16" s="551">
        <f t="shared" si="8"/>
        <v>48.840562535999993</v>
      </c>
      <c r="I16" s="551">
        <f t="shared" si="8"/>
        <v>48.446328161359993</v>
      </c>
      <c r="J16" s="551">
        <f t="shared" si="8"/>
        <v>48.048151442973591</v>
      </c>
      <c r="K16" s="551">
        <f t="shared" si="8"/>
        <v>47.64599295740333</v>
      </c>
      <c r="L16" s="551">
        <f t="shared" si="8"/>
        <v>47.239812886977361</v>
      </c>
      <c r="M16" s="551">
        <f t="shared" si="8"/>
        <v>46.829571015847137</v>
      </c>
      <c r="N16" s="551">
        <f t="shared" si="8"/>
        <v>46.415226726005606</v>
      </c>
      <c r="O16" s="551">
        <f t="shared" si="8"/>
        <v>45.996738993265666</v>
      </c>
      <c r="P16" s="581">
        <f t="shared" si="8"/>
        <v>45.574066383198321</v>
      </c>
    </row>
    <row r="17" spans="1:17" ht="22.5" customHeight="1" x14ac:dyDescent="0.25">
      <c r="A17" s="546" t="s">
        <v>660</v>
      </c>
      <c r="B17" s="580" t="str">
        <f>B9</f>
        <v>Less: Repayment of Loan</v>
      </c>
      <c r="E17" s="589">
        <f>$C13-E15</f>
        <v>0.38263999999999998</v>
      </c>
      <c r="F17" s="551">
        <f t="shared" ref="F17:P17" si="9">$C13-F15</f>
        <v>0.38646640000000004</v>
      </c>
      <c r="G17" s="551">
        <f t="shared" si="9"/>
        <v>0.39033106400000006</v>
      </c>
      <c r="H17" s="551">
        <f t="shared" si="9"/>
        <v>0.39423437464000005</v>
      </c>
      <c r="I17" s="551">
        <f t="shared" si="9"/>
        <v>0.39817671838640006</v>
      </c>
      <c r="J17" s="551">
        <f t="shared" si="9"/>
        <v>0.40215848557026412</v>
      </c>
      <c r="K17" s="551">
        <f t="shared" si="9"/>
        <v>0.40618007042596671</v>
      </c>
      <c r="L17" s="551">
        <f t="shared" si="9"/>
        <v>0.41024187113022637</v>
      </c>
      <c r="M17" s="551">
        <f t="shared" si="9"/>
        <v>0.41434428984152866</v>
      </c>
      <c r="N17" s="551">
        <f t="shared" si="9"/>
        <v>0.41848773273994394</v>
      </c>
      <c r="O17" s="551">
        <f t="shared" si="9"/>
        <v>0.42267261006734336</v>
      </c>
      <c r="P17" s="581">
        <f t="shared" si="9"/>
        <v>0.42689933616801679</v>
      </c>
      <c r="Q17" s="592">
        <f>SUM(E17:P17)</f>
        <v>4.852832952969691</v>
      </c>
    </row>
    <row r="18" spans="1:17" ht="22.5" customHeight="1" x14ac:dyDescent="0.2">
      <c r="A18" s="546" t="s">
        <v>660</v>
      </c>
      <c r="B18" s="583" t="str">
        <f>B10</f>
        <v>Balance</v>
      </c>
      <c r="C18" s="548"/>
      <c r="D18" s="548"/>
      <c r="E18" s="591">
        <f t="shared" ref="E18:P18" si="10">SUM(E16-E17)</f>
        <v>49.617359999999998</v>
      </c>
      <c r="F18" s="562">
        <f t="shared" si="10"/>
        <v>49.230893599999995</v>
      </c>
      <c r="G18" s="562">
        <f t="shared" si="10"/>
        <v>48.840562535999993</v>
      </c>
      <c r="H18" s="562">
        <f t="shared" si="10"/>
        <v>48.446328161359993</v>
      </c>
      <c r="I18" s="562">
        <f t="shared" si="10"/>
        <v>48.048151442973591</v>
      </c>
      <c r="J18" s="562">
        <f t="shared" si="10"/>
        <v>47.64599295740333</v>
      </c>
      <c r="K18" s="562">
        <f t="shared" si="10"/>
        <v>47.239812886977361</v>
      </c>
      <c r="L18" s="562">
        <f t="shared" si="10"/>
        <v>46.829571015847137</v>
      </c>
      <c r="M18" s="562">
        <f t="shared" si="10"/>
        <v>46.415226726005606</v>
      </c>
      <c r="N18" s="562">
        <f t="shared" si="10"/>
        <v>45.996738993265666</v>
      </c>
      <c r="O18" s="562">
        <f t="shared" si="10"/>
        <v>45.574066383198321</v>
      </c>
      <c r="P18" s="584">
        <f t="shared" si="10"/>
        <v>45.147167047030301</v>
      </c>
    </row>
    <row r="19" spans="1:17" ht="22.5" customHeight="1" x14ac:dyDescent="0.2">
      <c r="A19" s="546" t="s">
        <v>660</v>
      </c>
    </row>
    <row r="20" spans="1:17" ht="22.5" customHeight="1" x14ac:dyDescent="0.2">
      <c r="A20" s="546" t="s">
        <v>660</v>
      </c>
      <c r="B20" s="585" t="s">
        <v>670</v>
      </c>
      <c r="C20" s="586" t="s">
        <v>676</v>
      </c>
      <c r="D20" s="587"/>
      <c r="E20" s="630" t="str">
        <f>E12</f>
        <v>Month</v>
      </c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1"/>
    </row>
    <row r="21" spans="1:17" ht="22.5" customHeight="1" x14ac:dyDescent="0.2">
      <c r="A21" s="546" t="s">
        <v>660</v>
      </c>
      <c r="B21" s="580" t="str">
        <f>B13</f>
        <v>EMI</v>
      </c>
      <c r="C21" s="576">
        <f>C13</f>
        <v>0.88263999999999998</v>
      </c>
      <c r="E21" s="585">
        <f>E13</f>
        <v>1</v>
      </c>
      <c r="F21" s="586">
        <f t="shared" ref="F21:Q21" si="11">F13</f>
        <v>2</v>
      </c>
      <c r="G21" s="586">
        <f t="shared" si="11"/>
        <v>3</v>
      </c>
      <c r="H21" s="586">
        <f t="shared" si="11"/>
        <v>4</v>
      </c>
      <c r="I21" s="586">
        <f t="shared" si="11"/>
        <v>5</v>
      </c>
      <c r="J21" s="586">
        <f t="shared" si="11"/>
        <v>6</v>
      </c>
      <c r="K21" s="586">
        <f t="shared" si="11"/>
        <v>7</v>
      </c>
      <c r="L21" s="586">
        <f t="shared" si="11"/>
        <v>8</v>
      </c>
      <c r="M21" s="586">
        <f t="shared" si="11"/>
        <v>9</v>
      </c>
      <c r="N21" s="586">
        <f t="shared" si="11"/>
        <v>10</v>
      </c>
      <c r="O21" s="586">
        <f t="shared" si="11"/>
        <v>11</v>
      </c>
      <c r="P21" s="588">
        <f t="shared" si="11"/>
        <v>12</v>
      </c>
      <c r="Q21" s="550" t="str">
        <f t="shared" si="11"/>
        <v>Total</v>
      </c>
    </row>
    <row r="22" spans="1:17" ht="22.5" customHeight="1" x14ac:dyDescent="0.25">
      <c r="A22" s="546" t="s">
        <v>660</v>
      </c>
      <c r="B22" s="580" t="str">
        <f>B14</f>
        <v>Loan Amount Outstanding</v>
      </c>
      <c r="E22" s="589">
        <f>P18</f>
        <v>45.147167047030301</v>
      </c>
      <c r="F22" s="551">
        <f t="shared" ref="F22:P22" si="12">E26</f>
        <v>44.715998717500604</v>
      </c>
      <c r="G22" s="551">
        <f t="shared" si="12"/>
        <v>44.280518704675607</v>
      </c>
      <c r="H22" s="551">
        <f t="shared" si="12"/>
        <v>43.840683891722364</v>
      </c>
      <c r="I22" s="551">
        <f t="shared" si="12"/>
        <v>43.396450730639586</v>
      </c>
      <c r="J22" s="551">
        <f t="shared" si="12"/>
        <v>42.947775237945983</v>
      </c>
      <c r="K22" s="551">
        <f t="shared" si="12"/>
        <v>42.494612990325443</v>
      </c>
      <c r="L22" s="551">
        <f t="shared" si="12"/>
        <v>42.036919120228696</v>
      </c>
      <c r="M22" s="551">
        <f t="shared" si="12"/>
        <v>41.574648311430984</v>
      </c>
      <c r="N22" s="551">
        <f t="shared" si="12"/>
        <v>41.107754794545293</v>
      </c>
      <c r="O22" s="551">
        <f t="shared" si="12"/>
        <v>40.636192342490745</v>
      </c>
      <c r="P22" s="581">
        <f t="shared" si="12"/>
        <v>40.159914265915653</v>
      </c>
    </row>
    <row r="23" spans="1:17" ht="22.5" customHeight="1" x14ac:dyDescent="0.25">
      <c r="A23" s="546" t="s">
        <v>660</v>
      </c>
      <c r="B23" s="580" t="str">
        <f>B15</f>
        <v>Interest p.a. @</v>
      </c>
      <c r="C23" s="579">
        <f>C15</f>
        <v>0.12</v>
      </c>
      <c r="E23" s="590">
        <f>E22*$C23/12</f>
        <v>0.45147167047030301</v>
      </c>
      <c r="F23" s="561">
        <f t="shared" ref="F23:P23" si="13">F22*$C23/12</f>
        <v>0.44715998717500605</v>
      </c>
      <c r="G23" s="561">
        <f t="shared" si="13"/>
        <v>0.44280518704675603</v>
      </c>
      <c r="H23" s="561">
        <f t="shared" si="13"/>
        <v>0.4384068389172236</v>
      </c>
      <c r="I23" s="561">
        <f t="shared" si="13"/>
        <v>0.43396450730639585</v>
      </c>
      <c r="J23" s="561">
        <f t="shared" si="13"/>
        <v>0.42947775237945979</v>
      </c>
      <c r="K23" s="561">
        <f t="shared" si="13"/>
        <v>0.42494612990325442</v>
      </c>
      <c r="L23" s="561">
        <f t="shared" si="13"/>
        <v>0.42036919120228694</v>
      </c>
      <c r="M23" s="561">
        <f t="shared" si="13"/>
        <v>0.41574648311430984</v>
      </c>
      <c r="N23" s="561">
        <f t="shared" si="13"/>
        <v>0.41107754794545293</v>
      </c>
      <c r="O23" s="561">
        <f t="shared" si="13"/>
        <v>0.4063619234249074</v>
      </c>
      <c r="P23" s="582">
        <f t="shared" si="13"/>
        <v>0.40159914265915653</v>
      </c>
      <c r="Q23" s="592">
        <f>SUM(E23:P23)</f>
        <v>5.1233863615445125</v>
      </c>
    </row>
    <row r="24" spans="1:17" ht="22.5" customHeight="1" x14ac:dyDescent="0.25">
      <c r="A24" s="546" t="s">
        <v>660</v>
      </c>
      <c r="B24" s="580"/>
      <c r="E24" s="589">
        <f>E22</f>
        <v>45.147167047030301</v>
      </c>
      <c r="F24" s="551">
        <f t="shared" ref="F24:P24" si="14">F22</f>
        <v>44.715998717500604</v>
      </c>
      <c r="G24" s="551">
        <f t="shared" si="14"/>
        <v>44.280518704675607</v>
      </c>
      <c r="H24" s="551">
        <f t="shared" si="14"/>
        <v>43.840683891722364</v>
      </c>
      <c r="I24" s="551">
        <f t="shared" si="14"/>
        <v>43.396450730639586</v>
      </c>
      <c r="J24" s="551">
        <f t="shared" si="14"/>
        <v>42.947775237945983</v>
      </c>
      <c r="K24" s="551">
        <f t="shared" si="14"/>
        <v>42.494612990325443</v>
      </c>
      <c r="L24" s="551">
        <f t="shared" si="14"/>
        <v>42.036919120228696</v>
      </c>
      <c r="M24" s="551">
        <f t="shared" si="14"/>
        <v>41.574648311430984</v>
      </c>
      <c r="N24" s="551">
        <f t="shared" si="14"/>
        <v>41.107754794545293</v>
      </c>
      <c r="O24" s="551">
        <f t="shared" si="14"/>
        <v>40.636192342490745</v>
      </c>
      <c r="P24" s="581">
        <f t="shared" si="14"/>
        <v>40.159914265915653</v>
      </c>
    </row>
    <row r="25" spans="1:17" ht="22.5" customHeight="1" x14ac:dyDescent="0.25">
      <c r="A25" s="546" t="s">
        <v>660</v>
      </c>
      <c r="B25" s="580" t="str">
        <f>B17</f>
        <v>Less: Repayment of Loan</v>
      </c>
      <c r="E25" s="589">
        <f>$C21-E23</f>
        <v>0.43116832952969697</v>
      </c>
      <c r="F25" s="551">
        <f t="shared" ref="F25:P25" si="15">$C21-F23</f>
        <v>0.43548001282499393</v>
      </c>
      <c r="G25" s="551">
        <f t="shared" si="15"/>
        <v>0.43983481295324395</v>
      </c>
      <c r="H25" s="551">
        <f t="shared" si="15"/>
        <v>0.44423316108277638</v>
      </c>
      <c r="I25" s="551">
        <f t="shared" si="15"/>
        <v>0.44867549269360413</v>
      </c>
      <c r="J25" s="551">
        <f t="shared" si="15"/>
        <v>0.45316224762054019</v>
      </c>
      <c r="K25" s="551">
        <f t="shared" si="15"/>
        <v>0.45769387009674556</v>
      </c>
      <c r="L25" s="551">
        <f t="shared" si="15"/>
        <v>0.46227080879771304</v>
      </c>
      <c r="M25" s="551">
        <f t="shared" si="15"/>
        <v>0.46689351688569014</v>
      </c>
      <c r="N25" s="551">
        <f t="shared" si="15"/>
        <v>0.47156245205454705</v>
      </c>
      <c r="O25" s="551">
        <f t="shared" si="15"/>
        <v>0.47627807657509258</v>
      </c>
      <c r="P25" s="581">
        <f t="shared" si="15"/>
        <v>0.48104085734084345</v>
      </c>
      <c r="Q25" s="592">
        <f>SUM(E25:P25)</f>
        <v>5.4682936384554885</v>
      </c>
    </row>
    <row r="26" spans="1:17" ht="22.5" customHeight="1" x14ac:dyDescent="0.2">
      <c r="A26" s="546" t="s">
        <v>660</v>
      </c>
      <c r="B26" s="583" t="str">
        <f>B18</f>
        <v>Balance</v>
      </c>
      <c r="C26" s="548"/>
      <c r="D26" s="548"/>
      <c r="E26" s="591">
        <f t="shared" ref="E26:P26" si="16">SUM(E24-E25)</f>
        <v>44.715998717500604</v>
      </c>
      <c r="F26" s="562">
        <f t="shared" si="16"/>
        <v>44.280518704675607</v>
      </c>
      <c r="G26" s="562">
        <f t="shared" si="16"/>
        <v>43.840683891722364</v>
      </c>
      <c r="H26" s="562">
        <f t="shared" si="16"/>
        <v>43.396450730639586</v>
      </c>
      <c r="I26" s="562">
        <f t="shared" si="16"/>
        <v>42.947775237945983</v>
      </c>
      <c r="J26" s="562">
        <f t="shared" si="16"/>
        <v>42.494612990325443</v>
      </c>
      <c r="K26" s="562">
        <f t="shared" si="16"/>
        <v>42.036919120228696</v>
      </c>
      <c r="L26" s="562">
        <f t="shared" si="16"/>
        <v>41.574648311430984</v>
      </c>
      <c r="M26" s="562">
        <f t="shared" si="16"/>
        <v>41.107754794545293</v>
      </c>
      <c r="N26" s="562">
        <f t="shared" si="16"/>
        <v>40.636192342490745</v>
      </c>
      <c r="O26" s="562">
        <f t="shared" si="16"/>
        <v>40.159914265915653</v>
      </c>
      <c r="P26" s="584">
        <f t="shared" si="16"/>
        <v>39.678873408574809</v>
      </c>
    </row>
    <row r="27" spans="1:17" ht="22.5" customHeight="1" x14ac:dyDescent="0.2">
      <c r="A27" s="546" t="s">
        <v>660</v>
      </c>
    </row>
    <row r="28" spans="1:17" ht="22.5" customHeight="1" x14ac:dyDescent="0.2">
      <c r="A28" s="546" t="s">
        <v>660</v>
      </c>
      <c r="B28" s="585" t="s">
        <v>670</v>
      </c>
      <c r="C28" s="586" t="s">
        <v>677</v>
      </c>
      <c r="D28" s="587"/>
      <c r="E28" s="630" t="str">
        <f>E20</f>
        <v>Month</v>
      </c>
      <c r="F28" s="630"/>
      <c r="G28" s="630"/>
      <c r="H28" s="630"/>
      <c r="I28" s="630"/>
      <c r="J28" s="630"/>
      <c r="K28" s="630"/>
      <c r="L28" s="630"/>
      <c r="M28" s="630"/>
      <c r="N28" s="630"/>
      <c r="O28" s="630"/>
      <c r="P28" s="631"/>
    </row>
    <row r="29" spans="1:17" ht="22.5" customHeight="1" x14ac:dyDescent="0.2">
      <c r="A29" s="546" t="s">
        <v>660</v>
      </c>
      <c r="B29" s="580" t="str">
        <f>B21</f>
        <v>EMI</v>
      </c>
      <c r="C29" s="576">
        <f>C21</f>
        <v>0.88263999999999998</v>
      </c>
      <c r="E29" s="585">
        <f>E21</f>
        <v>1</v>
      </c>
      <c r="F29" s="586">
        <f t="shared" ref="F29:Q29" si="17">F21</f>
        <v>2</v>
      </c>
      <c r="G29" s="586">
        <f t="shared" si="17"/>
        <v>3</v>
      </c>
      <c r="H29" s="586">
        <f t="shared" si="17"/>
        <v>4</v>
      </c>
      <c r="I29" s="586">
        <f t="shared" si="17"/>
        <v>5</v>
      </c>
      <c r="J29" s="586">
        <f t="shared" si="17"/>
        <v>6</v>
      </c>
      <c r="K29" s="586">
        <f t="shared" si="17"/>
        <v>7</v>
      </c>
      <c r="L29" s="586">
        <f t="shared" si="17"/>
        <v>8</v>
      </c>
      <c r="M29" s="586">
        <f t="shared" si="17"/>
        <v>9</v>
      </c>
      <c r="N29" s="586">
        <f t="shared" si="17"/>
        <v>10</v>
      </c>
      <c r="O29" s="586">
        <f t="shared" si="17"/>
        <v>11</v>
      </c>
      <c r="P29" s="588">
        <f t="shared" si="17"/>
        <v>12</v>
      </c>
      <c r="Q29" s="550" t="str">
        <f t="shared" si="17"/>
        <v>Total</v>
      </c>
    </row>
    <row r="30" spans="1:17" ht="22.5" customHeight="1" x14ac:dyDescent="0.25">
      <c r="B30" s="580" t="str">
        <f>B22</f>
        <v>Loan Amount Outstanding</v>
      </c>
      <c r="E30" s="589">
        <f>P26</f>
        <v>39.678873408574809</v>
      </c>
      <c r="F30" s="551">
        <f t="shared" ref="F30:P30" si="18">E34</f>
        <v>39.19302214266056</v>
      </c>
      <c r="G30" s="551">
        <f t="shared" si="18"/>
        <v>38.702312364087163</v>
      </c>
      <c r="H30" s="551">
        <f t="shared" si="18"/>
        <v>38.206695487728034</v>
      </c>
      <c r="I30" s="551">
        <f t="shared" si="18"/>
        <v>37.706122442605313</v>
      </c>
      <c r="J30" s="551">
        <f t="shared" si="18"/>
        <v>37.200543667031368</v>
      </c>
      <c r="K30" s="551">
        <f t="shared" si="18"/>
        <v>36.68990910370168</v>
      </c>
      <c r="L30" s="551">
        <f t="shared" si="18"/>
        <v>36.174168194738698</v>
      </c>
      <c r="M30" s="551">
        <f t="shared" si="18"/>
        <v>35.653269876686082</v>
      </c>
      <c r="N30" s="551">
        <f t="shared" si="18"/>
        <v>35.127162575452942</v>
      </c>
      <c r="O30" s="551">
        <f t="shared" si="18"/>
        <v>34.595794201207475</v>
      </c>
      <c r="P30" s="581">
        <f t="shared" si="18"/>
        <v>34.059112143219551</v>
      </c>
    </row>
    <row r="31" spans="1:17" ht="22.5" customHeight="1" x14ac:dyDescent="0.25">
      <c r="B31" s="580" t="str">
        <f>B23</f>
        <v>Interest p.a. @</v>
      </c>
      <c r="C31" s="579">
        <f>C23</f>
        <v>0.12</v>
      </c>
      <c r="E31" s="590">
        <f t="shared" ref="E31:P31" si="19">E30*$C31/12</f>
        <v>0.39678873408574811</v>
      </c>
      <c r="F31" s="561">
        <f t="shared" si="19"/>
        <v>0.39193022142660561</v>
      </c>
      <c r="G31" s="561">
        <f t="shared" si="19"/>
        <v>0.3870231236408716</v>
      </c>
      <c r="H31" s="561">
        <f t="shared" si="19"/>
        <v>0.38206695487728032</v>
      </c>
      <c r="I31" s="561">
        <f t="shared" si="19"/>
        <v>0.37706122442605311</v>
      </c>
      <c r="J31" s="561">
        <f t="shared" si="19"/>
        <v>0.37200543667031366</v>
      </c>
      <c r="K31" s="561">
        <f t="shared" si="19"/>
        <v>0.36689909103701673</v>
      </c>
      <c r="L31" s="561">
        <f t="shared" si="19"/>
        <v>0.36174168194738693</v>
      </c>
      <c r="M31" s="561">
        <f t="shared" si="19"/>
        <v>0.35653269876686083</v>
      </c>
      <c r="N31" s="561">
        <f t="shared" si="19"/>
        <v>0.35127162575452942</v>
      </c>
      <c r="O31" s="561">
        <f t="shared" si="19"/>
        <v>0.34595794201207469</v>
      </c>
      <c r="P31" s="582">
        <f t="shared" si="19"/>
        <v>0.3405911214321955</v>
      </c>
      <c r="Q31" s="592">
        <f>SUM(E31:P31)</f>
        <v>4.4298698560769374</v>
      </c>
    </row>
    <row r="32" spans="1:17" ht="22.5" customHeight="1" x14ac:dyDescent="0.25">
      <c r="B32" s="580"/>
      <c r="E32" s="589">
        <f>E30</f>
        <v>39.678873408574809</v>
      </c>
      <c r="F32" s="551">
        <f t="shared" ref="F32:P32" si="20">F30</f>
        <v>39.19302214266056</v>
      </c>
      <c r="G32" s="551">
        <f t="shared" si="20"/>
        <v>38.702312364087163</v>
      </c>
      <c r="H32" s="551">
        <f t="shared" si="20"/>
        <v>38.206695487728034</v>
      </c>
      <c r="I32" s="551">
        <f t="shared" si="20"/>
        <v>37.706122442605313</v>
      </c>
      <c r="J32" s="551">
        <f t="shared" si="20"/>
        <v>37.200543667031368</v>
      </c>
      <c r="K32" s="551">
        <f t="shared" si="20"/>
        <v>36.68990910370168</v>
      </c>
      <c r="L32" s="551">
        <f t="shared" si="20"/>
        <v>36.174168194738698</v>
      </c>
      <c r="M32" s="551">
        <f t="shared" si="20"/>
        <v>35.653269876686082</v>
      </c>
      <c r="N32" s="551">
        <f t="shared" si="20"/>
        <v>35.127162575452942</v>
      </c>
      <c r="O32" s="551">
        <f t="shared" si="20"/>
        <v>34.595794201207475</v>
      </c>
      <c r="P32" s="581">
        <f t="shared" si="20"/>
        <v>34.059112143219551</v>
      </c>
    </row>
    <row r="33" spans="2:17" ht="22.5" customHeight="1" x14ac:dyDescent="0.25">
      <c r="B33" s="580" t="str">
        <f>B25</f>
        <v>Less: Repayment of Loan</v>
      </c>
      <c r="E33" s="589">
        <f>$C29-E31</f>
        <v>0.48585126591425187</v>
      </c>
      <c r="F33" s="551">
        <f t="shared" ref="F33:P33" si="21">$C29-F31</f>
        <v>0.49070977857339437</v>
      </c>
      <c r="G33" s="551">
        <f t="shared" si="21"/>
        <v>0.49561687635912838</v>
      </c>
      <c r="H33" s="551">
        <f t="shared" si="21"/>
        <v>0.50057304512271972</v>
      </c>
      <c r="I33" s="551">
        <f t="shared" si="21"/>
        <v>0.50557877557394693</v>
      </c>
      <c r="J33" s="551">
        <f t="shared" si="21"/>
        <v>0.51063456332968626</v>
      </c>
      <c r="K33" s="551">
        <f t="shared" si="21"/>
        <v>0.51574090896298319</v>
      </c>
      <c r="L33" s="551">
        <f t="shared" si="21"/>
        <v>0.520898318052613</v>
      </c>
      <c r="M33" s="551">
        <f t="shared" si="21"/>
        <v>0.5261073012331392</v>
      </c>
      <c r="N33" s="551">
        <f t="shared" si="21"/>
        <v>0.53136837424547056</v>
      </c>
      <c r="O33" s="551">
        <f t="shared" si="21"/>
        <v>0.53668205798792523</v>
      </c>
      <c r="P33" s="581">
        <f t="shared" si="21"/>
        <v>0.54204887856780448</v>
      </c>
      <c r="Q33" s="592">
        <f>SUM(E33:P33)</f>
        <v>6.1618101439230637</v>
      </c>
    </row>
    <row r="34" spans="2:17" ht="22.5" customHeight="1" x14ac:dyDescent="0.2">
      <c r="B34" s="583" t="str">
        <f>B26</f>
        <v>Balance</v>
      </c>
      <c r="C34" s="548"/>
      <c r="D34" s="548"/>
      <c r="E34" s="591">
        <f t="shared" ref="E34:P34" si="22">SUM(E32-E33)</f>
        <v>39.19302214266056</v>
      </c>
      <c r="F34" s="562">
        <f t="shared" si="22"/>
        <v>38.702312364087163</v>
      </c>
      <c r="G34" s="562">
        <f t="shared" si="22"/>
        <v>38.206695487728034</v>
      </c>
      <c r="H34" s="562">
        <f t="shared" si="22"/>
        <v>37.706122442605313</v>
      </c>
      <c r="I34" s="562">
        <f t="shared" si="22"/>
        <v>37.200543667031368</v>
      </c>
      <c r="J34" s="562">
        <f t="shared" si="22"/>
        <v>36.68990910370168</v>
      </c>
      <c r="K34" s="562">
        <f t="shared" si="22"/>
        <v>36.174168194738698</v>
      </c>
      <c r="L34" s="562">
        <f t="shared" si="22"/>
        <v>35.653269876686082</v>
      </c>
      <c r="M34" s="562">
        <f t="shared" si="22"/>
        <v>35.127162575452942</v>
      </c>
      <c r="N34" s="562">
        <f t="shared" si="22"/>
        <v>34.595794201207475</v>
      </c>
      <c r="O34" s="562">
        <f t="shared" si="22"/>
        <v>34.059112143219551</v>
      </c>
      <c r="P34" s="584">
        <f t="shared" si="22"/>
        <v>33.517063264651746</v>
      </c>
    </row>
    <row r="36" spans="2:17" ht="22.5" customHeight="1" x14ac:dyDescent="0.2">
      <c r="B36" s="585" t="s">
        <v>670</v>
      </c>
      <c r="C36" s="586" t="s">
        <v>678</v>
      </c>
      <c r="D36" s="587"/>
      <c r="E36" s="630" t="str">
        <f>E28</f>
        <v>Month</v>
      </c>
      <c r="F36" s="630"/>
      <c r="G36" s="630"/>
      <c r="H36" s="630"/>
      <c r="I36" s="630"/>
      <c r="J36" s="630"/>
      <c r="K36" s="630"/>
      <c r="L36" s="630"/>
      <c r="M36" s="630"/>
      <c r="N36" s="630"/>
      <c r="O36" s="630"/>
      <c r="P36" s="631"/>
    </row>
    <row r="37" spans="2:17" ht="22.5" customHeight="1" x14ac:dyDescent="0.2">
      <c r="B37" s="580" t="str">
        <f>B29</f>
        <v>EMI</v>
      </c>
      <c r="C37" s="576">
        <f>C29</f>
        <v>0.88263999999999998</v>
      </c>
      <c r="E37" s="585">
        <f>E29</f>
        <v>1</v>
      </c>
      <c r="F37" s="586">
        <f t="shared" ref="F37:Q37" si="23">F29</f>
        <v>2</v>
      </c>
      <c r="G37" s="586">
        <f t="shared" si="23"/>
        <v>3</v>
      </c>
      <c r="H37" s="586">
        <f t="shared" si="23"/>
        <v>4</v>
      </c>
      <c r="I37" s="586">
        <f t="shared" si="23"/>
        <v>5</v>
      </c>
      <c r="J37" s="586">
        <f t="shared" si="23"/>
        <v>6</v>
      </c>
      <c r="K37" s="586">
        <f t="shared" si="23"/>
        <v>7</v>
      </c>
      <c r="L37" s="586">
        <f t="shared" si="23"/>
        <v>8</v>
      </c>
      <c r="M37" s="586">
        <f t="shared" si="23"/>
        <v>9</v>
      </c>
      <c r="N37" s="586">
        <f t="shared" si="23"/>
        <v>10</v>
      </c>
      <c r="O37" s="586">
        <f t="shared" si="23"/>
        <v>11</v>
      </c>
      <c r="P37" s="588">
        <f t="shared" si="23"/>
        <v>12</v>
      </c>
      <c r="Q37" s="550" t="str">
        <f t="shared" si="23"/>
        <v>Total</v>
      </c>
    </row>
    <row r="38" spans="2:17" ht="22.5" customHeight="1" x14ac:dyDescent="0.25">
      <c r="B38" s="580" t="str">
        <f>B30</f>
        <v>Loan Amount Outstanding</v>
      </c>
      <c r="E38" s="589">
        <f>P34</f>
        <v>33.517063264651746</v>
      </c>
      <c r="F38" s="551">
        <f t="shared" ref="F38:P38" si="24">E42</f>
        <v>32.96959389729826</v>
      </c>
      <c r="G38" s="551">
        <f t="shared" si="24"/>
        <v>32.41664983627124</v>
      </c>
      <c r="H38" s="551">
        <f t="shared" si="24"/>
        <v>31.858176334633953</v>
      </c>
      <c r="I38" s="551">
        <f t="shared" si="24"/>
        <v>31.294118097980292</v>
      </c>
      <c r="J38" s="551">
        <f t="shared" si="24"/>
        <v>30.724419278960095</v>
      </c>
      <c r="K38" s="551">
        <f t="shared" si="24"/>
        <v>30.149023471749697</v>
      </c>
      <c r="L38" s="551">
        <f t="shared" si="24"/>
        <v>29.567873706467193</v>
      </c>
      <c r="M38" s="551">
        <f t="shared" si="24"/>
        <v>28.980912443531864</v>
      </c>
      <c r="N38" s="551">
        <f t="shared" si="24"/>
        <v>28.388081567967184</v>
      </c>
      <c r="O38" s="551">
        <f t="shared" si="24"/>
        <v>27.789322383646855</v>
      </c>
      <c r="P38" s="581">
        <f t="shared" si="24"/>
        <v>27.184575607483325</v>
      </c>
    </row>
    <row r="39" spans="2:17" ht="22.5" customHeight="1" x14ac:dyDescent="0.25">
      <c r="B39" s="580" t="str">
        <f>B31</f>
        <v>Interest p.a. @</v>
      </c>
      <c r="C39" s="579">
        <f>C31</f>
        <v>0.12</v>
      </c>
      <c r="E39" s="590">
        <f t="shared" ref="E39:P39" si="25">E38*$C39/12</f>
        <v>0.33517063264651742</v>
      </c>
      <c r="F39" s="561">
        <f t="shared" si="25"/>
        <v>0.32969593897298261</v>
      </c>
      <c r="G39" s="561">
        <f t="shared" si="25"/>
        <v>0.32416649836271239</v>
      </c>
      <c r="H39" s="561">
        <f t="shared" si="25"/>
        <v>0.31858176334633953</v>
      </c>
      <c r="I39" s="561">
        <f t="shared" si="25"/>
        <v>0.31294118097980289</v>
      </c>
      <c r="J39" s="561">
        <f t="shared" si="25"/>
        <v>0.30724419278960097</v>
      </c>
      <c r="K39" s="561">
        <f t="shared" si="25"/>
        <v>0.30149023471749697</v>
      </c>
      <c r="L39" s="561">
        <f t="shared" si="25"/>
        <v>0.2956787370646719</v>
      </c>
      <c r="M39" s="561">
        <f t="shared" si="25"/>
        <v>0.28980912443531864</v>
      </c>
      <c r="N39" s="561">
        <f t="shared" si="25"/>
        <v>0.28388081567967183</v>
      </c>
      <c r="O39" s="561">
        <f t="shared" si="25"/>
        <v>0.27789322383646853</v>
      </c>
      <c r="P39" s="582">
        <f t="shared" si="25"/>
        <v>0.27184575607483324</v>
      </c>
      <c r="Q39" s="592">
        <f>SUM(E39:P39)</f>
        <v>3.6483980989064171</v>
      </c>
    </row>
    <row r="40" spans="2:17" ht="22.5" customHeight="1" x14ac:dyDescent="0.25">
      <c r="B40" s="580"/>
      <c r="E40" s="589">
        <f>E38</f>
        <v>33.517063264651746</v>
      </c>
      <c r="F40" s="551">
        <f t="shared" ref="F40:P40" si="26">F38</f>
        <v>32.96959389729826</v>
      </c>
      <c r="G40" s="551">
        <f t="shared" si="26"/>
        <v>32.41664983627124</v>
      </c>
      <c r="H40" s="551">
        <f t="shared" si="26"/>
        <v>31.858176334633953</v>
      </c>
      <c r="I40" s="551">
        <f t="shared" si="26"/>
        <v>31.294118097980292</v>
      </c>
      <c r="J40" s="551">
        <f t="shared" si="26"/>
        <v>30.724419278960095</v>
      </c>
      <c r="K40" s="551">
        <f t="shared" si="26"/>
        <v>30.149023471749697</v>
      </c>
      <c r="L40" s="551">
        <f t="shared" si="26"/>
        <v>29.567873706467193</v>
      </c>
      <c r="M40" s="551">
        <f t="shared" si="26"/>
        <v>28.980912443531864</v>
      </c>
      <c r="N40" s="551">
        <f t="shared" si="26"/>
        <v>28.388081567967184</v>
      </c>
      <c r="O40" s="551">
        <f t="shared" si="26"/>
        <v>27.789322383646855</v>
      </c>
      <c r="P40" s="581">
        <f t="shared" si="26"/>
        <v>27.184575607483325</v>
      </c>
    </row>
    <row r="41" spans="2:17" ht="22.5" customHeight="1" x14ac:dyDescent="0.25">
      <c r="B41" s="580" t="str">
        <f>B33</f>
        <v>Less: Repayment of Loan</v>
      </c>
      <c r="E41" s="589">
        <f>$C37-E39</f>
        <v>0.54746936735348251</v>
      </c>
      <c r="F41" s="551">
        <f t="shared" ref="F41:P41" si="27">$C37-F39</f>
        <v>0.55294406102701732</v>
      </c>
      <c r="G41" s="551">
        <f t="shared" si="27"/>
        <v>0.55847350163728759</v>
      </c>
      <c r="H41" s="551">
        <f t="shared" si="27"/>
        <v>0.56405823665366039</v>
      </c>
      <c r="I41" s="551">
        <f t="shared" si="27"/>
        <v>0.56969881902019703</v>
      </c>
      <c r="J41" s="551">
        <f t="shared" si="27"/>
        <v>0.57539580721039907</v>
      </c>
      <c r="K41" s="551">
        <f t="shared" si="27"/>
        <v>0.58114976528250306</v>
      </c>
      <c r="L41" s="551">
        <f t="shared" si="27"/>
        <v>0.58696126293532802</v>
      </c>
      <c r="M41" s="551">
        <f t="shared" si="27"/>
        <v>0.59283087556468139</v>
      </c>
      <c r="N41" s="551">
        <f t="shared" si="27"/>
        <v>0.59875918432032815</v>
      </c>
      <c r="O41" s="551">
        <f t="shared" si="27"/>
        <v>0.60474677616353145</v>
      </c>
      <c r="P41" s="581">
        <f t="shared" si="27"/>
        <v>0.61079424392516679</v>
      </c>
      <c r="Q41" s="592">
        <f>SUM(E41:P41)</f>
        <v>6.9432819010935827</v>
      </c>
    </row>
    <row r="42" spans="2:17" ht="22.5" customHeight="1" x14ac:dyDescent="0.2">
      <c r="B42" s="583" t="str">
        <f>B34</f>
        <v>Balance</v>
      </c>
      <c r="C42" s="548"/>
      <c r="D42" s="548"/>
      <c r="E42" s="591">
        <f t="shared" ref="E42:P42" si="28">SUM(E40-E41)</f>
        <v>32.96959389729826</v>
      </c>
      <c r="F42" s="562">
        <f t="shared" si="28"/>
        <v>32.41664983627124</v>
      </c>
      <c r="G42" s="562">
        <f t="shared" si="28"/>
        <v>31.858176334633953</v>
      </c>
      <c r="H42" s="562">
        <f t="shared" si="28"/>
        <v>31.294118097980292</v>
      </c>
      <c r="I42" s="562">
        <f t="shared" si="28"/>
        <v>30.724419278960095</v>
      </c>
      <c r="J42" s="562">
        <f t="shared" si="28"/>
        <v>30.149023471749697</v>
      </c>
      <c r="K42" s="562">
        <f t="shared" si="28"/>
        <v>29.567873706467193</v>
      </c>
      <c r="L42" s="562">
        <f t="shared" si="28"/>
        <v>28.980912443531864</v>
      </c>
      <c r="M42" s="562">
        <f t="shared" si="28"/>
        <v>28.388081567967184</v>
      </c>
      <c r="N42" s="562">
        <f t="shared" si="28"/>
        <v>27.789322383646855</v>
      </c>
      <c r="O42" s="562">
        <f t="shared" si="28"/>
        <v>27.184575607483325</v>
      </c>
      <c r="P42" s="584">
        <f t="shared" si="28"/>
        <v>26.573781363558158</v>
      </c>
    </row>
    <row r="44" spans="2:17" ht="22.5" customHeight="1" x14ac:dyDescent="0.2">
      <c r="B44" s="585" t="s">
        <v>670</v>
      </c>
      <c r="C44" s="586" t="s">
        <v>679</v>
      </c>
      <c r="D44" s="587"/>
      <c r="E44" s="630" t="str">
        <f>E36</f>
        <v>Month</v>
      </c>
      <c r="F44" s="630"/>
      <c r="G44" s="630"/>
      <c r="H44" s="630"/>
      <c r="I44" s="630"/>
      <c r="J44" s="630"/>
      <c r="K44" s="630"/>
      <c r="L44" s="630"/>
      <c r="M44" s="630"/>
      <c r="N44" s="630"/>
      <c r="O44" s="630"/>
      <c r="P44" s="631"/>
    </row>
    <row r="45" spans="2:17" ht="22.5" customHeight="1" x14ac:dyDescent="0.2">
      <c r="B45" s="580" t="str">
        <f>B37</f>
        <v>EMI</v>
      </c>
      <c r="C45" s="576">
        <f>C37</f>
        <v>0.88263999999999998</v>
      </c>
      <c r="E45" s="585">
        <f>E37</f>
        <v>1</v>
      </c>
      <c r="F45" s="586">
        <f t="shared" ref="F45:Q45" si="29">F37</f>
        <v>2</v>
      </c>
      <c r="G45" s="586">
        <f t="shared" si="29"/>
        <v>3</v>
      </c>
      <c r="H45" s="586">
        <f t="shared" si="29"/>
        <v>4</v>
      </c>
      <c r="I45" s="586">
        <f t="shared" si="29"/>
        <v>5</v>
      </c>
      <c r="J45" s="586">
        <f t="shared" si="29"/>
        <v>6</v>
      </c>
      <c r="K45" s="586">
        <f t="shared" si="29"/>
        <v>7</v>
      </c>
      <c r="L45" s="586">
        <f t="shared" si="29"/>
        <v>8</v>
      </c>
      <c r="M45" s="586">
        <f t="shared" si="29"/>
        <v>9</v>
      </c>
      <c r="N45" s="586">
        <f t="shared" si="29"/>
        <v>10</v>
      </c>
      <c r="O45" s="586">
        <f t="shared" si="29"/>
        <v>11</v>
      </c>
      <c r="P45" s="588">
        <f t="shared" si="29"/>
        <v>12</v>
      </c>
      <c r="Q45" s="550" t="str">
        <f t="shared" si="29"/>
        <v>Total</v>
      </c>
    </row>
    <row r="46" spans="2:17" ht="22.5" customHeight="1" x14ac:dyDescent="0.25">
      <c r="B46" s="580" t="str">
        <f>B38</f>
        <v>Loan Amount Outstanding</v>
      </c>
      <c r="E46" s="589">
        <f>P42</f>
        <v>26.573781363558158</v>
      </c>
      <c r="F46" s="551">
        <f t="shared" ref="F46:P46" si="30">E50</f>
        <v>25.956879177193741</v>
      </c>
      <c r="G46" s="551">
        <f t="shared" si="30"/>
        <v>25.333807968965679</v>
      </c>
      <c r="H46" s="551">
        <f t="shared" si="30"/>
        <v>24.704506048655336</v>
      </c>
      <c r="I46" s="551">
        <f t="shared" si="30"/>
        <v>24.06891110914189</v>
      </c>
      <c r="J46" s="551">
        <f t="shared" si="30"/>
        <v>23.426960220233308</v>
      </c>
      <c r="K46" s="551">
        <f t="shared" si="30"/>
        <v>22.778589822435642</v>
      </c>
      <c r="L46" s="551">
        <f t="shared" si="30"/>
        <v>22.123735720659997</v>
      </c>
      <c r="M46" s="551">
        <f t="shared" si="30"/>
        <v>21.462333077866596</v>
      </c>
      <c r="N46" s="551">
        <f t="shared" si="30"/>
        <v>20.794316408645262</v>
      </c>
      <c r="O46" s="551">
        <f t="shared" si="30"/>
        <v>20.119619572731715</v>
      </c>
      <c r="P46" s="581">
        <f t="shared" si="30"/>
        <v>19.438175768459033</v>
      </c>
    </row>
    <row r="47" spans="2:17" ht="22.5" customHeight="1" x14ac:dyDescent="0.25">
      <c r="B47" s="580" t="str">
        <f>B39</f>
        <v>Interest p.a. @</v>
      </c>
      <c r="C47" s="579">
        <f>C39</f>
        <v>0.12</v>
      </c>
      <c r="E47" s="590">
        <f t="shared" ref="E47:P47" si="31">E46*$C47/12</f>
        <v>0.26573781363558158</v>
      </c>
      <c r="F47" s="561">
        <f t="shared" si="31"/>
        <v>0.25956879177193742</v>
      </c>
      <c r="G47" s="561">
        <f t="shared" si="31"/>
        <v>0.25333807968965677</v>
      </c>
      <c r="H47" s="561">
        <f t="shared" si="31"/>
        <v>0.24704506048655336</v>
      </c>
      <c r="I47" s="561">
        <f t="shared" si="31"/>
        <v>0.24068911109141888</v>
      </c>
      <c r="J47" s="561">
        <f t="shared" si="31"/>
        <v>0.23426960220233306</v>
      </c>
      <c r="K47" s="561">
        <f t="shared" si="31"/>
        <v>0.22778589822435638</v>
      </c>
      <c r="L47" s="561">
        <f t="shared" si="31"/>
        <v>0.22123735720659998</v>
      </c>
      <c r="M47" s="561">
        <f t="shared" si="31"/>
        <v>0.21462333077866594</v>
      </c>
      <c r="N47" s="561">
        <f t="shared" si="31"/>
        <v>0.20794316408645261</v>
      </c>
      <c r="O47" s="561">
        <f t="shared" si="31"/>
        <v>0.20119619572731715</v>
      </c>
      <c r="P47" s="582">
        <f t="shared" si="31"/>
        <v>0.19438175768459032</v>
      </c>
      <c r="Q47" s="592">
        <f>SUM(E47:P47)</f>
        <v>2.7678161625854631</v>
      </c>
    </row>
    <row r="48" spans="2:17" ht="22.5" customHeight="1" x14ac:dyDescent="0.25">
      <c r="B48" s="580"/>
      <c r="E48" s="589">
        <f>E46</f>
        <v>26.573781363558158</v>
      </c>
      <c r="F48" s="551">
        <f t="shared" ref="F48:P48" si="32">F46</f>
        <v>25.956879177193741</v>
      </c>
      <c r="G48" s="551">
        <f t="shared" si="32"/>
        <v>25.333807968965679</v>
      </c>
      <c r="H48" s="551">
        <f t="shared" si="32"/>
        <v>24.704506048655336</v>
      </c>
      <c r="I48" s="551">
        <f t="shared" si="32"/>
        <v>24.06891110914189</v>
      </c>
      <c r="J48" s="551">
        <f t="shared" si="32"/>
        <v>23.426960220233308</v>
      </c>
      <c r="K48" s="551">
        <f t="shared" si="32"/>
        <v>22.778589822435642</v>
      </c>
      <c r="L48" s="551">
        <f t="shared" si="32"/>
        <v>22.123735720659997</v>
      </c>
      <c r="M48" s="551">
        <f t="shared" si="32"/>
        <v>21.462333077866596</v>
      </c>
      <c r="N48" s="551">
        <f t="shared" si="32"/>
        <v>20.794316408645262</v>
      </c>
      <c r="O48" s="551">
        <f t="shared" si="32"/>
        <v>20.119619572731715</v>
      </c>
      <c r="P48" s="581">
        <f t="shared" si="32"/>
        <v>19.438175768459033</v>
      </c>
    </row>
    <row r="49" spans="2:17" ht="22.5" customHeight="1" x14ac:dyDescent="0.25">
      <c r="B49" s="580" t="str">
        <f>B41</f>
        <v>Less: Repayment of Loan</v>
      </c>
      <c r="E49" s="589">
        <f>$C45-E47</f>
        <v>0.6169021863644184</v>
      </c>
      <c r="F49" s="551">
        <f t="shared" ref="F49:P49" si="33">$C45-F47</f>
        <v>0.6230712082280625</v>
      </c>
      <c r="G49" s="551">
        <f t="shared" si="33"/>
        <v>0.62930192031034315</v>
      </c>
      <c r="H49" s="551">
        <f t="shared" si="33"/>
        <v>0.63559493951344659</v>
      </c>
      <c r="I49" s="551">
        <f t="shared" si="33"/>
        <v>0.6419508889085811</v>
      </c>
      <c r="J49" s="551">
        <f t="shared" si="33"/>
        <v>0.64837039779766692</v>
      </c>
      <c r="K49" s="551">
        <f t="shared" si="33"/>
        <v>0.65485410177564363</v>
      </c>
      <c r="L49" s="551">
        <f t="shared" si="33"/>
        <v>0.6614026427934</v>
      </c>
      <c r="M49" s="551">
        <f t="shared" si="33"/>
        <v>0.66801666922133407</v>
      </c>
      <c r="N49" s="551">
        <f t="shared" si="33"/>
        <v>0.67469683591354734</v>
      </c>
      <c r="O49" s="551">
        <f t="shared" si="33"/>
        <v>0.68144380427268281</v>
      </c>
      <c r="P49" s="581">
        <f t="shared" si="33"/>
        <v>0.68825824231540966</v>
      </c>
      <c r="Q49" s="592">
        <f>SUM(E49:P49)</f>
        <v>7.8238638374145353</v>
      </c>
    </row>
    <row r="50" spans="2:17" ht="22.5" customHeight="1" x14ac:dyDescent="0.2">
      <c r="B50" s="583" t="str">
        <f>B42</f>
        <v>Balance</v>
      </c>
      <c r="C50" s="548"/>
      <c r="D50" s="548"/>
      <c r="E50" s="591">
        <f t="shared" ref="E50:P50" si="34">SUM(E48-E49)</f>
        <v>25.956879177193741</v>
      </c>
      <c r="F50" s="562">
        <f t="shared" si="34"/>
        <v>25.333807968965679</v>
      </c>
      <c r="G50" s="562">
        <f t="shared" si="34"/>
        <v>24.704506048655336</v>
      </c>
      <c r="H50" s="562">
        <f t="shared" si="34"/>
        <v>24.06891110914189</v>
      </c>
      <c r="I50" s="562">
        <f t="shared" si="34"/>
        <v>23.426960220233308</v>
      </c>
      <c r="J50" s="562">
        <f t="shared" si="34"/>
        <v>22.778589822435642</v>
      </c>
      <c r="K50" s="562">
        <f t="shared" si="34"/>
        <v>22.123735720659997</v>
      </c>
      <c r="L50" s="562">
        <f t="shared" si="34"/>
        <v>21.462333077866596</v>
      </c>
      <c r="M50" s="562">
        <f t="shared" si="34"/>
        <v>20.794316408645262</v>
      </c>
      <c r="N50" s="562">
        <f t="shared" si="34"/>
        <v>20.119619572731715</v>
      </c>
      <c r="O50" s="562">
        <f t="shared" si="34"/>
        <v>19.438175768459033</v>
      </c>
      <c r="P50" s="584">
        <f t="shared" si="34"/>
        <v>18.749917526143623</v>
      </c>
    </row>
    <row r="52" spans="2:17" ht="22.5" customHeight="1" x14ac:dyDescent="0.2">
      <c r="B52" s="585" t="s">
        <v>670</v>
      </c>
      <c r="C52" s="586" t="s">
        <v>680</v>
      </c>
      <c r="D52" s="587"/>
      <c r="E52" s="630" t="str">
        <f>E44</f>
        <v>Month</v>
      </c>
      <c r="F52" s="630"/>
      <c r="G52" s="630"/>
      <c r="H52" s="630"/>
      <c r="I52" s="630"/>
      <c r="J52" s="630"/>
      <c r="K52" s="630"/>
      <c r="L52" s="630"/>
      <c r="M52" s="630"/>
      <c r="N52" s="630"/>
      <c r="O52" s="630"/>
      <c r="P52" s="631"/>
    </row>
    <row r="53" spans="2:17" ht="22.5" customHeight="1" x14ac:dyDescent="0.2">
      <c r="B53" s="580" t="str">
        <f>B45</f>
        <v>EMI</v>
      </c>
      <c r="C53" s="576">
        <f>C45</f>
        <v>0.88263999999999998</v>
      </c>
      <c r="E53" s="585">
        <f>E45</f>
        <v>1</v>
      </c>
      <c r="F53" s="586">
        <f t="shared" ref="F53:Q53" si="35">F45</f>
        <v>2</v>
      </c>
      <c r="G53" s="586">
        <f t="shared" si="35"/>
        <v>3</v>
      </c>
      <c r="H53" s="586">
        <f t="shared" si="35"/>
        <v>4</v>
      </c>
      <c r="I53" s="586">
        <f t="shared" si="35"/>
        <v>5</v>
      </c>
      <c r="J53" s="586">
        <f t="shared" si="35"/>
        <v>6</v>
      </c>
      <c r="K53" s="586">
        <f t="shared" si="35"/>
        <v>7</v>
      </c>
      <c r="L53" s="586">
        <f t="shared" si="35"/>
        <v>8</v>
      </c>
      <c r="M53" s="586">
        <f t="shared" si="35"/>
        <v>9</v>
      </c>
      <c r="N53" s="586">
        <f t="shared" si="35"/>
        <v>10</v>
      </c>
      <c r="O53" s="586">
        <f t="shared" si="35"/>
        <v>11</v>
      </c>
      <c r="P53" s="588">
        <f t="shared" si="35"/>
        <v>12</v>
      </c>
      <c r="Q53" s="550" t="str">
        <f t="shared" si="35"/>
        <v>Total</v>
      </c>
    </row>
    <row r="54" spans="2:17" ht="22.5" customHeight="1" x14ac:dyDescent="0.25">
      <c r="B54" s="580" t="str">
        <f>B46</f>
        <v>Loan Amount Outstanding</v>
      </c>
      <c r="E54" s="589">
        <f>P50</f>
        <v>18.749917526143623</v>
      </c>
      <c r="F54" s="551">
        <f t="shared" ref="F54:P54" si="36">E58</f>
        <v>18.054776701405061</v>
      </c>
      <c r="G54" s="551">
        <f t="shared" si="36"/>
        <v>17.35268446841911</v>
      </c>
      <c r="H54" s="551">
        <f t="shared" si="36"/>
        <v>16.643571313103301</v>
      </c>
      <c r="I54" s="551">
        <f t="shared" si="36"/>
        <v>15.927367026234334</v>
      </c>
      <c r="J54" s="551">
        <f t="shared" si="36"/>
        <v>15.204000696496678</v>
      </c>
      <c r="K54" s="551">
        <f t="shared" si="36"/>
        <v>14.473400703461644</v>
      </c>
      <c r="L54" s="551">
        <f t="shared" si="36"/>
        <v>13.73549471049626</v>
      </c>
      <c r="M54" s="551">
        <f t="shared" si="36"/>
        <v>12.990209657601223</v>
      </c>
      <c r="N54" s="551">
        <f t="shared" si="36"/>
        <v>12.237471754177236</v>
      </c>
      <c r="O54" s="551">
        <f t="shared" si="36"/>
        <v>11.477206471719008</v>
      </c>
      <c r="P54" s="581">
        <f t="shared" si="36"/>
        <v>10.709338536436197</v>
      </c>
    </row>
    <row r="55" spans="2:17" ht="22.5" customHeight="1" x14ac:dyDescent="0.25">
      <c r="B55" s="580" t="str">
        <f>B47</f>
        <v>Interest p.a. @</v>
      </c>
      <c r="C55" s="579">
        <f>C47</f>
        <v>0.12</v>
      </c>
      <c r="E55" s="590">
        <f t="shared" ref="E55:P55" si="37">E54*$C55/12</f>
        <v>0.18749917526143622</v>
      </c>
      <c r="F55" s="561">
        <f t="shared" si="37"/>
        <v>0.18054776701405059</v>
      </c>
      <c r="G55" s="561">
        <f t="shared" si="37"/>
        <v>0.17352684468419111</v>
      </c>
      <c r="H55" s="561">
        <f t="shared" si="37"/>
        <v>0.166435713131033</v>
      </c>
      <c r="I55" s="561">
        <f t="shared" si="37"/>
        <v>0.15927367026234332</v>
      </c>
      <c r="J55" s="561">
        <f t="shared" si="37"/>
        <v>0.15204000696496678</v>
      </c>
      <c r="K55" s="561">
        <f t="shared" si="37"/>
        <v>0.14473400703461645</v>
      </c>
      <c r="L55" s="561">
        <f t="shared" si="37"/>
        <v>0.1373549471049626</v>
      </c>
      <c r="M55" s="561">
        <f t="shared" si="37"/>
        <v>0.12990209657601223</v>
      </c>
      <c r="N55" s="561">
        <f t="shared" si="37"/>
        <v>0.12237471754177236</v>
      </c>
      <c r="O55" s="561">
        <f t="shared" si="37"/>
        <v>0.11477206471719008</v>
      </c>
      <c r="P55" s="582">
        <f t="shared" si="37"/>
        <v>0.10709338536436197</v>
      </c>
      <c r="Q55" s="592">
        <f>SUM(E55:P55)</f>
        <v>1.7755543956569371</v>
      </c>
    </row>
    <row r="56" spans="2:17" ht="22.5" customHeight="1" x14ac:dyDescent="0.25">
      <c r="B56" s="580"/>
      <c r="E56" s="589">
        <f>E54</f>
        <v>18.749917526143623</v>
      </c>
      <c r="F56" s="551">
        <f t="shared" ref="F56:P56" si="38">F54</f>
        <v>18.054776701405061</v>
      </c>
      <c r="G56" s="551">
        <f t="shared" si="38"/>
        <v>17.35268446841911</v>
      </c>
      <c r="H56" s="551">
        <f t="shared" si="38"/>
        <v>16.643571313103301</v>
      </c>
      <c r="I56" s="551">
        <f t="shared" si="38"/>
        <v>15.927367026234334</v>
      </c>
      <c r="J56" s="551">
        <f t="shared" si="38"/>
        <v>15.204000696496678</v>
      </c>
      <c r="K56" s="551">
        <f t="shared" si="38"/>
        <v>14.473400703461644</v>
      </c>
      <c r="L56" s="551">
        <f t="shared" si="38"/>
        <v>13.73549471049626</v>
      </c>
      <c r="M56" s="551">
        <f t="shared" si="38"/>
        <v>12.990209657601223</v>
      </c>
      <c r="N56" s="551">
        <f t="shared" si="38"/>
        <v>12.237471754177236</v>
      </c>
      <c r="O56" s="551">
        <f t="shared" si="38"/>
        <v>11.477206471719008</v>
      </c>
      <c r="P56" s="581">
        <f t="shared" si="38"/>
        <v>10.709338536436197</v>
      </c>
    </row>
    <row r="57" spans="2:17" ht="22.5" customHeight="1" x14ac:dyDescent="0.25">
      <c r="B57" s="580" t="str">
        <f>B49</f>
        <v>Less: Repayment of Loan</v>
      </c>
      <c r="E57" s="589">
        <f>$C53-E55</f>
        <v>0.69514082473856376</v>
      </c>
      <c r="F57" s="551">
        <f t="shared" ref="F57:P57" si="39">$C53-F55</f>
        <v>0.70209223298594936</v>
      </c>
      <c r="G57" s="551">
        <f t="shared" si="39"/>
        <v>0.70911315531580887</v>
      </c>
      <c r="H57" s="551">
        <f t="shared" si="39"/>
        <v>0.71620428686896698</v>
      </c>
      <c r="I57" s="551">
        <f t="shared" si="39"/>
        <v>0.72336632973765669</v>
      </c>
      <c r="J57" s="551">
        <f t="shared" si="39"/>
        <v>0.7305999930350332</v>
      </c>
      <c r="K57" s="551">
        <f t="shared" si="39"/>
        <v>0.73790599296538351</v>
      </c>
      <c r="L57" s="551">
        <f t="shared" si="39"/>
        <v>0.74528505289503744</v>
      </c>
      <c r="M57" s="551">
        <f t="shared" si="39"/>
        <v>0.75273790342398772</v>
      </c>
      <c r="N57" s="551">
        <f t="shared" si="39"/>
        <v>0.76026528245822766</v>
      </c>
      <c r="O57" s="551">
        <f t="shared" si="39"/>
        <v>0.76786793528280994</v>
      </c>
      <c r="P57" s="581">
        <f t="shared" si="39"/>
        <v>0.77554661463563801</v>
      </c>
      <c r="Q57" s="592">
        <f>SUM(E57:P57)</f>
        <v>8.816125604343064</v>
      </c>
    </row>
    <row r="58" spans="2:17" ht="22.5" customHeight="1" x14ac:dyDescent="0.2">
      <c r="B58" s="583" t="str">
        <f>B50</f>
        <v>Balance</v>
      </c>
      <c r="C58" s="548"/>
      <c r="D58" s="548"/>
      <c r="E58" s="591">
        <f t="shared" ref="E58:P58" si="40">SUM(E56-E57)</f>
        <v>18.054776701405061</v>
      </c>
      <c r="F58" s="562">
        <f t="shared" si="40"/>
        <v>17.35268446841911</v>
      </c>
      <c r="G58" s="562">
        <f t="shared" si="40"/>
        <v>16.643571313103301</v>
      </c>
      <c r="H58" s="562">
        <f t="shared" si="40"/>
        <v>15.927367026234334</v>
      </c>
      <c r="I58" s="562">
        <f t="shared" si="40"/>
        <v>15.204000696496678</v>
      </c>
      <c r="J58" s="562">
        <f t="shared" si="40"/>
        <v>14.473400703461644</v>
      </c>
      <c r="K58" s="562">
        <f t="shared" si="40"/>
        <v>13.73549471049626</v>
      </c>
      <c r="L58" s="562">
        <f t="shared" si="40"/>
        <v>12.990209657601223</v>
      </c>
      <c r="M58" s="562">
        <f t="shared" si="40"/>
        <v>12.237471754177236</v>
      </c>
      <c r="N58" s="562">
        <f t="shared" si="40"/>
        <v>11.477206471719008</v>
      </c>
      <c r="O58" s="562">
        <f t="shared" si="40"/>
        <v>10.709338536436197</v>
      </c>
      <c r="P58" s="584">
        <f t="shared" si="40"/>
        <v>9.9337919218005588</v>
      </c>
    </row>
    <row r="60" spans="2:17" ht="22.5" customHeight="1" x14ac:dyDescent="0.2">
      <c r="B60" s="585" t="s">
        <v>670</v>
      </c>
      <c r="C60" s="586" t="s">
        <v>681</v>
      </c>
      <c r="D60" s="587"/>
      <c r="E60" s="630" t="str">
        <f>E52</f>
        <v>Month</v>
      </c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1"/>
    </row>
    <row r="61" spans="2:17" ht="22.5" customHeight="1" x14ac:dyDescent="0.2">
      <c r="B61" s="580" t="str">
        <f>B53</f>
        <v>EMI</v>
      </c>
      <c r="C61" s="576">
        <f>C53</f>
        <v>0.88263999999999998</v>
      </c>
      <c r="E61" s="585">
        <f>E53</f>
        <v>1</v>
      </c>
      <c r="F61" s="586">
        <f t="shared" ref="F61:Q61" si="41">F53</f>
        <v>2</v>
      </c>
      <c r="G61" s="586">
        <f t="shared" si="41"/>
        <v>3</v>
      </c>
      <c r="H61" s="586">
        <f t="shared" si="41"/>
        <v>4</v>
      </c>
      <c r="I61" s="586">
        <f t="shared" si="41"/>
        <v>5</v>
      </c>
      <c r="J61" s="586">
        <f t="shared" si="41"/>
        <v>6</v>
      </c>
      <c r="K61" s="586">
        <f t="shared" si="41"/>
        <v>7</v>
      </c>
      <c r="L61" s="586">
        <f t="shared" si="41"/>
        <v>8</v>
      </c>
      <c r="M61" s="586">
        <f t="shared" si="41"/>
        <v>9</v>
      </c>
      <c r="N61" s="586">
        <f t="shared" si="41"/>
        <v>10</v>
      </c>
      <c r="O61" s="586">
        <f t="shared" si="41"/>
        <v>11</v>
      </c>
      <c r="P61" s="588">
        <f t="shared" si="41"/>
        <v>12</v>
      </c>
      <c r="Q61" s="550" t="str">
        <f t="shared" si="41"/>
        <v>Total</v>
      </c>
    </row>
    <row r="62" spans="2:17" ht="22.5" customHeight="1" x14ac:dyDescent="0.25">
      <c r="B62" s="580" t="str">
        <f>B54</f>
        <v>Loan Amount Outstanding</v>
      </c>
      <c r="E62" s="589">
        <f>P58</f>
        <v>9.9337919218005588</v>
      </c>
      <c r="F62" s="551">
        <f t="shared" ref="F62:P62" si="42">E66</f>
        <v>9.1504898410185653</v>
      </c>
      <c r="G62" s="551">
        <f t="shared" si="42"/>
        <v>8.3593547394287508</v>
      </c>
      <c r="H62" s="551">
        <f t="shared" si="42"/>
        <v>7.5603082868230382</v>
      </c>
      <c r="I62" s="551">
        <f t="shared" si="42"/>
        <v>6.7532713696912685</v>
      </c>
      <c r="J62" s="551">
        <f t="shared" si="42"/>
        <v>5.9381640833881812</v>
      </c>
      <c r="K62" s="551">
        <f t="shared" si="42"/>
        <v>5.114905724222063</v>
      </c>
      <c r="L62" s="551">
        <f t="shared" si="42"/>
        <v>4.283414781464284</v>
      </c>
      <c r="M62" s="551">
        <f t="shared" si="42"/>
        <v>3.4436089292789269</v>
      </c>
      <c r="N62" s="551">
        <f t="shared" si="42"/>
        <v>2.5954050185717161</v>
      </c>
      <c r="O62" s="551">
        <f t="shared" si="42"/>
        <v>1.7387190687574332</v>
      </c>
      <c r="P62" s="581">
        <f t="shared" si="42"/>
        <v>0.87346625944500755</v>
      </c>
    </row>
    <row r="63" spans="2:17" ht="22.5" customHeight="1" x14ac:dyDescent="0.25">
      <c r="B63" s="580" t="str">
        <f>B55</f>
        <v>Interest p.a. @</v>
      </c>
      <c r="C63" s="579">
        <f>C55</f>
        <v>0.12</v>
      </c>
      <c r="E63" s="590">
        <f t="shared" ref="E63:P63" si="43">E62*$C63/12</f>
        <v>9.9337919218005596E-2</v>
      </c>
      <c r="F63" s="561">
        <f t="shared" si="43"/>
        <v>9.1504898410185651E-2</v>
      </c>
      <c r="G63" s="561">
        <f t="shared" si="43"/>
        <v>8.3593547394287496E-2</v>
      </c>
      <c r="H63" s="561">
        <f t="shared" si="43"/>
        <v>7.5603082868230378E-2</v>
      </c>
      <c r="I63" s="561">
        <f t="shared" si="43"/>
        <v>6.7532713696912675E-2</v>
      </c>
      <c r="J63" s="561">
        <f t="shared" si="43"/>
        <v>5.938164083388181E-2</v>
      </c>
      <c r="K63" s="561">
        <f t="shared" si="43"/>
        <v>5.114905724222063E-2</v>
      </c>
      <c r="L63" s="561">
        <f t="shared" si="43"/>
        <v>4.2834147814642842E-2</v>
      </c>
      <c r="M63" s="561">
        <f t="shared" si="43"/>
        <v>3.4436089292789268E-2</v>
      </c>
      <c r="N63" s="561">
        <f t="shared" si="43"/>
        <v>2.595405018571716E-2</v>
      </c>
      <c r="O63" s="561">
        <f t="shared" si="43"/>
        <v>1.7387190687574331E-2</v>
      </c>
      <c r="P63" s="582">
        <f t="shared" si="43"/>
        <v>8.7346625944500749E-3</v>
      </c>
      <c r="Q63" s="592">
        <f>SUM(E63:P63)</f>
        <v>0.65744900023889796</v>
      </c>
    </row>
    <row r="64" spans="2:17" ht="22.5" customHeight="1" x14ac:dyDescent="0.25">
      <c r="B64" s="580"/>
      <c r="E64" s="589">
        <f>E62</f>
        <v>9.9337919218005588</v>
      </c>
      <c r="F64" s="551">
        <f t="shared" ref="F64:P64" si="44">F62</f>
        <v>9.1504898410185653</v>
      </c>
      <c r="G64" s="551">
        <f t="shared" si="44"/>
        <v>8.3593547394287508</v>
      </c>
      <c r="H64" s="551">
        <f t="shared" si="44"/>
        <v>7.5603082868230382</v>
      </c>
      <c r="I64" s="551">
        <f t="shared" si="44"/>
        <v>6.7532713696912685</v>
      </c>
      <c r="J64" s="551">
        <f t="shared" si="44"/>
        <v>5.9381640833881812</v>
      </c>
      <c r="K64" s="551">
        <f t="shared" si="44"/>
        <v>5.114905724222063</v>
      </c>
      <c r="L64" s="551">
        <f t="shared" si="44"/>
        <v>4.283414781464284</v>
      </c>
      <c r="M64" s="551">
        <f t="shared" si="44"/>
        <v>3.4436089292789269</v>
      </c>
      <c r="N64" s="551">
        <f t="shared" si="44"/>
        <v>2.5954050185717161</v>
      </c>
      <c r="O64" s="551">
        <f t="shared" si="44"/>
        <v>1.7387190687574332</v>
      </c>
      <c r="P64" s="581">
        <f t="shared" si="44"/>
        <v>0.87346625944500755</v>
      </c>
    </row>
    <row r="65" spans="2:17" ht="22.5" customHeight="1" x14ac:dyDescent="0.25">
      <c r="B65" s="580" t="str">
        <f>B57</f>
        <v>Less: Repayment of Loan</v>
      </c>
      <c r="E65" s="589">
        <f>$C61-E63</f>
        <v>0.78330208078199437</v>
      </c>
      <c r="F65" s="551">
        <f>$C61-F63</f>
        <v>0.79113510158981437</v>
      </c>
      <c r="G65" s="551">
        <f>$C61-G63</f>
        <v>0.7990464526057125</v>
      </c>
      <c r="H65" s="551">
        <f t="shared" ref="H65:P65" si="45">$C61-H63</f>
        <v>0.80703691713176962</v>
      </c>
      <c r="I65" s="551">
        <f t="shared" si="45"/>
        <v>0.81510728630308726</v>
      </c>
      <c r="J65" s="551">
        <f t="shared" si="45"/>
        <v>0.82325835916611823</v>
      </c>
      <c r="K65" s="551">
        <f t="shared" si="45"/>
        <v>0.83149094275777935</v>
      </c>
      <c r="L65" s="551">
        <f t="shared" si="45"/>
        <v>0.83980585218535708</v>
      </c>
      <c r="M65" s="551">
        <f t="shared" si="45"/>
        <v>0.84820391070721068</v>
      </c>
      <c r="N65" s="551">
        <f t="shared" si="45"/>
        <v>0.85668594981428281</v>
      </c>
      <c r="O65" s="551">
        <f t="shared" si="45"/>
        <v>0.86525280931242565</v>
      </c>
      <c r="P65" s="582">
        <f t="shared" si="45"/>
        <v>0.87390533740554988</v>
      </c>
      <c r="Q65" s="592">
        <f>SUM(E65:P65)</f>
        <v>9.9342309997611</v>
      </c>
    </row>
    <row r="66" spans="2:17" ht="22.5" customHeight="1" x14ac:dyDescent="0.2">
      <c r="B66" s="583" t="str">
        <f>B58</f>
        <v>Balance</v>
      </c>
      <c r="C66" s="548"/>
      <c r="D66" s="548"/>
      <c r="E66" s="591">
        <f t="shared" ref="E66:P66" si="46">SUM(E64-E65)</f>
        <v>9.1504898410185653</v>
      </c>
      <c r="F66" s="562">
        <f t="shared" si="46"/>
        <v>8.3593547394287508</v>
      </c>
      <c r="G66" s="562">
        <f t="shared" si="46"/>
        <v>7.5603082868230382</v>
      </c>
      <c r="H66" s="562">
        <f t="shared" si="46"/>
        <v>6.7532713696912685</v>
      </c>
      <c r="I66" s="562">
        <f t="shared" si="46"/>
        <v>5.9381640833881812</v>
      </c>
      <c r="J66" s="562">
        <f t="shared" si="46"/>
        <v>5.114905724222063</v>
      </c>
      <c r="K66" s="562">
        <f t="shared" si="46"/>
        <v>4.283414781464284</v>
      </c>
      <c r="L66" s="562">
        <f t="shared" si="46"/>
        <v>3.4436089292789269</v>
      </c>
      <c r="M66" s="562">
        <f t="shared" si="46"/>
        <v>2.5954050185717161</v>
      </c>
      <c r="N66" s="562">
        <f t="shared" si="46"/>
        <v>1.7387190687574332</v>
      </c>
      <c r="O66" s="562">
        <f t="shared" si="46"/>
        <v>0.87346625944500755</v>
      </c>
      <c r="P66" s="584">
        <f t="shared" si="46"/>
        <v>-4.3907796054232229E-4</v>
      </c>
    </row>
  </sheetData>
  <mergeCells count="8">
    <mergeCell ref="E52:P52"/>
    <mergeCell ref="E60:P60"/>
    <mergeCell ref="E4:P4"/>
    <mergeCell ref="E12:P12"/>
    <mergeCell ref="E20:P20"/>
    <mergeCell ref="E28:P28"/>
    <mergeCell ref="E36:P36"/>
    <mergeCell ref="E44:P44"/>
  </mergeCells>
  <pageMargins left="0.49" right="0.16" top="0.63" bottom="0.44" header="0.32" footer="0.35"/>
  <pageSetup paperSize="9" scale="64" orientation="portrait" r:id="rId1"/>
  <headerFooter alignWithMargins="0"/>
  <rowBreaks count="1" manualBreakCount="1">
    <brk id="42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13</vt:i4>
      </vt:variant>
    </vt:vector>
  </HeadingPairs>
  <TitlesOfParts>
    <vt:vector size="36" baseType="lpstr">
      <vt:lpstr>Summary</vt:lpstr>
      <vt:lpstr>DCF Valuation</vt:lpstr>
      <vt:lpstr>Profit &amp; Loss St.</vt:lpstr>
      <vt:lpstr>Sheet1</vt:lpstr>
      <vt:lpstr>Balance Sheet</vt:lpstr>
      <vt:lpstr>Cash Flow St.</vt:lpstr>
      <vt:lpstr>Working Capital</vt:lpstr>
      <vt:lpstr>FA Schedule</vt:lpstr>
      <vt:lpstr>50L T.L. Repayment Sch.</vt:lpstr>
      <vt:lpstr>DSCR</vt:lpstr>
      <vt:lpstr>Sales Schedule</vt:lpstr>
      <vt:lpstr>Sales Export</vt:lpstr>
      <vt:lpstr>Sales (RTE) - Inst.</vt:lpstr>
      <vt:lpstr>Sales-Retail-RTE</vt:lpstr>
      <vt:lpstr>Sales (Premixes) - Inst.</vt:lpstr>
      <vt:lpstr>Products (Export)</vt:lpstr>
      <vt:lpstr>Products (RTE) - Inst.</vt:lpstr>
      <vt:lpstr>Products (RTE) - Retail</vt:lpstr>
      <vt:lpstr>Products (Premixes)</vt:lpstr>
      <vt:lpstr>Equipment Cost</vt:lpstr>
      <vt:lpstr>Manpower</vt:lpstr>
      <vt:lpstr>Sales Manpower</vt:lpstr>
      <vt:lpstr>List of Markets</vt:lpstr>
      <vt:lpstr>'50L T.L. Repayment Sch.'!Print_Area</vt:lpstr>
      <vt:lpstr>'Balance Sheet'!Print_Area</vt:lpstr>
      <vt:lpstr>'DCF Valuation'!Print_Area</vt:lpstr>
      <vt:lpstr>'Equipment Cost'!Print_Area</vt:lpstr>
      <vt:lpstr>'Products (Export)'!Print_Area</vt:lpstr>
      <vt:lpstr>'Products (Premixes)'!Print_Area</vt:lpstr>
      <vt:lpstr>'Products (RTE) - Inst.'!Print_Area</vt:lpstr>
      <vt:lpstr>'Profit &amp; Loss St.'!Print_Area</vt:lpstr>
      <vt:lpstr>'Sales (Premixes) - Inst.'!Print_Area</vt:lpstr>
      <vt:lpstr>'Sales (RTE) - Inst.'!Print_Area</vt:lpstr>
      <vt:lpstr>'Sales Schedule'!Print_Area</vt:lpstr>
      <vt:lpstr>Summary!Print_Area</vt:lpstr>
      <vt:lpstr>'Working Capital'!Print_Area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Paras</cp:lastModifiedBy>
  <cp:lastPrinted>2023-01-27T06:28:04Z</cp:lastPrinted>
  <dcterms:created xsi:type="dcterms:W3CDTF">2020-05-21T00:20:58Z</dcterms:created>
  <dcterms:modified xsi:type="dcterms:W3CDTF">2024-03-30T07:50:54Z</dcterms:modified>
</cp:coreProperties>
</file>