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codeName="ThisWorkbook"/>
  <xr:revisionPtr revIDLastSave="2009" documentId="13_ncr:1_{3CDF7A4D-6B6E-4858-8A55-F9546AB1DC31}" xr6:coauthVersionLast="47" xr6:coauthVersionMax="47" xr10:uidLastSave="{744769DB-EA03-4C1C-B271-26F32C9FB814}"/>
  <bookViews>
    <workbookView xWindow="-120" yWindow="-120" windowWidth="38640" windowHeight="15720" firstSheet="1" activeTab="6" xr2:uid="{00000000-000D-0000-FFFF-FFFF00000000}"/>
  </bookViews>
  <sheets>
    <sheet name="Gastos iniciales" sheetId="1" r:id="rId1"/>
    <sheet name="Estructura de Costos" sheetId="2" r:id="rId2"/>
    <sheet name="Fuente de Ingresos" sheetId="3" r:id="rId3"/>
    <sheet name="Lista de Precios" sheetId="5" r:id="rId4"/>
    <sheet name="Maiz" sheetId="6" r:id="rId5"/>
    <sheet name="Modelo Financiero" sheetId="7" r:id="rId6"/>
    <sheet name="Tablas" sheetId="8" r:id="rId7"/>
  </sheets>
  <definedNames>
    <definedName name="_xlnm.Print_Area" localSheetId="1">'Estructura de Costos'!$B$1:$D$40</definedName>
    <definedName name="_xlnm.Print_Area" localSheetId="0">'Gastos iniciales'!$B$1:$D$121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2" i="6" l="1"/>
  <c r="M41" i="6"/>
  <c r="N40" i="6"/>
  <c r="T5" i="6"/>
  <c r="U6" i="6" s="1"/>
  <c r="V6" i="6" s="1"/>
  <c r="T6" i="6"/>
  <c r="B163" i="7"/>
  <c r="B239" i="7"/>
  <c r="B244" i="7"/>
  <c r="B246" i="7"/>
  <c r="O256" i="7"/>
  <c r="O258" i="7"/>
  <c r="H234" i="7" l="1"/>
  <c r="H238" i="7"/>
  <c r="H189" i="7"/>
  <c r="BH211" i="7"/>
  <c r="BI210" i="7"/>
  <c r="BJ210" i="7"/>
  <c r="H76" i="7"/>
  <c r="B77" i="7" s="1"/>
  <c r="B79" i="7"/>
  <c r="D40" i="7"/>
  <c r="B42" i="7"/>
  <c r="B40" i="7"/>
  <c r="G77" i="7" l="1"/>
  <c r="D46" i="2" l="1"/>
  <c r="D47" i="2"/>
  <c r="B17" i="7" s="1"/>
  <c r="B55" i="7"/>
  <c r="B69" i="7"/>
  <c r="D56" i="2"/>
  <c r="B18" i="7" s="1"/>
  <c r="N13" i="7"/>
  <c r="B14" i="7" l="1"/>
  <c r="B68" i="7"/>
  <c r="B228" i="7"/>
  <c r="D204" i="7"/>
  <c r="C204" i="7"/>
  <c r="B101" i="7"/>
  <c r="B99" i="7"/>
  <c r="B102" i="7" s="1"/>
  <c r="B103" i="7" s="1"/>
  <c r="B98" i="7"/>
  <c r="B97" i="7"/>
  <c r="B84" i="7"/>
  <c r="A84" i="7"/>
  <c r="A83" i="7"/>
  <c r="A82" i="7"/>
  <c r="G79" i="7"/>
  <c r="F130" i="7" s="1"/>
  <c r="F79" i="7"/>
  <c r="E130" i="7" s="1"/>
  <c r="E79" i="7"/>
  <c r="D130" i="7" s="1"/>
  <c r="D79" i="7"/>
  <c r="C130" i="7" s="1"/>
  <c r="C79" i="7"/>
  <c r="B130" i="7" s="1"/>
  <c r="F77" i="7"/>
  <c r="E127" i="7" s="1"/>
  <c r="C75" i="7"/>
  <c r="D187" i="7" s="1"/>
  <c r="R209" i="7" s="1"/>
  <c r="B75" i="7"/>
  <c r="C187" i="7" s="1"/>
  <c r="G209" i="7" s="1"/>
  <c r="C74" i="7"/>
  <c r="D186" i="7" s="1"/>
  <c r="B74" i="7"/>
  <c r="B73" i="7"/>
  <c r="C73" i="7" s="1"/>
  <c r="D73" i="7" s="1"/>
  <c r="E73" i="7" s="1"/>
  <c r="F73" i="7" s="1"/>
  <c r="G73" i="7" s="1"/>
  <c r="B72" i="7"/>
  <c r="C72" i="7" s="1"/>
  <c r="D72" i="7" s="1"/>
  <c r="E72" i="7" s="1"/>
  <c r="F72" i="7" s="1"/>
  <c r="G72" i="7" s="1"/>
  <c r="C68" i="7"/>
  <c r="C78" i="7" s="1"/>
  <c r="B57" i="7"/>
  <c r="B56" i="7"/>
  <c r="C55" i="7"/>
  <c r="B41" i="7"/>
  <c r="B89" i="7" l="1"/>
  <c r="B78" i="7"/>
  <c r="B88" i="7"/>
  <c r="G88" i="7"/>
  <c r="B107" i="7"/>
  <c r="B111" i="7" s="1"/>
  <c r="C107" i="7" s="1"/>
  <c r="C109" i="7" s="1"/>
  <c r="B179" i="7"/>
  <c r="B201" i="7"/>
  <c r="B123" i="7"/>
  <c r="B100" i="7"/>
  <c r="B104" i="7" s="1"/>
  <c r="T108" i="7" s="1"/>
  <c r="B43" i="7"/>
  <c r="B44" i="7" s="1"/>
  <c r="B184" i="7"/>
  <c r="B191" i="7" s="1"/>
  <c r="F127" i="7"/>
  <c r="B71" i="7"/>
  <c r="C71" i="7" s="1"/>
  <c r="C70" i="7" s="1"/>
  <c r="C141" i="7" s="1"/>
  <c r="B13" i="7"/>
  <c r="B58" i="7" s="1"/>
  <c r="D75" i="7"/>
  <c r="E75" i="7" s="1"/>
  <c r="B129" i="7"/>
  <c r="C126" i="7"/>
  <c r="C69" i="7"/>
  <c r="C89" i="7" s="1"/>
  <c r="B140" i="7"/>
  <c r="E88" i="7"/>
  <c r="D88" i="7"/>
  <c r="F88" i="7"/>
  <c r="C88" i="7"/>
  <c r="S208" i="7"/>
  <c r="K208" i="7"/>
  <c r="R208" i="7"/>
  <c r="J208" i="7"/>
  <c r="Q208" i="7"/>
  <c r="I208" i="7"/>
  <c r="T208" i="7"/>
  <c r="P208" i="7"/>
  <c r="O208" i="7"/>
  <c r="N208" i="7"/>
  <c r="M208" i="7"/>
  <c r="L208" i="7"/>
  <c r="H79" i="7"/>
  <c r="G130" i="7" s="1"/>
  <c r="C129" i="7"/>
  <c r="C186" i="7"/>
  <c r="B126" i="7"/>
  <c r="C77" i="7"/>
  <c r="D74" i="7"/>
  <c r="D41" i="7"/>
  <c r="D68" i="7"/>
  <c r="D77" i="7"/>
  <c r="C127" i="7" s="1"/>
  <c r="E209" i="7"/>
  <c r="D209" i="7"/>
  <c r="C209" i="7"/>
  <c r="F209" i="7"/>
  <c r="H209" i="7"/>
  <c r="E77" i="7"/>
  <c r="D127" i="7" s="1"/>
  <c r="F256" i="7"/>
  <c r="E256" i="7"/>
  <c r="D256" i="7"/>
  <c r="C256" i="7"/>
  <c r="B256" i="7"/>
  <c r="M209" i="7"/>
  <c r="T209" i="7"/>
  <c r="L209" i="7"/>
  <c r="S209" i="7"/>
  <c r="K209" i="7"/>
  <c r="Q209" i="7"/>
  <c r="P209" i="7"/>
  <c r="O209" i="7"/>
  <c r="N209" i="7"/>
  <c r="J209" i="7"/>
  <c r="I209" i="7"/>
  <c r="D42" i="7" l="1"/>
  <c r="B232" i="7" s="1"/>
  <c r="D71" i="7"/>
  <c r="D70" i="7" s="1"/>
  <c r="D141" i="7" s="1"/>
  <c r="B59" i="7"/>
  <c r="B61" i="7" s="1"/>
  <c r="B62" i="7" s="1"/>
  <c r="B70" i="7"/>
  <c r="B125" i="7" s="1"/>
  <c r="D129" i="7"/>
  <c r="E187" i="7"/>
  <c r="AA209" i="7" s="1"/>
  <c r="AO108" i="7"/>
  <c r="AO210" i="7" s="1"/>
  <c r="W108" i="7"/>
  <c r="W210" i="7" s="1"/>
  <c r="H108" i="7"/>
  <c r="H210" i="7" s="1"/>
  <c r="AR108" i="7"/>
  <c r="AR210" i="7" s="1"/>
  <c r="AZ108" i="7"/>
  <c r="AZ210" i="7" s="1"/>
  <c r="P108" i="7"/>
  <c r="P210" i="7" s="1"/>
  <c r="F108" i="7"/>
  <c r="F210" i="7" s="1"/>
  <c r="BH108" i="7"/>
  <c r="BH210" i="7" s="1"/>
  <c r="BE108" i="7"/>
  <c r="BE210" i="7" s="1"/>
  <c r="AC108" i="7"/>
  <c r="AC210" i="7" s="1"/>
  <c r="AB108" i="7"/>
  <c r="AB210" i="7" s="1"/>
  <c r="BB108" i="7"/>
  <c r="BB210" i="7" s="1"/>
  <c r="AE108" i="7"/>
  <c r="AE210" i="7" s="1"/>
  <c r="AJ108" i="7"/>
  <c r="AJ210" i="7" s="1"/>
  <c r="AL108" i="7"/>
  <c r="AL210" i="7" s="1"/>
  <c r="R108" i="7"/>
  <c r="R210" i="7" s="1"/>
  <c r="V108" i="7"/>
  <c r="V210" i="7" s="1"/>
  <c r="AQ108" i="7"/>
  <c r="AQ210" i="7" s="1"/>
  <c r="N108" i="7"/>
  <c r="N210" i="7" s="1"/>
  <c r="AF108" i="7"/>
  <c r="AF210" i="7" s="1"/>
  <c r="AH108" i="7"/>
  <c r="AH210" i="7" s="1"/>
  <c r="AU108" i="7"/>
  <c r="AU210" i="7" s="1"/>
  <c r="Z108" i="7"/>
  <c r="Z210" i="7" s="1"/>
  <c r="AS108" i="7"/>
  <c r="AS210" i="7" s="1"/>
  <c r="AV108" i="7"/>
  <c r="AV210" i="7" s="1"/>
  <c r="Q108" i="7"/>
  <c r="Q210" i="7" s="1"/>
  <c r="BF108" i="7"/>
  <c r="BF210" i="7" s="1"/>
  <c r="C108" i="7"/>
  <c r="C110" i="7" s="1"/>
  <c r="D108" i="7"/>
  <c r="D210" i="7" s="1"/>
  <c r="BA108" i="7"/>
  <c r="BA210" i="7" s="1"/>
  <c r="AD108" i="7"/>
  <c r="AD210" i="7" s="1"/>
  <c r="X108" i="7"/>
  <c r="X210" i="7" s="1"/>
  <c r="AK108" i="7"/>
  <c r="AK210" i="7" s="1"/>
  <c r="G108" i="7"/>
  <c r="G210" i="7" s="1"/>
  <c r="K108" i="7"/>
  <c r="K210" i="7" s="1"/>
  <c r="L108" i="7"/>
  <c r="L210" i="7" s="1"/>
  <c r="BD108" i="7"/>
  <c r="BD210" i="7" s="1"/>
  <c r="AA108" i="7"/>
  <c r="AA210" i="7" s="1"/>
  <c r="M108" i="7"/>
  <c r="M210" i="7" s="1"/>
  <c r="I108" i="7"/>
  <c r="I210" i="7" s="1"/>
  <c r="AI108" i="7"/>
  <c r="AI210" i="7" s="1"/>
  <c r="J108" i="7"/>
  <c r="J210" i="7" s="1"/>
  <c r="U108" i="7"/>
  <c r="U210" i="7" s="1"/>
  <c r="AM108" i="7"/>
  <c r="AM210" i="7" s="1"/>
  <c r="BJ108" i="7"/>
  <c r="AG108" i="7"/>
  <c r="AG210" i="7" s="1"/>
  <c r="AY108" i="7"/>
  <c r="AY210" i="7" s="1"/>
  <c r="E108" i="7"/>
  <c r="E210" i="7" s="1"/>
  <c r="AT108" i="7"/>
  <c r="AT210" i="7" s="1"/>
  <c r="BC108" i="7"/>
  <c r="BC210" i="7" s="1"/>
  <c r="BG108" i="7"/>
  <c r="BG210" i="7" s="1"/>
  <c r="AN108" i="7"/>
  <c r="AN210" i="7" s="1"/>
  <c r="BI108" i="7"/>
  <c r="AX108" i="7"/>
  <c r="AX210" i="7" s="1"/>
  <c r="AP108" i="7"/>
  <c r="AP210" i="7" s="1"/>
  <c r="AW108" i="7"/>
  <c r="AW210" i="7" s="1"/>
  <c r="Y108" i="7"/>
  <c r="Y210" i="7" s="1"/>
  <c r="O108" i="7"/>
  <c r="O210" i="7" s="1"/>
  <c r="S108" i="7"/>
  <c r="S210" i="7" s="1"/>
  <c r="B178" i="7"/>
  <c r="B200" i="7" s="1"/>
  <c r="C125" i="7"/>
  <c r="C124" i="7" s="1"/>
  <c r="D185" i="7"/>
  <c r="S207" i="7" s="1"/>
  <c r="B60" i="7"/>
  <c r="C123" i="7"/>
  <c r="C208" i="7"/>
  <c r="G208" i="7"/>
  <c r="F208" i="7"/>
  <c r="E208" i="7"/>
  <c r="D208" i="7"/>
  <c r="H208" i="7"/>
  <c r="T210" i="7"/>
  <c r="E68" i="7"/>
  <c r="D78" i="7"/>
  <c r="H77" i="7"/>
  <c r="G127" i="7" s="1"/>
  <c r="B127" i="7"/>
  <c r="B257" i="7" s="1"/>
  <c r="C257" i="7" s="1"/>
  <c r="D257" i="7" s="1"/>
  <c r="E257" i="7" s="1"/>
  <c r="F257" i="7" s="1"/>
  <c r="F258" i="7" s="1"/>
  <c r="F187" i="7"/>
  <c r="F75" i="7"/>
  <c r="G75" i="7" s="1"/>
  <c r="E129" i="7"/>
  <c r="C140" i="7"/>
  <c r="D69" i="7"/>
  <c r="D89" i="7" s="1"/>
  <c r="D126" i="7"/>
  <c r="E74" i="7"/>
  <c r="E186" i="7"/>
  <c r="B206" i="7"/>
  <c r="B213" i="7" s="1"/>
  <c r="B90" i="7"/>
  <c r="B91" i="7"/>
  <c r="C90" i="7"/>
  <c r="C91" i="7"/>
  <c r="G129" i="7" l="1"/>
  <c r="B124" i="7"/>
  <c r="E71" i="7"/>
  <c r="F71" i="7" s="1"/>
  <c r="B145" i="7"/>
  <c r="C185" i="7"/>
  <c r="F207" i="7" s="1"/>
  <c r="F213" i="7" s="1"/>
  <c r="B141" i="7"/>
  <c r="B142" i="7" s="1"/>
  <c r="B146" i="7" s="1"/>
  <c r="B143" i="7"/>
  <c r="B147" i="7" s="1"/>
  <c r="B159" i="7"/>
  <c r="C270" i="7"/>
  <c r="V209" i="7"/>
  <c r="AB209" i="7"/>
  <c r="AF209" i="7"/>
  <c r="X209" i="7"/>
  <c r="Y209" i="7"/>
  <c r="U209" i="7"/>
  <c r="AC209" i="7"/>
  <c r="Z209" i="7"/>
  <c r="AD209" i="7"/>
  <c r="W209" i="7"/>
  <c r="AE209" i="7"/>
  <c r="S213" i="7"/>
  <c r="A51" i="7"/>
  <c r="D270" i="7"/>
  <c r="T207" i="7"/>
  <c r="E270" i="7"/>
  <c r="F270" i="7"/>
  <c r="D43" i="7"/>
  <c r="D44" i="7" s="1"/>
  <c r="E40" i="7" s="1"/>
  <c r="C210" i="7"/>
  <c r="B270" i="7"/>
  <c r="C145" i="7"/>
  <c r="K207" i="7"/>
  <c r="L207" i="7"/>
  <c r="O207" i="7"/>
  <c r="O213" i="7" s="1"/>
  <c r="M207" i="7"/>
  <c r="M213" i="7" s="1"/>
  <c r="P207" i="7"/>
  <c r="P213" i="7" s="1"/>
  <c r="I207" i="7"/>
  <c r="I213" i="7" s="1"/>
  <c r="J207" i="7"/>
  <c r="J213" i="7" s="1"/>
  <c r="N207" i="7"/>
  <c r="R207" i="7"/>
  <c r="R213" i="7" s="1"/>
  <c r="Q207" i="7"/>
  <c r="C143" i="7"/>
  <c r="C147" i="7" s="1"/>
  <c r="C159" i="7"/>
  <c r="D91" i="7"/>
  <c r="D90" i="7"/>
  <c r="AA208" i="7"/>
  <c r="Z208" i="7"/>
  <c r="Y208" i="7"/>
  <c r="AF208" i="7"/>
  <c r="U208" i="7"/>
  <c r="AE208" i="7"/>
  <c r="AD208" i="7"/>
  <c r="AC208" i="7"/>
  <c r="AB208" i="7"/>
  <c r="X208" i="7"/>
  <c r="W208" i="7"/>
  <c r="V208" i="7"/>
  <c r="E126" i="7"/>
  <c r="F186" i="7"/>
  <c r="F74" i="7"/>
  <c r="G74" i="7" s="1"/>
  <c r="AK209" i="7"/>
  <c r="AR209" i="7"/>
  <c r="AJ209" i="7"/>
  <c r="AQ209" i="7"/>
  <c r="AI209" i="7"/>
  <c r="AP209" i="7"/>
  <c r="AO209" i="7"/>
  <c r="AN209" i="7"/>
  <c r="AM209" i="7"/>
  <c r="AL209" i="7"/>
  <c r="AH209" i="7"/>
  <c r="AG209" i="7"/>
  <c r="E78" i="7"/>
  <c r="F78" i="7" s="1"/>
  <c r="G78" i="7" s="1"/>
  <c r="F68" i="7"/>
  <c r="E185" i="7"/>
  <c r="C111" i="7"/>
  <c r="D107" i="7" s="1"/>
  <c r="C92" i="7"/>
  <c r="R202" i="7"/>
  <c r="J202" i="7"/>
  <c r="Q202" i="7"/>
  <c r="I202" i="7"/>
  <c r="D180" i="7"/>
  <c r="P202" i="7"/>
  <c r="O202" i="7"/>
  <c r="N202" i="7"/>
  <c r="M202" i="7"/>
  <c r="T202" i="7"/>
  <c r="L202" i="7"/>
  <c r="S202" i="7"/>
  <c r="K202" i="7"/>
  <c r="D140" i="7"/>
  <c r="E69" i="7"/>
  <c r="D125" i="7"/>
  <c r="D124" i="7" s="1"/>
  <c r="H202" i="7"/>
  <c r="C180" i="7"/>
  <c r="G202" i="7"/>
  <c r="F202" i="7"/>
  <c r="F204" i="7" s="1"/>
  <c r="E202" i="7"/>
  <c r="E204" i="7" s="1"/>
  <c r="G187" i="7"/>
  <c r="F129" i="7"/>
  <c r="B92" i="7"/>
  <c r="C142" i="7"/>
  <c r="C144" i="7"/>
  <c r="D123" i="7"/>
  <c r="G126" i="7" l="1"/>
  <c r="C207" i="7"/>
  <c r="C213" i="7" s="1"/>
  <c r="C214" i="7" s="1"/>
  <c r="H207" i="7"/>
  <c r="H213" i="7" s="1"/>
  <c r="F70" i="7"/>
  <c r="F141" i="7" s="1"/>
  <c r="G71" i="7"/>
  <c r="G70" i="7" s="1"/>
  <c r="G68" i="7"/>
  <c r="B152" i="7"/>
  <c r="C146" i="7"/>
  <c r="C152" i="7"/>
  <c r="D207" i="7"/>
  <c r="D213" i="7" s="1"/>
  <c r="D214" i="7" s="1"/>
  <c r="E207" i="7"/>
  <c r="E213" i="7" s="1"/>
  <c r="E214" i="7" s="1"/>
  <c r="G207" i="7"/>
  <c r="G213" i="7" s="1"/>
  <c r="F125" i="7"/>
  <c r="E70" i="7"/>
  <c r="E141" i="7" s="1"/>
  <c r="B144" i="7"/>
  <c r="B234" i="7"/>
  <c r="B182" i="7"/>
  <c r="E42" i="7"/>
  <c r="D45" i="7"/>
  <c r="E44" i="7"/>
  <c r="E41" i="7"/>
  <c r="B204" i="7"/>
  <c r="B214" i="7" s="1"/>
  <c r="B215" i="7" s="1"/>
  <c r="A225" i="7"/>
  <c r="E43" i="7"/>
  <c r="F214" i="7"/>
  <c r="D145" i="7"/>
  <c r="D159" i="7"/>
  <c r="D143" i="7"/>
  <c r="D147" i="7" s="1"/>
  <c r="D142" i="7"/>
  <c r="D144" i="7"/>
  <c r="Y207" i="7"/>
  <c r="Y213" i="7" s="1"/>
  <c r="AF207" i="7"/>
  <c r="X207" i="7"/>
  <c r="AE207" i="7"/>
  <c r="AE213" i="7" s="1"/>
  <c r="W207" i="7"/>
  <c r="V207" i="7"/>
  <c r="V213" i="7" s="1"/>
  <c r="U207" i="7"/>
  <c r="U213" i="7" s="1"/>
  <c r="AD207" i="7"/>
  <c r="AD213" i="7" s="1"/>
  <c r="AC207" i="7"/>
  <c r="AB207" i="7"/>
  <c r="AB213" i="7" s="1"/>
  <c r="AA207" i="7"/>
  <c r="AA213" i="7" s="1"/>
  <c r="Z207" i="7"/>
  <c r="H203" i="7"/>
  <c r="H204" i="7" s="1"/>
  <c r="G203" i="7"/>
  <c r="G204" i="7" s="1"/>
  <c r="C181" i="7"/>
  <c r="C182" i="7" s="1"/>
  <c r="E140" i="7"/>
  <c r="F69" i="7"/>
  <c r="E123" i="7"/>
  <c r="D109" i="7"/>
  <c r="BA209" i="7"/>
  <c r="AS209" i="7"/>
  <c r="AZ209" i="7"/>
  <c r="AY209" i="7"/>
  <c r="BD209" i="7"/>
  <c r="BC209" i="7"/>
  <c r="BB209" i="7"/>
  <c r="AX209" i="7"/>
  <c r="AW209" i="7"/>
  <c r="AV209" i="7"/>
  <c r="AU209" i="7"/>
  <c r="AT209" i="7"/>
  <c r="G185" i="7"/>
  <c r="K213" i="7"/>
  <c r="S203" i="7"/>
  <c r="S204" i="7" s="1"/>
  <c r="S214" i="7" s="1"/>
  <c r="K203" i="7"/>
  <c r="K204" i="7" s="1"/>
  <c r="R203" i="7"/>
  <c r="R204" i="7" s="1"/>
  <c r="R214" i="7" s="1"/>
  <c r="Q203" i="7"/>
  <c r="Q204" i="7" s="1"/>
  <c r="T203" i="7"/>
  <c r="T204" i="7" s="1"/>
  <c r="P203" i="7"/>
  <c r="P204" i="7" s="1"/>
  <c r="P214" i="7" s="1"/>
  <c r="O203" i="7"/>
  <c r="O204" i="7" s="1"/>
  <c r="O214" i="7" s="1"/>
  <c r="N203" i="7"/>
  <c r="N204" i="7" s="1"/>
  <c r="L203" i="7"/>
  <c r="L204" i="7" s="1"/>
  <c r="M203" i="7"/>
  <c r="M204" i="7" s="1"/>
  <c r="M214" i="7" s="1"/>
  <c r="E89" i="7"/>
  <c r="G186" i="7"/>
  <c r="F126" i="7"/>
  <c r="Z202" i="7"/>
  <c r="E180" i="7"/>
  <c r="Y202" i="7"/>
  <c r="AF202" i="7"/>
  <c r="X202" i="7"/>
  <c r="AE202" i="7"/>
  <c r="W202" i="7"/>
  <c r="AD202" i="7"/>
  <c r="V202" i="7"/>
  <c r="AC202" i="7"/>
  <c r="U202" i="7"/>
  <c r="AA202" i="7"/>
  <c r="AB202" i="7"/>
  <c r="B93" i="7"/>
  <c r="N213" i="7"/>
  <c r="C93" i="7"/>
  <c r="E125" i="7"/>
  <c r="E124" i="7" s="1"/>
  <c r="AQ208" i="7"/>
  <c r="AI208" i="7"/>
  <c r="AP208" i="7"/>
  <c r="AH208" i="7"/>
  <c r="AO208" i="7"/>
  <c r="AG208" i="7"/>
  <c r="AR208" i="7"/>
  <c r="AN208" i="7"/>
  <c r="AM208" i="7"/>
  <c r="AL208" i="7"/>
  <c r="AJ208" i="7"/>
  <c r="AK208" i="7"/>
  <c r="D92" i="7"/>
  <c r="D93" i="7" s="1"/>
  <c r="F140" i="7" l="1"/>
  <c r="F144" i="7" s="1"/>
  <c r="G69" i="7"/>
  <c r="G89" i="7" s="1"/>
  <c r="F89" i="7"/>
  <c r="F90" i="7" s="1"/>
  <c r="G125" i="7"/>
  <c r="G124" i="7" s="1"/>
  <c r="G214" i="7"/>
  <c r="D146" i="7"/>
  <c r="D152" i="7"/>
  <c r="F124" i="7"/>
  <c r="F185" i="7"/>
  <c r="AI207" i="7" s="1"/>
  <c r="B192" i="7"/>
  <c r="B193" i="7" s="1"/>
  <c r="H214" i="7"/>
  <c r="BJ213" i="7"/>
  <c r="C215" i="7"/>
  <c r="D215" i="7" s="1"/>
  <c r="E215" i="7" s="1"/>
  <c r="F215" i="7" s="1"/>
  <c r="N214" i="7"/>
  <c r="K214" i="7"/>
  <c r="AH203" i="7"/>
  <c r="AG203" i="7"/>
  <c r="D254" i="7"/>
  <c r="AY208" i="7"/>
  <c r="AX208" i="7"/>
  <c r="AW208" i="7"/>
  <c r="AT208" i="7"/>
  <c r="BD208" i="7"/>
  <c r="AS208" i="7"/>
  <c r="BC208" i="7"/>
  <c r="BB208" i="7"/>
  <c r="BA208" i="7"/>
  <c r="AZ208" i="7"/>
  <c r="AV208" i="7"/>
  <c r="AU208" i="7"/>
  <c r="E91" i="7"/>
  <c r="E90" i="7"/>
  <c r="F123" i="7"/>
  <c r="V203" i="7"/>
  <c r="V204" i="7" s="1"/>
  <c r="V214" i="7" s="1"/>
  <c r="U203" i="7"/>
  <c r="U204" i="7" s="1"/>
  <c r="U214" i="7" s="1"/>
  <c r="C254" i="7"/>
  <c r="B254" i="7"/>
  <c r="J203" i="7"/>
  <c r="J204" i="7" s="1"/>
  <c r="J214" i="7" s="1"/>
  <c r="I203" i="7"/>
  <c r="I204" i="7" s="1"/>
  <c r="I214" i="7" s="1"/>
  <c r="F142" i="7"/>
  <c r="F146" i="7" s="1"/>
  <c r="E144" i="7"/>
  <c r="E142" i="7"/>
  <c r="AW207" i="7"/>
  <c r="BD207" i="7"/>
  <c r="AV207" i="7"/>
  <c r="BC207" i="7"/>
  <c r="AU207" i="7"/>
  <c r="AX207" i="7"/>
  <c r="AT207" i="7"/>
  <c r="AS207" i="7"/>
  <c r="BB207" i="7"/>
  <c r="BA207" i="7"/>
  <c r="AZ207" i="7"/>
  <c r="AY207" i="7"/>
  <c r="B238" i="7"/>
  <c r="D181" i="7"/>
  <c r="D182" i="7" s="1"/>
  <c r="D110" i="7"/>
  <c r="H78" i="7"/>
  <c r="AA203" i="7"/>
  <c r="AA204" i="7" s="1"/>
  <c r="AA214" i="7" s="1"/>
  <c r="Z203" i="7"/>
  <c r="Z204" i="7" s="1"/>
  <c r="Y203" i="7"/>
  <c r="Y204" i="7" s="1"/>
  <c r="Y214" i="7" s="1"/>
  <c r="AF203" i="7"/>
  <c r="AF204" i="7" s="1"/>
  <c r="AE203" i="7"/>
  <c r="AE204" i="7" s="1"/>
  <c r="AE214" i="7" s="1"/>
  <c r="AD203" i="7"/>
  <c r="AD204" i="7" s="1"/>
  <c r="AD214" i="7" s="1"/>
  <c r="AC203" i="7"/>
  <c r="AC204" i="7" s="1"/>
  <c r="AB203" i="7"/>
  <c r="AB204" i="7" s="1"/>
  <c r="AB214" i="7" s="1"/>
  <c r="X203" i="7"/>
  <c r="X204" i="7" s="1"/>
  <c r="E181" i="7"/>
  <c r="E182" i="7" s="1"/>
  <c r="W203" i="7"/>
  <c r="W204" i="7" s="1"/>
  <c r="E145" i="7"/>
  <c r="E159" i="7"/>
  <c r="E143" i="7"/>
  <c r="E147" i="7" s="1"/>
  <c r="G123" i="7" l="1"/>
  <c r="G128" i="7"/>
  <c r="G131" i="7" s="1"/>
  <c r="G215" i="7"/>
  <c r="AN207" i="7"/>
  <c r="AN213" i="7" s="1"/>
  <c r="AQ207" i="7"/>
  <c r="AQ213" i="7" s="1"/>
  <c r="G90" i="7"/>
  <c r="G91" i="7"/>
  <c r="G180" i="7"/>
  <c r="AM207" i="7"/>
  <c r="AM213" i="7" s="1"/>
  <c r="AO207" i="7"/>
  <c r="E146" i="7"/>
  <c r="E152" i="7"/>
  <c r="AL207" i="7"/>
  <c r="AJ207" i="7"/>
  <c r="AH207" i="7"/>
  <c r="AH213" i="7" s="1"/>
  <c r="F152" i="7"/>
  <c r="AP207" i="7"/>
  <c r="AP213" i="7" s="1"/>
  <c r="AK207" i="7"/>
  <c r="AK213" i="7" s="1"/>
  <c r="AR207" i="7"/>
  <c r="AG207" i="7"/>
  <c r="AG213" i="7" s="1"/>
  <c r="H215" i="7"/>
  <c r="I215" i="7" s="1"/>
  <c r="J215" i="7" s="1"/>
  <c r="K215" i="7" s="1"/>
  <c r="BF213" i="7"/>
  <c r="BI213" i="7"/>
  <c r="BE213" i="7"/>
  <c r="F91" i="7"/>
  <c r="F92" i="7" s="1"/>
  <c r="AZ213" i="7"/>
  <c r="AY213" i="7"/>
  <c r="BB213" i="7"/>
  <c r="AT213" i="7"/>
  <c r="T213" i="7"/>
  <c r="T214" i="7" s="1"/>
  <c r="D111" i="7"/>
  <c r="E107" i="7" s="1"/>
  <c r="D170" i="7"/>
  <c r="D171" i="7"/>
  <c r="Q213" i="7"/>
  <c r="Q214" i="7" s="1"/>
  <c r="F145" i="7"/>
  <c r="F159" i="7"/>
  <c r="F143" i="7"/>
  <c r="F147" i="7" s="1"/>
  <c r="BC213" i="7"/>
  <c r="B170" i="7"/>
  <c r="B171" i="7"/>
  <c r="AP202" i="7"/>
  <c r="AH202" i="7"/>
  <c r="AH204" i="7" s="1"/>
  <c r="AO202" i="7"/>
  <c r="AG202" i="7"/>
  <c r="AG204" i="7" s="1"/>
  <c r="AG214" i="7" s="1"/>
  <c r="AN202" i="7"/>
  <c r="AM202" i="7"/>
  <c r="AL202" i="7"/>
  <c r="AK202" i="7"/>
  <c r="F180" i="7"/>
  <c r="AR202" i="7"/>
  <c r="AJ202" i="7"/>
  <c r="AQ202" i="7"/>
  <c r="AI202" i="7"/>
  <c r="C170" i="7"/>
  <c r="C171" i="7"/>
  <c r="E92" i="7"/>
  <c r="AS213" i="7"/>
  <c r="AW213" i="7"/>
  <c r="AX202" i="7"/>
  <c r="AW202" i="7"/>
  <c r="BD202" i="7"/>
  <c r="AV202" i="7"/>
  <c r="BC202" i="7"/>
  <c r="AU202" i="7"/>
  <c r="BB202" i="7"/>
  <c r="AT202" i="7"/>
  <c r="BA202" i="7"/>
  <c r="AS202" i="7"/>
  <c r="AZ202" i="7"/>
  <c r="AY202" i="7"/>
  <c r="G92" i="7" l="1"/>
  <c r="AH214" i="7"/>
  <c r="F93" i="7"/>
  <c r="AQ203" i="7"/>
  <c r="AQ204" i="7" s="1"/>
  <c r="AQ214" i="7" s="1"/>
  <c r="AI203" i="7"/>
  <c r="AI204" i="7" s="1"/>
  <c r="AP203" i="7"/>
  <c r="AP204" i="7" s="1"/>
  <c r="AP214" i="7" s="1"/>
  <c r="AO203" i="7"/>
  <c r="AO204" i="7" s="1"/>
  <c r="AJ203" i="7"/>
  <c r="AJ204" i="7" s="1"/>
  <c r="F181" i="7"/>
  <c r="F182" i="7" s="1"/>
  <c r="AR203" i="7"/>
  <c r="AR204" i="7" s="1"/>
  <c r="AN203" i="7"/>
  <c r="AN204" i="7" s="1"/>
  <c r="AN214" i="7" s="1"/>
  <c r="AM203" i="7"/>
  <c r="AM204" i="7" s="1"/>
  <c r="AM214" i="7" s="1"/>
  <c r="AL203" i="7"/>
  <c r="AL204" i="7" s="1"/>
  <c r="AK203" i="7"/>
  <c r="AK204" i="7" s="1"/>
  <c r="AK214" i="7" s="1"/>
  <c r="E93" i="7"/>
  <c r="G181" i="7" s="1"/>
  <c r="G182" i="7" s="1"/>
  <c r="E153" i="7"/>
  <c r="E154" i="7" s="1"/>
  <c r="E128" i="7"/>
  <c r="F153" i="7"/>
  <c r="F154" i="7" s="1"/>
  <c r="F128" i="7"/>
  <c r="C153" i="7"/>
  <c r="C154" i="7" s="1"/>
  <c r="C128" i="7"/>
  <c r="D153" i="7"/>
  <c r="D154" i="7" s="1"/>
  <c r="D128" i="7"/>
  <c r="AY203" i="7"/>
  <c r="AY204" i="7" s="1"/>
  <c r="AY214" i="7" s="1"/>
  <c r="AX203" i="7"/>
  <c r="AX204" i="7" s="1"/>
  <c r="AW203" i="7"/>
  <c r="AW204" i="7" s="1"/>
  <c r="AW214" i="7" s="1"/>
  <c r="AU203" i="7"/>
  <c r="AU204" i="7" s="1"/>
  <c r="BD203" i="7"/>
  <c r="BD204" i="7" s="1"/>
  <c r="BC203" i="7"/>
  <c r="BC204" i="7" s="1"/>
  <c r="BC214" i="7" s="1"/>
  <c r="BB203" i="7"/>
  <c r="BB204" i="7" s="1"/>
  <c r="BB214" i="7" s="1"/>
  <c r="BA203" i="7"/>
  <c r="BA204" i="7" s="1"/>
  <c r="AZ203" i="7"/>
  <c r="AZ204" i="7" s="1"/>
  <c r="AZ214" i="7" s="1"/>
  <c r="AV203" i="7"/>
  <c r="AV204" i="7" s="1"/>
  <c r="E109" i="7"/>
  <c r="BE203" i="7" l="1"/>
  <c r="BE204" i="7" s="1"/>
  <c r="BE214" i="7" s="1"/>
  <c r="BF203" i="7"/>
  <c r="BJ203" i="7"/>
  <c r="BG203" i="7"/>
  <c r="BH203" i="7"/>
  <c r="BI203" i="7"/>
  <c r="BI204" i="7" s="1"/>
  <c r="BI214" i="7" s="1"/>
  <c r="H181" i="7"/>
  <c r="H182" i="7"/>
  <c r="F254" i="7"/>
  <c r="F171" i="7" s="1"/>
  <c r="BF204" i="7"/>
  <c r="BF214" i="7" s="1"/>
  <c r="BH204" i="7"/>
  <c r="BJ204" i="7"/>
  <c r="BJ214" i="7" s="1"/>
  <c r="BG204" i="7"/>
  <c r="G93" i="7"/>
  <c r="F148" i="7"/>
  <c r="F131" i="7"/>
  <c r="E148" i="7"/>
  <c r="E131" i="7"/>
  <c r="E110" i="7"/>
  <c r="C148" i="7"/>
  <c r="C131" i="7"/>
  <c r="E254" i="7"/>
  <c r="AT203" i="7"/>
  <c r="AT204" i="7" s="1"/>
  <c r="AT214" i="7" s="1"/>
  <c r="AS203" i="7"/>
  <c r="AS204" i="7" s="1"/>
  <c r="AS214" i="7" s="1"/>
  <c r="D131" i="7"/>
  <c r="D148" i="7"/>
  <c r="B153" i="7"/>
  <c r="B154" i="7" s="1"/>
  <c r="B128" i="7"/>
  <c r="F170" i="7" l="1"/>
  <c r="I182" i="7"/>
  <c r="F149" i="7"/>
  <c r="Z213" i="7"/>
  <c r="Z214" i="7" s="1"/>
  <c r="D149" i="7"/>
  <c r="C149" i="7"/>
  <c r="B131" i="7"/>
  <c r="B148" i="7"/>
  <c r="W213" i="7"/>
  <c r="W214" i="7" s="1"/>
  <c r="B258" i="7"/>
  <c r="E170" i="7"/>
  <c r="E171" i="7"/>
  <c r="E111" i="7"/>
  <c r="F107" i="7" s="1"/>
  <c r="E149" i="7"/>
  <c r="F109" i="7" l="1"/>
  <c r="C258" i="7"/>
  <c r="B149" i="7"/>
  <c r="D258" i="7" l="1"/>
  <c r="AF213" i="7"/>
  <c r="AF214" i="7" s="1"/>
  <c r="AC213" i="7"/>
  <c r="AC214" i="7" s="1"/>
  <c r="F110" i="7"/>
  <c r="F111" i="7" l="1"/>
  <c r="G107" i="7" s="1"/>
  <c r="E258" i="7"/>
  <c r="G109" i="7" l="1"/>
  <c r="G110" i="7" s="1"/>
  <c r="AI213" i="7" l="1"/>
  <c r="AI214" i="7" s="1"/>
  <c r="AL213" i="7"/>
  <c r="AL214" i="7" s="1"/>
  <c r="G111" i="7"/>
  <c r="H107" i="7" s="1"/>
  <c r="H109" i="7" l="1"/>
  <c r="B113" i="7" s="1"/>
  <c r="B132" i="7" s="1"/>
  <c r="B155" i="7" s="1"/>
  <c r="B133" i="7" l="1"/>
  <c r="B134" i="7" s="1"/>
  <c r="AO213" i="7"/>
  <c r="AO214" i="7" s="1"/>
  <c r="AR213" i="7"/>
  <c r="AR214" i="7" s="1"/>
  <c r="H110" i="7"/>
  <c r="B114" i="7" l="1"/>
  <c r="B115" i="7" s="1"/>
  <c r="C188" i="7" s="1"/>
  <c r="C191" i="7" s="1"/>
  <c r="H111" i="7"/>
  <c r="C192" i="7" l="1"/>
  <c r="B156" i="7"/>
  <c r="B157" i="7" s="1"/>
  <c r="B116" i="7"/>
  <c r="B266" i="7" s="1"/>
  <c r="B267" i="7" s="1"/>
  <c r="I107" i="7"/>
  <c r="B150" i="7" l="1"/>
  <c r="B135" i="7"/>
  <c r="C232" i="7"/>
  <c r="B220" i="7"/>
  <c r="C193" i="7"/>
  <c r="H216" i="7" s="1"/>
  <c r="AU213" i="7"/>
  <c r="AU214" i="7" s="1"/>
  <c r="AX213" i="7"/>
  <c r="AX214" i="7" s="1"/>
  <c r="I109" i="7"/>
  <c r="B158" i="7" l="1"/>
  <c r="I110" i="7"/>
  <c r="B253" i="7"/>
  <c r="B255" i="7" s="1"/>
  <c r="C234" i="7"/>
  <c r="B271" i="7"/>
  <c r="B160" i="7"/>
  <c r="B151" i="7"/>
  <c r="B261" i="7"/>
  <c r="B265" i="7" s="1"/>
  <c r="B268" i="7" s="1"/>
  <c r="D189" i="7"/>
  <c r="L211" i="7" s="1"/>
  <c r="B165" i="7" l="1"/>
  <c r="L213" i="7"/>
  <c r="L214" i="7" s="1"/>
  <c r="L215" i="7" s="1"/>
  <c r="M215" i="7" s="1"/>
  <c r="N215" i="7" s="1"/>
  <c r="O215" i="7" s="1"/>
  <c r="P215" i="7" s="1"/>
  <c r="Q215" i="7" s="1"/>
  <c r="R215" i="7" s="1"/>
  <c r="S215" i="7" s="1"/>
  <c r="T215" i="7" s="1"/>
  <c r="BA213" i="7"/>
  <c r="BA214" i="7" s="1"/>
  <c r="B166" i="7"/>
  <c r="B259" i="7"/>
  <c r="B161" i="7" s="1"/>
  <c r="C272" i="7"/>
  <c r="B273" i="7"/>
  <c r="B162" i="7" s="1"/>
  <c r="C238" i="7"/>
  <c r="I111" i="7"/>
  <c r="J107" i="7" s="1"/>
  <c r="U215" i="7" l="1"/>
  <c r="V215" i="7" s="1"/>
  <c r="W215" i="7" s="1"/>
  <c r="BD213" i="7"/>
  <c r="BD214" i="7" s="1"/>
  <c r="B168" i="7"/>
  <c r="B274" i="7"/>
  <c r="B275" i="7" s="1"/>
  <c r="J109" i="7"/>
  <c r="J110" i="7" l="1"/>
  <c r="J111" i="7" l="1"/>
  <c r="K107" i="7" s="1"/>
  <c r="BG213" i="7" l="1"/>
  <c r="BG214" i="7" s="1"/>
  <c r="K109" i="7"/>
  <c r="K110" i="7" l="1"/>
  <c r="K111" i="7" l="1"/>
  <c r="L107" i="7" s="1"/>
  <c r="L109" i="7" l="1"/>
  <c r="L110" i="7" l="1"/>
  <c r="L111" i="7" l="1"/>
  <c r="M107" i="7" s="1"/>
  <c r="M109" i="7" l="1"/>
  <c r="M110" i="7" l="1"/>
  <c r="M111" i="7" l="1"/>
  <c r="N107" i="7" s="1"/>
  <c r="N109" i="7" l="1"/>
  <c r="N110" i="7" s="1"/>
  <c r="N111" i="7" s="1"/>
  <c r="O107" i="7" s="1"/>
  <c r="O109" i="7" l="1"/>
  <c r="O110" i="7" s="1"/>
  <c r="O111" i="7" s="1"/>
  <c r="P107" i="7" s="1"/>
  <c r="P109" i="7" l="1"/>
  <c r="P110" i="7" s="1"/>
  <c r="P111" i="7" s="1"/>
  <c r="Q107" i="7" s="1"/>
  <c r="Q109" i="7" l="1"/>
  <c r="Q110" i="7" s="1"/>
  <c r="Q111" i="7" s="1"/>
  <c r="R107" i="7" s="1"/>
  <c r="R109" i="7" l="1"/>
  <c r="R110" i="7" s="1"/>
  <c r="R111" i="7" s="1"/>
  <c r="S107" i="7" s="1"/>
  <c r="S109" i="7" l="1"/>
  <c r="S110" i="7" s="1"/>
  <c r="S111" i="7" s="1"/>
  <c r="T107" i="7" s="1"/>
  <c r="T109" i="7" l="1"/>
  <c r="T110" i="7" l="1"/>
  <c r="C113" i="7"/>
  <c r="C132" i="7" l="1"/>
  <c r="C114" i="7"/>
  <c r="T111" i="7"/>
  <c r="C133" i="7" l="1"/>
  <c r="C155" i="7"/>
  <c r="C156" i="7" s="1"/>
  <c r="C157" i="7" s="1"/>
  <c r="C116" i="7"/>
  <c r="C266" i="7" s="1"/>
  <c r="C267" i="7" s="1"/>
  <c r="U107" i="7"/>
  <c r="C115" i="7"/>
  <c r="D188" i="7" s="1"/>
  <c r="D191" i="7" s="1"/>
  <c r="D192" i="7" l="1"/>
  <c r="C150" i="7"/>
  <c r="C134" i="7"/>
  <c r="C135" i="7" s="1"/>
  <c r="C158" i="7" s="1"/>
  <c r="U109" i="7"/>
  <c r="C271" i="7" l="1"/>
  <c r="C163" i="7"/>
  <c r="C160" i="7"/>
  <c r="C151" i="7"/>
  <c r="C261" i="7"/>
  <c r="C265" i="7" s="1"/>
  <c r="C268" i="7" s="1"/>
  <c r="E189" i="7"/>
  <c r="X211" i="7" s="1"/>
  <c r="X213" i="7" s="1"/>
  <c r="X214" i="7" s="1"/>
  <c r="X215" i="7" s="1"/>
  <c r="Y215" i="7" s="1"/>
  <c r="Z215" i="7" s="1"/>
  <c r="AA215" i="7" s="1"/>
  <c r="AB215" i="7" s="1"/>
  <c r="AC215" i="7" s="1"/>
  <c r="AD215" i="7" s="1"/>
  <c r="AE215" i="7" s="1"/>
  <c r="AF215" i="7" s="1"/>
  <c r="U110" i="7"/>
  <c r="D232" i="7"/>
  <c r="C220" i="7"/>
  <c r="D193" i="7"/>
  <c r="T216" i="7" s="1"/>
  <c r="C253" i="7" l="1"/>
  <c r="C255" i="7" s="1"/>
  <c r="D234" i="7"/>
  <c r="AG215" i="7"/>
  <c r="AH215" i="7" s="1"/>
  <c r="AI215" i="7" s="1"/>
  <c r="U111" i="7"/>
  <c r="V107" i="7" s="1"/>
  <c r="D272" i="7"/>
  <c r="C273" i="7"/>
  <c r="C162" i="7" s="1"/>
  <c r="V109" i="7" l="1"/>
  <c r="D238" i="7"/>
  <c r="C259" i="7"/>
  <c r="C165" i="7"/>
  <c r="C166" i="7"/>
  <c r="C274" i="7"/>
  <c r="C275" i="7" l="1"/>
  <c r="C161" i="7"/>
  <c r="C168" i="7"/>
  <c r="V110" i="7"/>
  <c r="V111" i="7" l="1"/>
  <c r="W107" i="7" s="1"/>
  <c r="W109" i="7" l="1"/>
  <c r="W110" i="7" l="1"/>
  <c r="W111" i="7" l="1"/>
  <c r="X107" i="7" s="1"/>
  <c r="X109" i="7" l="1"/>
  <c r="X110" i="7" l="1"/>
  <c r="X111" i="7" l="1"/>
  <c r="Y107" i="7" s="1"/>
  <c r="Y109" i="7" l="1"/>
  <c r="Y110" i="7" l="1"/>
  <c r="Y111" i="7" l="1"/>
  <c r="Z107" i="7" s="1"/>
  <c r="Z109" i="7" l="1"/>
  <c r="Z110" i="7" s="1"/>
  <c r="Z111" i="7" s="1"/>
  <c r="AA107" i="7" s="1"/>
  <c r="AA109" i="7" l="1"/>
  <c r="AA110" i="7" s="1"/>
  <c r="AA111" i="7" s="1"/>
  <c r="AB107" i="7" s="1"/>
  <c r="AB109" i="7" l="1"/>
  <c r="AB110" i="7" s="1"/>
  <c r="AB111" i="7" s="1"/>
  <c r="AC107" i="7" s="1"/>
  <c r="AC109" i="7" l="1"/>
  <c r="AC110" i="7" s="1"/>
  <c r="AC111" i="7" s="1"/>
  <c r="AD107" i="7" s="1"/>
  <c r="AD109" i="7" l="1"/>
  <c r="AD110" i="7" s="1"/>
  <c r="AD111" i="7" s="1"/>
  <c r="AE107" i="7" s="1"/>
  <c r="AE109" i="7" l="1"/>
  <c r="AE110" i="7" s="1"/>
  <c r="AE111" i="7" s="1"/>
  <c r="AF107" i="7" s="1"/>
  <c r="AF109" i="7" l="1"/>
  <c r="AF110" i="7" l="1"/>
  <c r="D113" i="7"/>
  <c r="D132" i="7" l="1"/>
  <c r="D114" i="7"/>
  <c r="AF111" i="7"/>
  <c r="D133" i="7" l="1"/>
  <c r="D155" i="7"/>
  <c r="D156" i="7" s="1"/>
  <c r="D157" i="7" s="1"/>
  <c r="AG107" i="7"/>
  <c r="D116" i="7"/>
  <c r="D266" i="7" s="1"/>
  <c r="D267" i="7" s="1"/>
  <c r="D115" i="7"/>
  <c r="E188" i="7" s="1"/>
  <c r="E191" i="7" s="1"/>
  <c r="E192" i="7" l="1"/>
  <c r="D150" i="7"/>
  <c r="D134" i="7"/>
  <c r="D135" i="7" s="1"/>
  <c r="D158" i="7" s="1"/>
  <c r="AG109" i="7"/>
  <c r="D271" i="7" l="1"/>
  <c r="D163" i="7"/>
  <c r="D160" i="7"/>
  <c r="D151" i="7"/>
  <c r="AG110" i="7"/>
  <c r="D261" i="7"/>
  <c r="D265" i="7" s="1"/>
  <c r="D268" i="7" s="1"/>
  <c r="F189" i="7"/>
  <c r="AJ211" i="7" s="1"/>
  <c r="AJ213" i="7" s="1"/>
  <c r="AJ214" i="7" s="1"/>
  <c r="AJ215" i="7" s="1"/>
  <c r="AK215" i="7" s="1"/>
  <c r="AL215" i="7" s="1"/>
  <c r="AM215" i="7" s="1"/>
  <c r="AN215" i="7" s="1"/>
  <c r="AO215" i="7" s="1"/>
  <c r="AP215" i="7" s="1"/>
  <c r="AQ215" i="7" s="1"/>
  <c r="AR215" i="7" s="1"/>
  <c r="D220" i="7"/>
  <c r="E232" i="7"/>
  <c r="E193" i="7"/>
  <c r="AG111" i="7" l="1"/>
  <c r="AH107" i="7" s="1"/>
  <c r="D253" i="7"/>
  <c r="D255" i="7" s="1"/>
  <c r="AF216" i="7"/>
  <c r="E234" i="7"/>
  <c r="AS215" i="7"/>
  <c r="AT215" i="7" s="1"/>
  <c r="AU215" i="7" s="1"/>
  <c r="E272" i="7"/>
  <c r="D273" i="7"/>
  <c r="D162" i="7" s="1"/>
  <c r="D274" i="7" l="1"/>
  <c r="E238" i="7"/>
  <c r="AH109" i="7"/>
  <c r="D259" i="7"/>
  <c r="D166" i="7"/>
  <c r="D165" i="7"/>
  <c r="D275" i="7" l="1"/>
  <c r="D161" i="7"/>
  <c r="D168" i="7"/>
  <c r="AH110" i="7"/>
  <c r="AH111" i="7" l="1"/>
  <c r="AI107" i="7" s="1"/>
  <c r="AI109" i="7" l="1"/>
  <c r="AI110" i="7" l="1"/>
  <c r="AI111" i="7" l="1"/>
  <c r="AJ107" i="7" s="1"/>
  <c r="AJ109" i="7" l="1"/>
  <c r="AJ110" i="7" l="1"/>
  <c r="AJ111" i="7" l="1"/>
  <c r="AK107" i="7" s="1"/>
  <c r="AK109" i="7" l="1"/>
  <c r="AK110" i="7" l="1"/>
  <c r="AK111" i="7" l="1"/>
  <c r="AL107" i="7" s="1"/>
  <c r="AL109" i="7" l="1"/>
  <c r="AL110" i="7" s="1"/>
  <c r="AL111" i="7" s="1"/>
  <c r="AM107" i="7" s="1"/>
  <c r="AM109" i="7" l="1"/>
  <c r="AM110" i="7" s="1"/>
  <c r="AM111" i="7" s="1"/>
  <c r="AN107" i="7" s="1"/>
  <c r="AN109" i="7" l="1"/>
  <c r="AN110" i="7" s="1"/>
  <c r="AN111" i="7" s="1"/>
  <c r="AO107" i="7" s="1"/>
  <c r="AO109" i="7" l="1"/>
  <c r="AO110" i="7" s="1"/>
  <c r="AO111" i="7" s="1"/>
  <c r="AP107" i="7" s="1"/>
  <c r="AP109" i="7" l="1"/>
  <c r="AP110" i="7" s="1"/>
  <c r="AP111" i="7" s="1"/>
  <c r="AQ107" i="7" s="1"/>
  <c r="AQ109" i="7" l="1"/>
  <c r="AQ110" i="7" s="1"/>
  <c r="AQ111" i="7" s="1"/>
  <c r="AR107" i="7" s="1"/>
  <c r="AR109" i="7" l="1"/>
  <c r="AR110" i="7" l="1"/>
  <c r="E113" i="7"/>
  <c r="E132" i="7" l="1"/>
  <c r="E114" i="7"/>
  <c r="E115" i="7" s="1"/>
  <c r="F188" i="7" s="1"/>
  <c r="F191" i="7" s="1"/>
  <c r="AR111" i="7"/>
  <c r="E133" i="7" l="1"/>
  <c r="E155" i="7"/>
  <c r="E156" i="7" s="1"/>
  <c r="E157" i="7" s="1"/>
  <c r="F192" i="7"/>
  <c r="E116" i="7"/>
  <c r="E266" i="7" s="1"/>
  <c r="E267" i="7" s="1"/>
  <c r="AS107" i="7"/>
  <c r="E150" i="7" l="1"/>
  <c r="E134" i="7"/>
  <c r="AS109" i="7"/>
  <c r="E220" i="7"/>
  <c r="F232" i="7"/>
  <c r="F193" i="7"/>
  <c r="E253" i="7" l="1"/>
  <c r="E255" i="7" s="1"/>
  <c r="AR216" i="7"/>
  <c r="F234" i="7"/>
  <c r="AS110" i="7"/>
  <c r="E261" i="7"/>
  <c r="E265" i="7" s="1"/>
  <c r="E268" i="7" s="1"/>
  <c r="G189" i="7"/>
  <c r="E135" i="7"/>
  <c r="E158" i="7" s="1"/>
  <c r="M39" i="6"/>
  <c r="M38" i="6"/>
  <c r="M37" i="6"/>
  <c r="M36" i="6"/>
  <c r="K40" i="6"/>
  <c r="E13" i="5"/>
  <c r="E12" i="5"/>
  <c r="D12" i="6"/>
  <c r="B6" i="6"/>
  <c r="J10" i="6"/>
  <c r="J9" i="6" s="1"/>
  <c r="S12" i="6"/>
  <c r="S38" i="6" s="1"/>
  <c r="K24" i="6" s="1"/>
  <c r="M24" i="6" s="1"/>
  <c r="G12" i="6"/>
  <c r="G13" i="6" s="1"/>
  <c r="I4" i="6" s="1"/>
  <c r="I5" i="6" s="1"/>
  <c r="I2" i="6"/>
  <c r="I3" i="6" s="1"/>
  <c r="B7" i="6"/>
  <c r="S8" i="6"/>
  <c r="S30" i="6" s="1"/>
  <c r="B17" i="6"/>
  <c r="B14" i="6"/>
  <c r="B10" i="6"/>
  <c r="B4" i="6"/>
  <c r="M40" i="6" l="1"/>
  <c r="L36" i="6"/>
  <c r="L39" i="6"/>
  <c r="L37" i="6"/>
  <c r="L38" i="6"/>
  <c r="AV211" i="7"/>
  <c r="AV213" i="7" s="1"/>
  <c r="AV214" i="7" s="1"/>
  <c r="AV215" i="7" s="1"/>
  <c r="AW215" i="7" s="1"/>
  <c r="AX215" i="7" s="1"/>
  <c r="AY215" i="7" s="1"/>
  <c r="AZ215" i="7" s="1"/>
  <c r="BA215" i="7" s="1"/>
  <c r="BB215" i="7" s="1"/>
  <c r="BC215" i="7" s="1"/>
  <c r="BD215" i="7" s="1"/>
  <c r="AS111" i="7"/>
  <c r="AT107" i="7" s="1"/>
  <c r="F238" i="7"/>
  <c r="E160" i="7"/>
  <c r="E271" i="7"/>
  <c r="E163" i="7"/>
  <c r="E151" i="7"/>
  <c r="E259" i="7"/>
  <c r="E165" i="7"/>
  <c r="E166" i="7"/>
  <c r="K25" i="6"/>
  <c r="M25" i="6" s="1"/>
  <c r="L23" i="6"/>
  <c r="L26" i="6"/>
  <c r="L25" i="6"/>
  <c r="L24" i="6"/>
  <c r="S11" i="6"/>
  <c r="S36" i="6"/>
  <c r="B15" i="6"/>
  <c r="B18" i="6" s="1"/>
  <c r="S16" i="6"/>
  <c r="S21" i="6" s="1"/>
  <c r="N39" i="6" l="1"/>
  <c r="O39" i="6" s="1"/>
  <c r="N24" i="6"/>
  <c r="O24" i="6" s="1"/>
  <c r="N25" i="6"/>
  <c r="O25" i="6" s="1"/>
  <c r="N38" i="6"/>
  <c r="O38" i="6" s="1"/>
  <c r="N26" i="6"/>
  <c r="O26" i="6" s="1"/>
  <c r="N37" i="6"/>
  <c r="O37" i="6" s="1"/>
  <c r="N23" i="6"/>
  <c r="O23" i="6" s="1"/>
  <c r="O36" i="6"/>
  <c r="L40" i="6"/>
  <c r="N36" i="6"/>
  <c r="BE215" i="7"/>
  <c r="BF215" i="7" s="1"/>
  <c r="BG215" i="7" s="1"/>
  <c r="E161" i="7"/>
  <c r="E168" i="7"/>
  <c r="AT109" i="7"/>
  <c r="F272" i="7"/>
  <c r="E273" i="7"/>
  <c r="L27" i="6"/>
  <c r="K9" i="6"/>
  <c r="B19" i="6"/>
  <c r="B22" i="6" s="1"/>
  <c r="S22" i="6"/>
  <c r="S26" i="6"/>
  <c r="S37" i="6"/>
  <c r="S32" i="6"/>
  <c r="S15" i="6"/>
  <c r="S19" i="6" s="1"/>
  <c r="K10" i="6"/>
  <c r="O40" i="6" l="1"/>
  <c r="AT110" i="7"/>
  <c r="E274" i="7"/>
  <c r="E275" i="7" s="1"/>
  <c r="E162" i="7"/>
  <c r="N27" i="6"/>
  <c r="O27" i="6" s="1"/>
  <c r="K26" i="6"/>
  <c r="M26" i="6" s="1"/>
  <c r="K23" i="6"/>
  <c r="M23" i="6" s="1"/>
  <c r="S20" i="6"/>
  <c r="S31" i="6"/>
  <c r="S25" i="6"/>
  <c r="B20" i="6"/>
  <c r="D20" i="6" s="1"/>
  <c r="E20" i="6" s="1"/>
  <c r="E9" i="5"/>
  <c r="E8" i="5"/>
  <c r="E7" i="5"/>
  <c r="E6" i="5"/>
  <c r="E5" i="5"/>
  <c r="E21" i="2"/>
  <c r="E20" i="2"/>
  <c r="E28" i="2"/>
  <c r="E27" i="2"/>
  <c r="E26" i="2"/>
  <c r="E29" i="2" s="1"/>
  <c r="E14" i="2"/>
  <c r="E12" i="2"/>
  <c r="E13" i="2"/>
  <c r="D7" i="2"/>
  <c r="E7" i="2" s="1"/>
  <c r="D36" i="2"/>
  <c r="E15" i="2"/>
  <c r="E11" i="2"/>
  <c r="E16" i="2" s="1"/>
  <c r="D34" i="2"/>
  <c r="D33" i="2"/>
  <c r="D32" i="2"/>
  <c r="D4" i="2"/>
  <c r="E4" i="2" s="1"/>
  <c r="E8" i="2" s="1"/>
  <c r="D5" i="2"/>
  <c r="E5" i="2" s="1"/>
  <c r="D6" i="2"/>
  <c r="E6" i="2" s="1"/>
  <c r="C8" i="2"/>
  <c r="D17" i="1"/>
  <c r="E22" i="2" l="1"/>
  <c r="E23" i="2" s="1"/>
  <c r="AT111" i="7"/>
  <c r="AU107" i="7" s="1"/>
  <c r="K27" i="6"/>
  <c r="M27" i="6"/>
  <c r="D38" i="2"/>
  <c r="D110" i="1"/>
  <c r="K28" i="6" l="1"/>
  <c r="K41" i="6"/>
  <c r="AU109" i="7"/>
  <c r="M28" i="6"/>
  <c r="M29" i="6" s="1"/>
  <c r="M30" i="6" s="1"/>
  <c r="M43" i="6"/>
  <c r="D100" i="1"/>
  <c r="D101" i="1"/>
  <c r="O41" i="6" l="1"/>
  <c r="K42" i="6"/>
  <c r="O28" i="6"/>
  <c r="K29" i="6"/>
  <c r="AU110" i="7"/>
  <c r="D55" i="1"/>
  <c r="D99" i="1" s="1"/>
  <c r="D50" i="1"/>
  <c r="D98" i="1" s="1"/>
  <c r="D42" i="1"/>
  <c r="D97" i="1" s="1"/>
  <c r="D34" i="1"/>
  <c r="D96" i="1" s="1"/>
  <c r="D25" i="1"/>
  <c r="D95" i="1" s="1"/>
  <c r="D94" i="1"/>
  <c r="D69" i="1"/>
  <c r="K30" i="6" l="1"/>
  <c r="M31" i="6" s="1"/>
  <c r="O29" i="6"/>
  <c r="K43" i="6"/>
  <c r="M44" i="6" s="1"/>
  <c r="O42" i="6"/>
  <c r="AU111" i="7"/>
  <c r="AV107" i="7" s="1"/>
  <c r="D10" i="1"/>
  <c r="AV109" i="7" l="1"/>
  <c r="D93" i="1"/>
  <c r="D102" i="1" s="1"/>
  <c r="D81" i="1"/>
  <c r="AV110" i="7" l="1"/>
  <c r="D87" i="1"/>
  <c r="D88" i="1"/>
  <c r="D89" i="1"/>
  <c r="D76" i="1"/>
  <c r="D90" i="1" s="1"/>
  <c r="AV111" i="7" l="1"/>
  <c r="AW107" i="7" s="1"/>
  <c r="E17" i="2"/>
  <c r="G17" i="2" s="1"/>
  <c r="AW109" i="7" l="1"/>
  <c r="AW110" i="7" l="1"/>
  <c r="AW111" i="7" l="1"/>
  <c r="AX107" i="7" s="1"/>
  <c r="AX109" i="7" l="1"/>
  <c r="AX110" i="7" s="1"/>
  <c r="AX111" i="7" s="1"/>
  <c r="AY107" i="7" s="1"/>
  <c r="AY109" i="7" l="1"/>
  <c r="AY110" i="7" s="1"/>
  <c r="AY111" i="7" s="1"/>
  <c r="AZ107" i="7" s="1"/>
  <c r="AZ109" i="7" l="1"/>
  <c r="AZ110" i="7" s="1"/>
  <c r="AZ111" i="7" s="1"/>
  <c r="BA107" i="7" s="1"/>
  <c r="BA109" i="7" l="1"/>
  <c r="BA110" i="7" s="1"/>
  <c r="BA111" i="7" s="1"/>
  <c r="BB107" i="7" s="1"/>
  <c r="BB109" i="7" l="1"/>
  <c r="BB110" i="7" s="1"/>
  <c r="BB111" i="7" s="1"/>
  <c r="BC107" i="7" s="1"/>
  <c r="BC109" i="7" l="1"/>
  <c r="BC110" i="7" s="1"/>
  <c r="BC111" i="7" s="1"/>
  <c r="BD107" i="7" s="1"/>
  <c r="BD109" i="7" l="1"/>
  <c r="BD110" i="7" l="1"/>
  <c r="F113" i="7"/>
  <c r="F132" i="7" l="1"/>
  <c r="F114" i="7"/>
  <c r="F115" i="7" s="1"/>
  <c r="G188" i="7" s="1"/>
  <c r="G191" i="7" s="1"/>
  <c r="G192" i="7" s="1"/>
  <c r="BD111" i="7"/>
  <c r="F133" i="7" l="1"/>
  <c r="F155" i="7"/>
  <c r="F220" i="7"/>
  <c r="G232" i="7"/>
  <c r="G193" i="7"/>
  <c r="BD216" i="7" s="1"/>
  <c r="BE107" i="7"/>
  <c r="F116" i="7"/>
  <c r="F266" i="7" s="1"/>
  <c r="F267" i="7" s="1"/>
  <c r="F156" i="7"/>
  <c r="F157" i="7" s="1"/>
  <c r="G234" i="7" l="1"/>
  <c r="G238" i="7" s="1"/>
  <c r="F150" i="7"/>
  <c r="F134" i="7"/>
  <c r="F253" i="7"/>
  <c r="F255" i="7" s="1"/>
  <c r="BE109" i="7"/>
  <c r="F261" i="7" l="1"/>
  <c r="F265" i="7" s="1"/>
  <c r="F268" i="7" s="1"/>
  <c r="BH213" i="7"/>
  <c r="BH214" i="7" s="1"/>
  <c r="BH215" i="7" s="1"/>
  <c r="BI215" i="7" s="1"/>
  <c r="BJ215" i="7" s="1"/>
  <c r="F259" i="7"/>
  <c r="F135" i="7"/>
  <c r="F158" i="7" s="1"/>
  <c r="BE110" i="7"/>
  <c r="F166" i="7" l="1"/>
  <c r="F165" i="7"/>
  <c r="F271" i="7"/>
  <c r="F273" i="7" s="1"/>
  <c r="F274" i="7" s="1"/>
  <c r="F275" i="7" s="1"/>
  <c r="F151" i="7"/>
  <c r="F160" i="7"/>
  <c r="F163" i="7"/>
  <c r="BE111" i="7"/>
  <c r="BF107" i="7" s="1"/>
  <c r="F161" i="7"/>
  <c r="F168" i="7"/>
  <c r="F162" i="7" l="1"/>
  <c r="BF109" i="7"/>
  <c r="BF110" i="7" l="1"/>
  <c r="BF111" i="7" l="1"/>
  <c r="BG107" i="7" s="1"/>
  <c r="BG109" i="7" l="1"/>
  <c r="BG110" i="7" l="1"/>
  <c r="BG111" i="7" l="1"/>
  <c r="BH107" i="7" s="1"/>
  <c r="BH109" i="7" l="1"/>
  <c r="BH110" i="7" l="1"/>
  <c r="BH111" i="7" l="1"/>
  <c r="BI107" i="7" s="1"/>
  <c r="BI109" i="7" l="1"/>
  <c r="BI110" i="7" l="1"/>
  <c r="BI111" i="7" l="1"/>
  <c r="BJ107" i="7" s="1"/>
  <c r="BJ109" i="7" l="1"/>
  <c r="BJ110" i="7" l="1"/>
  <c r="G113" i="7"/>
  <c r="G132" i="7" s="1"/>
  <c r="G133" i="7" s="1"/>
  <c r="G134" i="7" l="1"/>
  <c r="G135" i="7" s="1"/>
  <c r="G114" i="7"/>
  <c r="H114" i="7" s="1"/>
  <c r="BJ111" i="7"/>
  <c r="G116" i="7" s="1"/>
  <c r="G115" i="7" l="1"/>
  <c r="H188" i="7" l="1"/>
  <c r="H191" i="7" s="1"/>
  <c r="H192" i="7" s="1"/>
  <c r="H232" i="7" s="1"/>
  <c r="B242" i="7" s="1"/>
  <c r="I191" i="7"/>
  <c r="B236" i="7" l="1"/>
  <c r="B245" i="7"/>
  <c r="I187" i="7"/>
  <c r="G220" i="7"/>
  <c r="H193" i="7"/>
  <c r="BJ216" i="7" s="1"/>
  <c r="B240" i="7" l="1"/>
  <c r="B2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20" authorId="0" shapeId="0" xr:uid="{13198BD8-1ED1-4598-ADCD-423BF5D92126}">
      <text>
        <r>
          <rPr>
            <b/>
            <sz val="10"/>
            <color indexed="81"/>
            <rFont val="Tahoma"/>
            <family val="2"/>
          </rPr>
          <t>Autor:</t>
        </r>
        <r>
          <rPr>
            <sz val="10"/>
            <color indexed="81"/>
            <rFont val="Tahoma"/>
            <family val="2"/>
          </rPr>
          <t xml:space="preserve">
Utilidad mensual si se siembran 5 hectareas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70" authorId="0" shapeId="0" xr:uid="{B3DAF0FF-0249-4892-BAF1-864E22FABAD0}">
      <text>
        <r>
          <rPr>
            <b/>
            <sz val="9"/>
            <color indexed="81"/>
            <rFont val="Tahoma"/>
            <charset val="1"/>
          </rPr>
          <t>Autor:</t>
        </r>
        <r>
          <rPr>
            <sz val="9"/>
            <color indexed="81"/>
            <rFont val="Tahoma"/>
            <charset val="1"/>
          </rPr>
          <t xml:space="preserve">
120 días porque inicia en Septiembre</t>
        </r>
      </text>
    </comment>
  </commentList>
</comments>
</file>

<file path=xl/sharedStrings.xml><?xml version="1.0" encoding="utf-8"?>
<sst xmlns="http://schemas.openxmlformats.org/spreadsheetml/2006/main" count="748" uniqueCount="461">
  <si>
    <t>GASTOS INICIALES</t>
  </si>
  <si>
    <r>
      <rPr>
        <sz val="10"/>
        <color theme="4" tint="-0.499984740745262"/>
        <rFont val="Georgia"/>
        <family val="1"/>
        <scheme val="major"/>
      </rPr>
      <t>NOTA ANTES DE USAR ESTA HOJA DE CÁLCULO</t>
    </r>
    <r>
      <rPr>
        <sz val="10"/>
        <color theme="4" tint="-0.499984740745262"/>
        <rFont val="Arial"/>
        <family val="2"/>
        <scheme val="minor"/>
      </rPr>
      <t xml:space="preserve">
</t>
    </r>
    <r>
      <rPr>
        <sz val="9"/>
        <color theme="4" tint="-0.499984740745262"/>
        <rFont val="Arial"/>
        <family val="2"/>
        <scheme val="minor"/>
      </rPr>
      <t>Prácticamente, todos los que empiezan un negocio tienen costos subestimados y, en consecuencia, se enfrentan al peligro de disponer de reservas de capital inadecuadas. La clave para evitar esta trampa es adoptar un método estricto de investigación y planeamiento. Nuestra plantilla Gastos iniciales le guiará en el proceso.</t>
    </r>
    <r>
      <rPr>
        <sz val="10"/>
        <color theme="4" tint="-0.499984740745262"/>
        <rFont val="Arial"/>
        <family val="2"/>
        <scheme val="minor"/>
      </rPr>
      <t xml:space="preserve">
</t>
    </r>
    <r>
      <rPr>
        <sz val="10"/>
        <color theme="4" tint="-0.499984740745262"/>
        <rFont val="Georgia"/>
        <family val="1"/>
        <scheme val="major"/>
      </rPr>
      <t>EMPEZAR POR EL CÁLCULO DE LOS GASTOS</t>
    </r>
    <r>
      <rPr>
        <sz val="10"/>
        <color theme="4" tint="-0.499984740745262"/>
        <rFont val="Arial"/>
        <family val="2"/>
        <scheme val="minor"/>
      </rPr>
      <t xml:space="preserve">
</t>
    </r>
    <r>
      <rPr>
        <sz val="9"/>
        <color theme="4" tint="-0.499984740745262"/>
        <rFont val="Arial"/>
        <family val="2"/>
        <scheme val="minor"/>
      </rPr>
      <t xml:space="preserve">¿Qué le costará poner en marcha su negocio?  La clave para la precisión es prestar atención a cada detalle. Por cada categoría de gastos, prepare una lista de todo lo que tendrá que comprar. Aquí se incluirán activos tangibles (como equipo e inventario) y servicios (como reformas y seguros). Después, determine dónde podría comprar estos bienes o servicios. Busque más de un proveedor (es decir, compare varias tiendas). No analice solo el precio; las condiciones de pago, la entrega, la confiabilidad y el servicio también son importantes. </t>
    </r>
  </si>
  <si>
    <t>EDIFICIOS/INMUEBLES</t>
  </si>
  <si>
    <t>Compra</t>
  </si>
  <si>
    <t>Construcción</t>
  </si>
  <si>
    <t>Reformas</t>
  </si>
  <si>
    <t>Otros</t>
  </si>
  <si>
    <t>Total</t>
  </si>
  <si>
    <t>MEJORAS EN ALQUILERES</t>
  </si>
  <si>
    <t>Elemento 1</t>
  </si>
  <si>
    <t>Elemento 4</t>
  </si>
  <si>
    <t>LISTA DE EQUIPO DE CAPITAL</t>
  </si>
  <si>
    <t>Mobiliario</t>
  </si>
  <si>
    <t>Equipamiento</t>
  </si>
  <si>
    <t>Accesorios</t>
  </si>
  <si>
    <t>Maquinaria</t>
  </si>
  <si>
    <t>GASTOS ADMINISTRATIVOS Y DE UBICACIÓN</t>
  </si>
  <si>
    <t>Alquiler</t>
  </si>
  <si>
    <t>Ingresos para servicios públicos</t>
  </si>
  <si>
    <t>Honorarios jurídicos y de contabilidad</t>
  </si>
  <si>
    <t>Seguro prepagado</t>
  </si>
  <si>
    <t xml:space="preserve">Salarios antes de la apertura </t>
  </si>
  <si>
    <t>INVENTARIO INICIAL</t>
  </si>
  <si>
    <t>Categoría 1</t>
  </si>
  <si>
    <t>Categoría 2</t>
  </si>
  <si>
    <t>Categoría 3</t>
  </si>
  <si>
    <t>Categoría 4</t>
  </si>
  <si>
    <t>Categoría 5</t>
  </si>
  <si>
    <t>GASTOS PROMOCIONALES Y DE PUBLICIDAD</t>
  </si>
  <si>
    <t>Publicidad</t>
  </si>
  <si>
    <t>Señalización</t>
  </si>
  <si>
    <t>Impresión</t>
  </si>
  <si>
    <t>Viajes y entretenimiento</t>
  </si>
  <si>
    <t>Otras categorías</t>
  </si>
  <si>
    <t>OTROS GASTOS</t>
  </si>
  <si>
    <t>Otro gasto 1</t>
  </si>
  <si>
    <t>Otro gasto 2</t>
  </si>
  <si>
    <t>Reserva para contingencias</t>
  </si>
  <si>
    <t xml:space="preserve">Capital circulante </t>
  </si>
  <si>
    <r>
      <rPr>
        <sz val="10"/>
        <color theme="4" tint="-0.499984740745262"/>
        <rFont val="Georgia"/>
        <family val="1"/>
        <scheme val="major"/>
      </rPr>
      <t>AGREGAR UNA RESERVA PARA CONTINGENCIAS</t>
    </r>
    <r>
      <rPr>
        <sz val="10"/>
        <color theme="4" tint="-0.499984740745262"/>
        <rFont val="Arial"/>
        <family val="2"/>
        <scheme val="minor"/>
      </rPr>
      <t xml:space="preserve">
</t>
    </r>
    <r>
      <rPr>
        <sz val="9"/>
        <color theme="4" tint="-0.499984740745262"/>
        <rFont val="Arial"/>
        <family val="2"/>
        <scheme val="minor"/>
      </rPr>
      <t xml:space="preserve">Asegúrese de explicar en su narrativa cómo decidió el importe especificado en esta reserva. </t>
    </r>
    <r>
      <rPr>
        <sz val="10"/>
        <color theme="4" tint="-0.499984740745262"/>
        <rFont val="Arial"/>
        <family val="2"/>
        <scheme val="minor"/>
      </rPr>
      <t xml:space="preserve">
</t>
    </r>
    <r>
      <rPr>
        <sz val="10"/>
        <color theme="4" tint="-0.499984740745262"/>
        <rFont val="Georgia"/>
        <family val="1"/>
        <scheme val="major"/>
      </rPr>
      <t>DETERMINAR EL FLUJO DE EFECTIVO</t>
    </r>
    <r>
      <rPr>
        <sz val="10"/>
        <color theme="4" tint="-0.499984740745262"/>
        <rFont val="Arial"/>
        <family val="2"/>
        <scheme val="minor"/>
      </rPr>
      <t xml:space="preserve">
</t>
    </r>
    <r>
      <rPr>
        <sz val="9"/>
        <color theme="4" tint="-0.499984740745262"/>
        <rFont val="Arial"/>
        <family val="2"/>
        <scheme val="minor"/>
      </rPr>
      <t>No se puede abrir una cuenta bancaria sin saldo. Necesita un colchón para cubrir gastos mientras se pone en marcha el negocio. Le recomendamos tener una proyección de flujo de caja de 12 meses. Aquí es donde trabajará en el cálculo de sus necesidades de capital circulante. De momento, deje esta línea en blanco o realice un cálculo aproximado. Después de completar el flujo de efectivo, puede volver y especificar los importes que analizó detenidamente.</t>
    </r>
    <r>
      <rPr>
        <sz val="10"/>
        <color theme="4" tint="-0.499984740745262"/>
        <rFont val="Arial"/>
        <family val="2"/>
        <scheme val="minor"/>
      </rPr>
      <t xml:space="preserve">
</t>
    </r>
    <r>
      <rPr>
        <sz val="10"/>
        <color theme="4" tint="-0.499984740745262"/>
        <rFont val="Georgia"/>
        <family val="1"/>
        <scheme val="major"/>
      </rPr>
      <t>ESPECIFICAR LAS FUENTES DE CAPITAL</t>
    </r>
    <r>
      <rPr>
        <sz val="10"/>
        <color theme="4" tint="-0.499984740745262"/>
        <rFont val="Arial"/>
        <family val="2"/>
        <scheme val="minor"/>
      </rPr>
      <t xml:space="preserve">
</t>
    </r>
    <r>
      <rPr>
        <sz val="9"/>
        <color theme="4" tint="-0.499984740745262"/>
        <rFont val="Arial"/>
        <family val="2"/>
        <scheme val="minor"/>
      </rPr>
      <t>Después de calcular el capital que necesitará para empezar, tiene que centrarse en la parte superior de esta hoja de cálculo. Escriba los importes que pondrá por su cuenta, cuánto aportarán los socios o inversores y cuánto se obtendrá mediante préstamos.</t>
    </r>
  </si>
  <si>
    <t>FUENTES DE CAPITAL</t>
  </si>
  <si>
    <r>
      <t xml:space="preserve">INVERSIÓN DE LOS PROPIETARIOS </t>
    </r>
    <r>
      <rPr>
        <sz val="9"/>
        <color theme="4" tint="-0.499984740745262"/>
        <rFont val="Arial"/>
        <family val="2"/>
        <scheme val="minor"/>
      </rPr>
      <t>(NOMBRE Y % DE PROPIEDAD)</t>
    </r>
  </si>
  <si>
    <t>Nombre y porcentaje de propiedad</t>
  </si>
  <si>
    <t>Otro inversor</t>
  </si>
  <si>
    <t>PRÉSTAMOS BANCARIOS</t>
  </si>
  <si>
    <t>Banco 1</t>
  </si>
  <si>
    <t>Banco 2</t>
  </si>
  <si>
    <t>Banco 3</t>
  </si>
  <si>
    <t>Banco 4</t>
  </si>
  <si>
    <t>OTROS PRÉSTAMOS</t>
  </si>
  <si>
    <t>Origen 1</t>
  </si>
  <si>
    <t>Origen 2</t>
  </si>
  <si>
    <r>
      <rPr>
        <sz val="10"/>
        <color theme="4" tint="-0.499984740745262"/>
        <rFont val="Georgia"/>
        <family val="1"/>
        <scheme val="major"/>
      </rPr>
      <t>PROPORCIONAR PRUEBA DE AVALES</t>
    </r>
    <r>
      <rPr>
        <sz val="10"/>
        <color theme="4" tint="-0.499984740745262"/>
        <rFont val="Arial"/>
        <family val="2"/>
        <scheme val="minor"/>
      </rPr>
      <t xml:space="preserve">
</t>
    </r>
    <r>
      <rPr>
        <sz val="9"/>
        <color theme="4" tint="-0.499984740745262"/>
        <rFont val="Arial"/>
        <family val="2"/>
        <scheme val="minor"/>
      </rPr>
      <t>Si va a usar este plan para solicitar un préstamo bancario, utilice la sección de la parte inferior para mostrar los activos que se ofrecen como aval para garantizar el préstamo y calcule el valor de estos elementos. Prepárese para ofrecer alguna prueba de cálculo de los valores de los avales.</t>
    </r>
  </si>
  <si>
    <t>ESTADO DE CUENTAS</t>
  </si>
  <si>
    <t>FUENTE DE CAPITAL</t>
  </si>
  <si>
    <t>Propietarios y otras inversiones</t>
  </si>
  <si>
    <t>Préstamos bancarios</t>
  </si>
  <si>
    <t>Otros préstamos</t>
  </si>
  <si>
    <t>Edificios/inmuebles</t>
  </si>
  <si>
    <t>Mejoras en alquileres</t>
  </si>
  <si>
    <t>Equipo de capital</t>
  </si>
  <si>
    <t>Gastos de administración y ubicación</t>
  </si>
  <si>
    <t>Inventario inicial</t>
  </si>
  <si>
    <t>Gastos promocionales y de publicidad</t>
  </si>
  <si>
    <t>Otros gastos</t>
  </si>
  <si>
    <t>Fondo para imprevistos</t>
  </si>
  <si>
    <t>Capital circulante</t>
  </si>
  <si>
    <t>SEGURIDAD Y AVAL PARA PROPUESTA DE PRÉSTAMO</t>
  </si>
  <si>
    <t>AVAL PARA PRÉSTAMOS</t>
  </si>
  <si>
    <t>Inmuebles</t>
  </si>
  <si>
    <t>Otros avales</t>
  </si>
  <si>
    <t>PROPIETARIOS</t>
  </si>
  <si>
    <t>SU NOMBRE AQUÍ</t>
  </si>
  <si>
    <t>Otro propietario</t>
  </si>
  <si>
    <t>AVALISTAS DE PRÉSTAMO (DISTINTOS DE LOS PROPIETARIOS)</t>
  </si>
  <si>
    <t>Avalista de préstamo 1</t>
  </si>
  <si>
    <t>Avalista de préstamo 2</t>
  </si>
  <si>
    <t>Avalista de préstamo 3</t>
  </si>
  <si>
    <t xml:space="preserve"> </t>
  </si>
  <si>
    <t>DESCRIPCIÓN</t>
  </si>
  <si>
    <t>NOMBRE DE LA EMPRESA</t>
  </si>
  <si>
    <t>CANTIDAD</t>
  </si>
  <si>
    <t>TOTALES</t>
  </si>
  <si>
    <t>VALOR</t>
  </si>
  <si>
    <t xml:space="preserve">  </t>
  </si>
  <si>
    <t>Elemento 2</t>
  </si>
  <si>
    <t>Elemento 3</t>
  </si>
  <si>
    <t>RECURSO HUMANO</t>
  </si>
  <si>
    <t>Ingeniero de Datos</t>
  </si>
  <si>
    <t>Técnico de Campo</t>
  </si>
  <si>
    <t>HORAS</t>
  </si>
  <si>
    <t>COSTO</t>
  </si>
  <si>
    <t>Gerente de Proyecto</t>
  </si>
  <si>
    <t>Alquiler kit de herramientas</t>
  </si>
  <si>
    <t>Alquiler de equipos de computo</t>
  </si>
  <si>
    <t>Transporte de Técnicos</t>
  </si>
  <si>
    <t>Viáticos</t>
  </si>
  <si>
    <t>GASTOS ADMINISTRATIVOS</t>
  </si>
  <si>
    <t>INVERSIÓN</t>
  </si>
  <si>
    <t>Kit de instalación</t>
  </si>
  <si>
    <t>COSTO UNITARIO</t>
  </si>
  <si>
    <t>TOTAL</t>
  </si>
  <si>
    <t>Laptop</t>
  </si>
  <si>
    <t>AGRAL-TECH</t>
  </si>
  <si>
    <t>COSTO PROYECTO</t>
  </si>
  <si>
    <t>PRESUPUESTO</t>
  </si>
  <si>
    <t>Pricing Calculator | Microsoft Azure</t>
  </si>
  <si>
    <t>Instancia MS Azure (3 instancias, 730 horas mes, Computed optimized)</t>
  </si>
  <si>
    <t>Monitor UltraWide 29"</t>
  </si>
  <si>
    <t>Teclado + mouse inalámbrico</t>
  </si>
  <si>
    <t>Director de Tesis</t>
  </si>
  <si>
    <t>Soil Temperature &amp; Humidity Sensor</t>
  </si>
  <si>
    <t>INVERSIÓN EQUIPO DE COMPUTO</t>
  </si>
  <si>
    <t>Total (USD)</t>
  </si>
  <si>
    <t>Total (COP) con TRM en $4076 COP</t>
  </si>
  <si>
    <t>Servicio de conectividad (M2M) - Backup</t>
  </si>
  <si>
    <t>Servicio de conectividad - Internet</t>
  </si>
  <si>
    <t>FST200 LoRaWAN Sensor Terminal</t>
  </si>
  <si>
    <t>Soil pH Sensor</t>
  </si>
  <si>
    <t>GASTO CONECTIVIDAD</t>
  </si>
  <si>
    <t>F8L10GW LoRaWAN Gateway (Outdoor)</t>
  </si>
  <si>
    <t>FUENTE DE INGRESOS</t>
  </si>
  <si>
    <t>Servicio de monitoreo y analítica</t>
  </si>
  <si>
    <t>Operación y mantenimiento</t>
  </si>
  <si>
    <t>Ventas de productos y equipos</t>
  </si>
  <si>
    <t>Software - Licencias</t>
  </si>
  <si>
    <t>Contratos y proyectos agroindustriales</t>
  </si>
  <si>
    <t>Desarrollo de tecnología</t>
  </si>
  <si>
    <t>Valor</t>
  </si>
  <si>
    <t>Puesta en marcha</t>
  </si>
  <si>
    <t>REFERENCIA</t>
  </si>
  <si>
    <t>UNIDAD</t>
  </si>
  <si>
    <t>PRECIO</t>
  </si>
  <si>
    <t>MATRIZ DE PRECIOS</t>
  </si>
  <si>
    <t>Gabinete plástico</t>
  </si>
  <si>
    <t>Kit de monitoreo en sitio - básico</t>
  </si>
  <si>
    <t>Kit de monitoreo en sitio - avanzado</t>
  </si>
  <si>
    <t>SUMINISTRO DE COMPONENTES KIT DE MONITOREO</t>
  </si>
  <si>
    <t>LoRaWAN Sensor Terminal</t>
  </si>
  <si>
    <t xml:space="preserve">FST200 </t>
  </si>
  <si>
    <t>LoRaWAN Gateway (Outdoor)</t>
  </si>
  <si>
    <t xml:space="preserve">F8L10GW </t>
  </si>
  <si>
    <t>INSTALACIÓN Y PUESTA EN MARCHA</t>
  </si>
  <si>
    <t>Instalación y puesta en marcha</t>
  </si>
  <si>
    <t>Servicio de conectividad</t>
  </si>
  <si>
    <t>MONITOREO Y ANALÍTICA</t>
  </si>
  <si>
    <t>Servicio de monitoreo 7x24</t>
  </si>
  <si>
    <t>Servicio de monitoreo 5x8</t>
  </si>
  <si>
    <t>Servicio de monitoreo 6x8</t>
  </si>
  <si>
    <t>TRM</t>
  </si>
  <si>
    <t>Analítica</t>
  </si>
  <si>
    <t>M2M o LoRa</t>
  </si>
  <si>
    <t>Edge Server</t>
  </si>
  <si>
    <t>Semilla (1 kg)</t>
  </si>
  <si>
    <t>bultos</t>
  </si>
  <si>
    <t>1 hectarea</t>
  </si>
  <si>
    <t>kg de semilla</t>
  </si>
  <si>
    <t>bultos x hectarea</t>
  </si>
  <si>
    <t>1 kg de semilla</t>
  </si>
  <si>
    <t>COP</t>
  </si>
  <si>
    <t>Inversión total en semilla</t>
  </si>
  <si>
    <t>con WSN</t>
  </si>
  <si>
    <t>Valor del bulto</t>
  </si>
  <si>
    <t>Ganancia por hectarea</t>
  </si>
  <si>
    <t>Gasto por jornalero</t>
  </si>
  <si>
    <t>Cantidad de jornaleros</t>
  </si>
  <si>
    <t>con capacidad de sembrar 2kg c/u</t>
  </si>
  <si>
    <t>Producción (bultos/ha)</t>
  </si>
  <si>
    <t>Utilidad</t>
  </si>
  <si>
    <t>Rendimiento</t>
  </si>
  <si>
    <t>Gasto total jornaleros</t>
  </si>
  <si>
    <t>por hectarea</t>
  </si>
  <si>
    <t>Producción Temporada Seca</t>
  </si>
  <si>
    <t>&gt;=100 y &lt;=120</t>
  </si>
  <si>
    <t>2.8 ton/ha</t>
  </si>
  <si>
    <t>por hectarea 1 vez por cultivo</t>
  </si>
  <si>
    <t>Producción Temporada Lluvias</t>
  </si>
  <si>
    <t>&gt;=200 y &lt;=250</t>
  </si>
  <si>
    <t>6.8 ton/ha</t>
  </si>
  <si>
    <t>Fertilizante</t>
  </si>
  <si>
    <t>bultos (50kg)</t>
  </si>
  <si>
    <t>Costo fertilizante</t>
  </si>
  <si>
    <t>kg por hectarea</t>
  </si>
  <si>
    <t>Gasto total fertilizante</t>
  </si>
  <si>
    <t>con la WSN</t>
  </si>
  <si>
    <t>Inversión total por hectarea</t>
  </si>
  <si>
    <t>Arriendo terreno por hectarea</t>
  </si>
  <si>
    <t>anual</t>
  </si>
  <si>
    <t>Inversión incluyendo arriendo terreno</t>
  </si>
  <si>
    <t>Utilidad por hectarea por cosecha</t>
  </si>
  <si>
    <t>Utilidad mensual</t>
  </si>
  <si>
    <t>Rentabilidad</t>
  </si>
  <si>
    <t>Amortización por cultivo</t>
  </si>
  <si>
    <t>Estructura de Costos Agricultor</t>
  </si>
  <si>
    <t>Costos incluyendo arriendo terreno</t>
  </si>
  <si>
    <t>Producción</t>
  </si>
  <si>
    <t>Equivalen a 204 bultos de 40kg x hectarea</t>
  </si>
  <si>
    <t>102 bultos/ha</t>
  </si>
  <si>
    <t>Datos Agricultor</t>
  </si>
  <si>
    <t>Valor del kg</t>
  </si>
  <si>
    <t>Temporada Seca</t>
  </si>
  <si>
    <t>Temporada Lluvias</t>
  </si>
  <si>
    <t>Ingresos por ventas</t>
  </si>
  <si>
    <t>Inversión</t>
  </si>
  <si>
    <t>ton/ha</t>
  </si>
  <si>
    <t>Unidad</t>
  </si>
  <si>
    <t>Cosecha 1</t>
  </si>
  <si>
    <t>Cosecha 2</t>
  </si>
  <si>
    <t>Cosecha 3</t>
  </si>
  <si>
    <t>Cosecha 4</t>
  </si>
  <si>
    <t>Costo total</t>
  </si>
  <si>
    <t>Totales</t>
  </si>
  <si>
    <t>Utilidad año</t>
  </si>
  <si>
    <t>Ingresos totales año</t>
  </si>
  <si>
    <t>kg/ha</t>
  </si>
  <si>
    <t>Producción (ton/ha)</t>
  </si>
  <si>
    <t>Variación</t>
  </si>
  <si>
    <t>Agricultor</t>
  </si>
  <si>
    <t>Prototipo</t>
  </si>
  <si>
    <t>Año 1</t>
  </si>
  <si>
    <t>Año 2</t>
  </si>
  <si>
    <t>FORMULACIÓN PROYECTO</t>
  </si>
  <si>
    <t>INFLACIÓN</t>
  </si>
  <si>
    <t>% SALARIO</t>
  </si>
  <si>
    <t>% IMPUESTO</t>
  </si>
  <si>
    <t>UNIDADES VENDER</t>
  </si>
  <si>
    <t xml:space="preserve">DELTA </t>
  </si>
  <si>
    <t>PRECIO COMPETENCIA</t>
  </si>
  <si>
    <t>% MARGEN CONTRIBUCION (%MC)</t>
  </si>
  <si>
    <t>COSTO VARIABLE UNITARIO</t>
  </si>
  <si>
    <t>MANO DE OBRA</t>
  </si>
  <si>
    <t>MATERIA PRIMA</t>
  </si>
  <si>
    <t>INSUMOS</t>
  </si>
  <si>
    <t>COSTO FIJO ANUAL</t>
  </si>
  <si>
    <t>GASTO FIJO ANUAL</t>
  </si>
  <si>
    <t>ACTIVO FIJO OPERACIÓN 1</t>
  </si>
  <si>
    <t>DEPRECIACIÓN</t>
  </si>
  <si>
    <t>AÑO</t>
  </si>
  <si>
    <t>SUMA DIGITOS</t>
  </si>
  <si>
    <t>ACTIVO FIJO ADMINISTRATIVA</t>
  </si>
  <si>
    <t>AÑOS</t>
  </si>
  <si>
    <t>LINEA RECTA</t>
  </si>
  <si>
    <t>CAPITAL DE TRABAJO INICIAL</t>
  </si>
  <si>
    <t>DELTA CAPITAL DE TRABAJO</t>
  </si>
  <si>
    <t>DELTA CAPITAL DE TRABAJO 2</t>
  </si>
  <si>
    <t>DELTA CAPITAL DE TRABAJO 3</t>
  </si>
  <si>
    <t>VENTAS CONTADO</t>
  </si>
  <si>
    <t>VENTAS CRÉDITO</t>
  </si>
  <si>
    <t xml:space="preserve">DIAS </t>
  </si>
  <si>
    <t>Crédito 1 AF Operación Cuota Fija</t>
  </si>
  <si>
    <t>n</t>
  </si>
  <si>
    <t xml:space="preserve">M </t>
  </si>
  <si>
    <t>TEA</t>
  </si>
  <si>
    <t>EA</t>
  </si>
  <si>
    <t>FINANCIACION PROPIA</t>
  </si>
  <si>
    <t>Ventas contado y crédito. Compras contado y constante</t>
  </si>
  <si>
    <t>ACTIVOS</t>
  </si>
  <si>
    <t>PASIVO Y PATRIMONIO</t>
  </si>
  <si>
    <t>%</t>
  </si>
  <si>
    <t>EFECTIVO (CAPITAL TRABAJO)</t>
  </si>
  <si>
    <t>PASIVO FINANCIERO</t>
  </si>
  <si>
    <t>TOTAL ACTIVO CORRIENTE</t>
  </si>
  <si>
    <t>TOTAL PASIVO</t>
  </si>
  <si>
    <t>PROPIEDAD,PLANTA,EQUIPOS</t>
  </si>
  <si>
    <t>TOTAL NO CORRIENTE</t>
  </si>
  <si>
    <t>PATRIMONIO</t>
  </si>
  <si>
    <t>TOTAL ACTIVOS</t>
  </si>
  <si>
    <t>T. PASIVO Y PATRIMONIO</t>
  </si>
  <si>
    <t>Check</t>
  </si>
  <si>
    <t>FCN</t>
  </si>
  <si>
    <t>FCN1</t>
  </si>
  <si>
    <t>FCN2</t>
  </si>
  <si>
    <t>FCN3</t>
  </si>
  <si>
    <t>PRECIO DE VENTA UNITARIO (PVU)</t>
  </si>
  <si>
    <t>%MC=MC/PVU</t>
  </si>
  <si>
    <t>PVU (%CVU)</t>
  </si>
  <si>
    <t>PVU=CVU*(1+%CVU)</t>
  </si>
  <si>
    <t>MC=PVU-CVU</t>
  </si>
  <si>
    <t>PVU(%MC)</t>
  </si>
  <si>
    <t>PVU=CVU/(1-%MC)</t>
  </si>
  <si>
    <t>MARGEN CONTRIBUCION (MC)</t>
  </si>
  <si>
    <t>%MC</t>
  </si>
  <si>
    <t>DELTA PVU</t>
  </si>
  <si>
    <t>PRESUPUESTOS UNITARIOS</t>
  </si>
  <si>
    <t>UNIDADES</t>
  </si>
  <si>
    <t>PRECIO VENTA UNITARIO</t>
  </si>
  <si>
    <t>DIGITO</t>
  </si>
  <si>
    <t>DEPRECIACIÓN AF OPERACIÓN 1</t>
  </si>
  <si>
    <t>UNIDADES PRODUCCIÓN</t>
  </si>
  <si>
    <t>DEPRECIACIÓN AF ADMINISTRATIVO</t>
  </si>
  <si>
    <t>Presupuesto ventas contado y crédito</t>
  </si>
  <si>
    <t>días</t>
  </si>
  <si>
    <t>Días año</t>
  </si>
  <si>
    <t>Fracción de recaudo</t>
  </si>
  <si>
    <t>Ventas</t>
  </si>
  <si>
    <t>Ventas de contado</t>
  </si>
  <si>
    <t>Ventas a crédito</t>
  </si>
  <si>
    <t>Ingreso de la venta crédito</t>
  </si>
  <si>
    <t>Cuentas por cobrar</t>
  </si>
  <si>
    <t>Presupuestos créditos AF Operación</t>
  </si>
  <si>
    <t>N</t>
  </si>
  <si>
    <t xml:space="preserve">TNA </t>
  </si>
  <si>
    <t>NAMV</t>
  </si>
  <si>
    <t>IP</t>
  </si>
  <si>
    <t>Mensual</t>
  </si>
  <si>
    <t>Cuota Fija</t>
  </si>
  <si>
    <t>Tabla de Amortización - Crédito 1 AF Operación Cuota Fija</t>
  </si>
  <si>
    <t xml:space="preserve">Periodo </t>
  </si>
  <si>
    <t>Saldo inicial</t>
  </si>
  <si>
    <t>Cuota</t>
  </si>
  <si>
    <t>Intereses</t>
  </si>
  <si>
    <t>Abono a capital</t>
  </si>
  <si>
    <t>Saldo final</t>
  </si>
  <si>
    <t>Año</t>
  </si>
  <si>
    <t>Sumatoria de Intereses</t>
  </si>
  <si>
    <t>Sumatoria de Capital</t>
  </si>
  <si>
    <t>Sumatoria de Cuotas</t>
  </si>
  <si>
    <t>Saldo Final</t>
  </si>
  <si>
    <t>INGRESOS ACTIVIDAD</t>
  </si>
  <si>
    <t>COSTO VENTAS</t>
  </si>
  <si>
    <t>COSTO VARIABLE TOTAL (CVT)</t>
  </si>
  <si>
    <t xml:space="preserve">COSTO FIJO </t>
  </si>
  <si>
    <t>UTILIDAD BRUTA</t>
  </si>
  <si>
    <t>RESULTADO OPERACIONAL</t>
  </si>
  <si>
    <t>GASTOS FINANCIEROS CRÉDITO 1</t>
  </si>
  <si>
    <t>RESULTADO ANTES IMPUESTOS</t>
  </si>
  <si>
    <t>IMPUESTO (RENTA)</t>
  </si>
  <si>
    <t>RESULTADO EJERCICIO (NETO)</t>
  </si>
  <si>
    <t>INDICADORES FINANCIEROS</t>
  </si>
  <si>
    <t>INDICADORES RENTABILIDAD</t>
  </si>
  <si>
    <t>PVU</t>
  </si>
  <si>
    <t>CVU</t>
  </si>
  <si>
    <t>MARGEN CONTRIBUCIÓN U (MCU)=PVU-CVU</t>
  </si>
  <si>
    <t>MARGEN CONTRIBUCIÓN T (MCT) =IA - CVT</t>
  </si>
  <si>
    <t>%CVU = PVU/CVU -1</t>
  </si>
  <si>
    <t>%CVT = IA/CVT - 1</t>
  </si>
  <si>
    <t>%MCU = MCU/PVU</t>
  </si>
  <si>
    <t>%MCT = MCT/IA</t>
  </si>
  <si>
    <t>Margen Bruto = UB/IA</t>
  </si>
  <si>
    <t>Margen operacional = RO/IA</t>
  </si>
  <si>
    <t>Margen antes de impuestos = RAI/IA</t>
  </si>
  <si>
    <t>Margen resultado ejercicio (Neto) = RE/IA</t>
  </si>
  <si>
    <t>I = E</t>
  </si>
  <si>
    <t>Punto equilibrio operacional und (CF+GF+D)/MCU</t>
  </si>
  <si>
    <t xml:space="preserve">RO = 0 </t>
  </si>
  <si>
    <t>X*PVU= 
X*CVU + CF + GF + D</t>
  </si>
  <si>
    <t>Punto equilibrio operacional $ = P. Equi Op Und*PVU</t>
  </si>
  <si>
    <t>Margen P. Equi Operacional = P. Equi Op $/IA</t>
  </si>
  <si>
    <t>P. equilibrio financiero Und = (CF+GF+DF+GF)/MCU</t>
  </si>
  <si>
    <t>RAI = 0</t>
  </si>
  <si>
    <t>X*PVU= 
X*CVU + CF + GF + D + GF</t>
  </si>
  <si>
    <t>P. equilibrio financiero $ = P. Equi Fin * PVU</t>
  </si>
  <si>
    <t>Margen P. Equi Financiero = P. Equi Fin $/IA</t>
  </si>
  <si>
    <t>MÉT 1. EBITDA = RE + IMP + GF + DEP</t>
  </si>
  <si>
    <t>MÉT 2. EBITDA = IA - CVT - CF - GF (Monetario)</t>
  </si>
  <si>
    <t>Margen EBITDA = EBITDA / IA</t>
  </si>
  <si>
    <t>ROA = RO / T. ACTIVOS</t>
  </si>
  <si>
    <t>ROE = RE / PATRIMONIO</t>
  </si>
  <si>
    <t>RO KS = RE/KS</t>
  </si>
  <si>
    <t>KS = Capital social</t>
  </si>
  <si>
    <t>Indicadores de Liquidez</t>
  </si>
  <si>
    <t>Liquidez = Activo Corriente / Pasivo Corriente</t>
  </si>
  <si>
    <t>Capital de trabajo Neto = Activo CTE - Pasivo CTE</t>
  </si>
  <si>
    <t>Indicadores de Apalancamiento</t>
  </si>
  <si>
    <t>Endeudamiento = Total Pasivos / Total Activos</t>
  </si>
  <si>
    <t>Indicadores de Rotación</t>
  </si>
  <si>
    <t>Periodo de Cobro = 360*CXC/IA</t>
  </si>
  <si>
    <t>Rotación de cartera = IA/CXC</t>
  </si>
  <si>
    <t>FLUJO EFECTIVO ANUAL</t>
  </si>
  <si>
    <t>VP</t>
  </si>
  <si>
    <t>INGRESOS</t>
  </si>
  <si>
    <t>CAPITAL (INVERSIÓN)</t>
  </si>
  <si>
    <t>PRESTAMOS</t>
  </si>
  <si>
    <t>RECAUDO DE CARTERA</t>
  </si>
  <si>
    <t>TOTAL INGRESOS</t>
  </si>
  <si>
    <t>EGRESOS</t>
  </si>
  <si>
    <t>COMPRA ACTIVOS FIJOS</t>
  </si>
  <si>
    <t>COSTO VARIABLE TOTAL</t>
  </si>
  <si>
    <t>COSTO FIJOS ANUAL</t>
  </si>
  <si>
    <t>PAGO CUOTA CRÉDITO 1</t>
  </si>
  <si>
    <t>IMPUESTOS (RENTA)</t>
  </si>
  <si>
    <t>PAGO DIVIDENDO</t>
  </si>
  <si>
    <t>TOTAL EGRESOS</t>
  </si>
  <si>
    <t>INGRESOS - EGRESOS</t>
  </si>
  <si>
    <t>EFECTIVO</t>
  </si>
  <si>
    <t>FLUJO EFECTIVO MENSUAL</t>
  </si>
  <si>
    <t>FLUJO CAJA NETO (FCN)</t>
  </si>
  <si>
    <t>TASA INVERSIONISTA</t>
  </si>
  <si>
    <t>VP (FCN)</t>
  </si>
  <si>
    <t>VPN</t>
  </si>
  <si>
    <t>PRI</t>
  </si>
  <si>
    <t>FRACCIÓN</t>
  </si>
  <si>
    <t>TIR</t>
  </si>
  <si>
    <t>VP INGRESOS</t>
  </si>
  <si>
    <t>VP EGRESOS</t>
  </si>
  <si>
    <t>R B/C</t>
  </si>
  <si>
    <t xml:space="preserve">ESTADO DE SITUACION FINANCIERA </t>
  </si>
  <si>
    <t>CUENTAS POR COBRAR (CXC)</t>
  </si>
  <si>
    <t>PROPIEDAD,PLANTA,EQUIPO</t>
  </si>
  <si>
    <t>DEPRECIACIÓN ACUMULADA</t>
  </si>
  <si>
    <t>TOTAL ACTIVO NO CORRIENTE</t>
  </si>
  <si>
    <t>PASIVO</t>
  </si>
  <si>
    <t>IMPUESTO POR PAGAR (IXP)</t>
  </si>
  <si>
    <t>CUENTAS POR PAGAR (CXP)</t>
  </si>
  <si>
    <t>OBLIGACIONES LABORALES</t>
  </si>
  <si>
    <t>PASIVOS FINANCIEROS</t>
  </si>
  <si>
    <t>TOTAL PASIVO CORRIENTE</t>
  </si>
  <si>
    <t>PASIVO FINANCIERO CRÉDITO 1</t>
  </si>
  <si>
    <t>TOTAL PASIVO NO CORRIENTE</t>
  </si>
  <si>
    <t>TOTAL PASIVOS</t>
  </si>
  <si>
    <t>CAPITAL SOCIAL</t>
  </si>
  <si>
    <t>UTILIDADES</t>
  </si>
  <si>
    <t>TOTAL PATRIMONIO</t>
  </si>
  <si>
    <t>TOTAL PASIVO Y PATRIMONIO</t>
  </si>
  <si>
    <t>ESTADO RESULTADOS</t>
  </si>
  <si>
    <t>AGRALIA SAS BIC</t>
  </si>
  <si>
    <t>COSTOS FIJOS</t>
  </si>
  <si>
    <t>Arrendamiento oficina</t>
  </si>
  <si>
    <t>Servicios públicos</t>
  </si>
  <si>
    <t>Alquiler equipos de computo</t>
  </si>
  <si>
    <t>Internet oficina</t>
  </si>
  <si>
    <t>Plan celular</t>
  </si>
  <si>
    <t>Salarios</t>
  </si>
  <si>
    <t>GASTOS FIJOS</t>
  </si>
  <si>
    <t>ESTADO DE SITUACION FINANCIERA INICIAL</t>
  </si>
  <si>
    <t>CAPITAL S (INVERSION)</t>
  </si>
  <si>
    <t>AÑO INICIO OPERACIÓN</t>
  </si>
  <si>
    <t>% TASA INVERSIONISTA</t>
  </si>
  <si>
    <t>%COSTO VARIABLE UNITARIO (CVU)</t>
  </si>
  <si>
    <t>PERIODO COBRO (Días)</t>
  </si>
  <si>
    <t>TEA (EA)</t>
  </si>
  <si>
    <t>abr-2024</t>
  </si>
  <si>
    <t>2024</t>
  </si>
  <si>
    <t>2025</t>
  </si>
  <si>
    <t>2026</t>
  </si>
  <si>
    <t>2027</t>
  </si>
  <si>
    <t>2028</t>
  </si>
  <si>
    <t>2029</t>
  </si>
  <si>
    <t>Ke</t>
  </si>
  <si>
    <t>CAA</t>
  </si>
  <si>
    <t>WACC</t>
  </si>
  <si>
    <t>Costo del capital de trabajo</t>
  </si>
  <si>
    <t>Monto del capital aportado por los accionistas</t>
  </si>
  <si>
    <t>Monto de la deuda financiera</t>
  </si>
  <si>
    <t>Costo de la deuda financiera</t>
  </si>
  <si>
    <t>Tasa</t>
  </si>
  <si>
    <t>D</t>
  </si>
  <si>
    <t>Kd</t>
  </si>
  <si>
    <t>T</t>
  </si>
  <si>
    <t>Ke*(CAA / CAA+D) + Kd*(1-T)*D / (CAA + D)</t>
  </si>
  <si>
    <t>UTILIDADES ACUMULADAS</t>
  </si>
  <si>
    <t>+</t>
  </si>
  <si>
    <t>Indicador</t>
  </si>
  <si>
    <t>AÑO 1</t>
  </si>
  <si>
    <t>AÑO 2</t>
  </si>
  <si>
    <t>Utilidad actual vs futura</t>
  </si>
  <si>
    <t>Producción (ton/ha)2</t>
  </si>
  <si>
    <t>Costo total3</t>
  </si>
  <si>
    <t>Framework</t>
  </si>
  <si>
    <r>
      <t>Producción (ton/ha)</t>
    </r>
    <r>
      <rPr>
        <sz val="10"/>
        <color theme="6"/>
        <rFont val="Arial"/>
        <family val="2"/>
        <scheme val="minor"/>
      </rPr>
      <t>2</t>
    </r>
  </si>
  <si>
    <r>
      <t>Costo total</t>
    </r>
    <r>
      <rPr>
        <sz val="10"/>
        <color theme="6"/>
        <rFont val="Arial"/>
        <family val="2"/>
        <scheme val="minor"/>
      </rPr>
      <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</si>
</sst>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1" formatCode="_(* #,##0_);_(* \(#,##0\);_(* &quot;-&quot;_);_(@_)"/>
    <numFmt numFmtId="44" formatCode="_(&quot;$&quot;* #,##0.00_);_(&quot;$&quot;* \(#,##0.00\);_(&quot;$&quot;* &quot;-&quot;??_);_(@_)"/>
    <numFmt numFmtId="43" formatCode="_(* #,##0.00_);_(* \(#,##0.00\);_(* &quot;-&quot;??_);_(@_)"/>
    <numFmt numFmtId="164" formatCode="_-* #,##0.00\ &quot;€&quot;_-;\-* #,##0.00\ &quot;€&quot;_-;_-* &quot;-&quot;??\ &quot;€&quot;_-;_-@_-"/>
    <numFmt numFmtId="165" formatCode="_-* #,##0\ &quot;€&quot;_-;\-* #,##0\ &quot;€&quot;_-;_-* &quot;-&quot;\ &quot;€&quot;_-;_-@_-"/>
    <numFmt numFmtId="166" formatCode="&quot;$&quot;#,##0.00"/>
    <numFmt numFmtId="167" formatCode="&quot;$&quot;#,##0"/>
    <numFmt numFmtId="168" formatCode="_([$$-409]* #,##0.00_);_([$$-409]* \(#,##0.00\);_([$$-409]* &quot;-&quot;??_);_(@_)"/>
    <numFmt numFmtId="169" formatCode="_(&quot;$&quot;* #,##0_);_(&quot;$&quot;* \(#,##0\);_(&quot;$&quot;* &quot;-&quot;??_);_(@_)"/>
    <numFmt numFmtId="170" formatCode="0.0"/>
    <numFmt numFmtId="171" formatCode="_-* #,##0.00_-;\-* #,##0.00_-;_-* &quot;-&quot;??_-;_-@_-"/>
    <numFmt numFmtId="172" formatCode="_-* #,##0_-;\-* #,##0_-;_-* &quot;-&quot;??_-;_-@_-"/>
    <numFmt numFmtId="173" formatCode="0.0%"/>
    <numFmt numFmtId="174" formatCode="&quot;$&quot;\ #,##0;[Red]\-&quot;$&quot;\ #,##0"/>
    <numFmt numFmtId="175" formatCode="_-* #,##0.0_-;\-* #,##0.0_-;_-* &quot;-&quot;??_-;_-@_-"/>
    <numFmt numFmtId="176" formatCode="_-* #,##0.0_-;\-* #,##0.0_-;_-* &quot;-&quot;?_-;_-@_-"/>
    <numFmt numFmtId="177" formatCode="_-&quot;$&quot;* #,##0_-;\-&quot;$&quot;* #,##0_-;_-&quot;$&quot;* &quot;-&quot;_-;_-@_-"/>
  </numFmts>
  <fonts count="52" x14ac:knownFonts="1">
    <font>
      <sz val="10"/>
      <color theme="1" tint="0.2499465926084170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theme="4" tint="-0.499984740745262"/>
      <name val="Georgia"/>
      <family val="1"/>
      <scheme val="major"/>
    </font>
    <font>
      <sz val="29"/>
      <color theme="4" tint="-0.24994659260841701"/>
      <name val="Georgia"/>
      <family val="2"/>
      <scheme val="major"/>
    </font>
    <font>
      <sz val="11"/>
      <color theme="4" tint="-0.24994659260841701"/>
      <name val="Georgia"/>
      <family val="1"/>
      <scheme val="major"/>
    </font>
    <font>
      <b/>
      <sz val="9"/>
      <color theme="4" tint="0.39991454817346722"/>
      <name val="Arial"/>
      <family val="2"/>
      <scheme val="minor"/>
    </font>
    <font>
      <b/>
      <sz val="9"/>
      <color theme="4" tint="-0.24994659260841701"/>
      <name val="Arial"/>
      <family val="2"/>
      <scheme val="minor"/>
    </font>
    <font>
      <sz val="10"/>
      <color theme="4"/>
      <name val="Arial"/>
      <family val="2"/>
      <scheme val="minor"/>
    </font>
    <font>
      <sz val="10"/>
      <color theme="4" tint="-0.499984740745262"/>
      <name val="Arial"/>
      <family val="2"/>
      <scheme val="minor"/>
    </font>
    <font>
      <sz val="10"/>
      <color theme="4" tint="-0.499984740745262"/>
      <name val="Georgia"/>
      <family val="1"/>
      <scheme val="major"/>
    </font>
    <font>
      <sz val="10"/>
      <color theme="4" tint="-0.499984740745262"/>
      <name val="Arial"/>
      <family val="1"/>
      <scheme val="minor"/>
    </font>
    <font>
      <sz val="9"/>
      <color theme="4" tint="-0.499984740745262"/>
      <name val="Arial"/>
      <family val="2"/>
      <scheme val="minor"/>
    </font>
    <font>
      <b/>
      <sz val="9"/>
      <color theme="4" tint="-0.499984740745262"/>
      <name val="Arial"/>
      <family val="2"/>
      <scheme val="minor"/>
    </font>
    <font>
      <sz val="10"/>
      <color theme="1" tint="0.34998626667073579"/>
      <name val="Arial"/>
      <family val="2"/>
      <scheme val="minor"/>
    </font>
    <font>
      <b/>
      <sz val="10"/>
      <color theme="1" tint="0.34998626667073579"/>
      <name val="Arial"/>
      <family val="2"/>
      <scheme val="minor"/>
    </font>
    <font>
      <sz val="11"/>
      <color theme="4" tint="-0.499984740745262"/>
      <name val="Georgia"/>
      <family val="1"/>
      <scheme val="major"/>
    </font>
    <font>
      <sz val="10"/>
      <color theme="1" tint="0.24994659260841701"/>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0"/>
      <color theme="10"/>
      <name val="Arial"/>
      <family val="2"/>
      <scheme val="minor"/>
    </font>
    <font>
      <sz val="10"/>
      <color theme="0"/>
      <name val="Arial"/>
      <family val="2"/>
      <scheme val="minor"/>
    </font>
    <font>
      <sz val="11"/>
      <color theme="4" tint="-0.499984740745262"/>
      <name val="Arial"/>
      <family val="2"/>
      <scheme val="minor"/>
    </font>
    <font>
      <sz val="28"/>
      <color theme="4" tint="-0.249977111117893"/>
      <name val="Arial"/>
      <family val="2"/>
      <scheme val="minor"/>
    </font>
    <font>
      <sz val="9"/>
      <name val="Arial"/>
      <family val="2"/>
      <scheme val="minor"/>
    </font>
    <font>
      <b/>
      <sz val="10"/>
      <color theme="1" tint="0.24994659260841701"/>
      <name val="Arial"/>
      <family val="2"/>
      <scheme val="minor"/>
    </font>
    <font>
      <sz val="8"/>
      <name val="Arial"/>
      <family val="2"/>
      <scheme val="minor"/>
    </font>
    <font>
      <b/>
      <sz val="10"/>
      <color indexed="81"/>
      <name val="Tahoma"/>
      <family val="2"/>
    </font>
    <font>
      <sz val="10"/>
      <color indexed="81"/>
      <name val="Tahoma"/>
      <family val="2"/>
    </font>
    <font>
      <b/>
      <sz val="9"/>
      <color indexed="81"/>
      <name val="Tahoma"/>
      <charset val="1"/>
    </font>
    <font>
      <sz val="9"/>
      <color indexed="81"/>
      <name val="Tahoma"/>
      <charset val="1"/>
    </font>
    <font>
      <sz val="10"/>
      <name val="Arial"/>
      <family val="2"/>
      <scheme val="minor"/>
    </font>
    <font>
      <sz val="12"/>
      <color theme="1"/>
      <name val="Arial"/>
      <family val="2"/>
      <scheme val="minor"/>
    </font>
    <font>
      <sz val="10"/>
      <color theme="1"/>
      <name val="Arial"/>
      <family val="2"/>
      <scheme val="minor"/>
    </font>
    <font>
      <b/>
      <sz val="10"/>
      <color theme="0"/>
      <name val="Arial"/>
      <family val="2"/>
      <scheme val="minor"/>
    </font>
    <font>
      <b/>
      <sz val="10"/>
      <color theme="1"/>
      <name val="Arial"/>
      <family val="2"/>
      <scheme val="minor"/>
    </font>
    <font>
      <b/>
      <sz val="12"/>
      <color theme="1"/>
      <name val="Arial"/>
      <family val="2"/>
      <scheme val="minor"/>
    </font>
    <font>
      <sz val="10"/>
      <color theme="6"/>
      <name val="Arial"/>
      <family val="2"/>
      <scheme val="minor"/>
    </font>
  </fonts>
  <fills count="55">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0000"/>
        <bgColor indexed="64"/>
      </patternFill>
    </fill>
    <fill>
      <patternFill patternType="solid">
        <fgColor theme="8" tint="0.79998168889431442"/>
        <bgColor indexed="64"/>
      </patternFill>
    </fill>
    <fill>
      <patternFill patternType="solid">
        <fgColor rgb="FF00B05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4" tint="-0.499984740745262"/>
        <bgColor indexed="64"/>
      </patternFill>
    </fill>
    <fill>
      <patternFill patternType="solid">
        <fgColor theme="0"/>
        <bgColor indexed="64"/>
      </patternFill>
    </fill>
    <fill>
      <patternFill patternType="solid">
        <fgColor theme="4" tint="0.79998168889431442"/>
        <bgColor indexed="64"/>
      </patternFill>
    </fill>
    <fill>
      <patternFill patternType="solid">
        <fgColor theme="6"/>
        <bgColor theme="6"/>
      </patternFill>
    </fill>
    <fill>
      <patternFill patternType="solid">
        <fgColor theme="6"/>
        <bgColor indexed="64"/>
      </patternFill>
    </fill>
  </fills>
  <borders count="41">
    <border>
      <left/>
      <right/>
      <top/>
      <bottom/>
      <diagonal/>
    </border>
    <border>
      <left style="hair">
        <color theme="1" tint="0.34998626667073579"/>
      </left>
      <right/>
      <top style="hair">
        <color theme="1" tint="0.34998626667073579"/>
      </top>
      <bottom style="hair">
        <color theme="1" tint="0.34998626667073579"/>
      </bottom>
      <diagonal/>
    </border>
    <border>
      <left/>
      <right/>
      <top style="hair">
        <color theme="1" tint="0.34998626667073579"/>
      </top>
      <bottom style="hair">
        <color theme="1" tint="0.34998626667073579"/>
      </bottom>
      <diagonal/>
    </border>
    <border>
      <left/>
      <right style="hair">
        <color theme="1" tint="0.34998626667073579"/>
      </right>
      <top style="hair">
        <color theme="1" tint="0.34998626667073579"/>
      </top>
      <bottom style="hair">
        <color theme="1" tint="0.34998626667073579"/>
      </bottom>
      <diagonal/>
    </border>
    <border>
      <left/>
      <right/>
      <top style="medium">
        <color theme="4" tint="-0.24994659260841701"/>
      </top>
      <bottom/>
      <diagonal/>
    </border>
    <border>
      <left/>
      <right/>
      <top style="dotted">
        <color theme="4" tint="0.59996337778862885"/>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dotted">
        <color theme="4" tint="0.59996337778862885"/>
      </top>
      <bottom style="dotted">
        <color theme="4" tint="0.59996337778862885"/>
      </bottom>
      <diagonal/>
    </border>
    <border>
      <left style="dotted">
        <color theme="4" tint="0.59996337778862885"/>
      </left>
      <right/>
      <top style="dotted">
        <color theme="4" tint="0.59996337778862885"/>
      </top>
      <bottom style="dotted">
        <color theme="4" tint="0.59996337778862885"/>
      </bottom>
      <diagonal/>
    </border>
    <border>
      <left/>
      <right/>
      <top style="medium">
        <color theme="4" tint="-0.24994659260841701"/>
      </top>
      <bottom style="dotted">
        <color theme="4" tint="0.59996337778862885"/>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theme="1"/>
      </top>
      <bottom style="medium">
        <color theme="1"/>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57">
    <xf numFmtId="0" fontId="0" fillId="0" borderId="0">
      <alignment vertical="center"/>
    </xf>
    <xf numFmtId="0" fontId="8" fillId="0" borderId="0" applyNumberFormat="0" applyFill="0" applyBorder="0" applyAlignment="0" applyProtection="0"/>
    <xf numFmtId="0" fontId="7" fillId="0" borderId="0" applyNumberFormat="0" applyFill="0" applyBorder="0" applyAlignment="0" applyProtection="0"/>
    <xf numFmtId="0" fontId="11" fillId="0" borderId="0" applyNumberFormat="0" applyFill="0" applyBorder="0" applyProtection="0">
      <alignment horizontal="left" vertical="center" indent="1"/>
    </xf>
    <xf numFmtId="0" fontId="9" fillId="0" borderId="0" applyNumberFormat="0" applyFill="0" applyBorder="0" applyAlignment="0" applyProtection="0"/>
    <xf numFmtId="0" fontId="10" fillId="0" borderId="0" applyNumberFormat="0" applyFill="0" applyBorder="0" applyAlignment="0" applyProtection="0"/>
    <xf numFmtId="43" fontId="21" fillId="0" borderId="0" applyFont="0" applyFill="0" applyBorder="0" applyAlignment="0" applyProtection="0"/>
    <xf numFmtId="41" fontId="21" fillId="0" borderId="0" applyFont="0" applyFill="0" applyBorder="0" applyAlignment="0" applyProtection="0"/>
    <xf numFmtId="164" fontId="21" fillId="0" borderId="0" applyFont="0" applyFill="0" applyBorder="0" applyAlignment="0" applyProtection="0"/>
    <xf numFmtId="165" fontId="21" fillId="0" borderId="0" applyFont="0" applyFill="0" applyBorder="0" applyAlignment="0" applyProtection="0"/>
    <xf numFmtId="9" fontId="21" fillId="0" borderId="0" applyFont="0" applyFill="0" applyBorder="0" applyAlignment="0" applyProtection="0"/>
    <xf numFmtId="0" fontId="22" fillId="3" borderId="0" applyNumberFormat="0" applyBorder="0" applyAlignment="0" applyProtection="0"/>
    <xf numFmtId="0" fontId="23" fillId="4" borderId="0" applyNumberFormat="0" applyBorder="0" applyAlignment="0" applyProtection="0"/>
    <xf numFmtId="0" fontId="24" fillId="5" borderId="0" applyNumberFormat="0" applyBorder="0" applyAlignment="0" applyProtection="0"/>
    <xf numFmtId="0" fontId="25" fillId="6" borderId="6" applyNumberFormat="0" applyAlignment="0" applyProtection="0"/>
    <xf numFmtId="0" fontId="26" fillId="7" borderId="7" applyNumberFormat="0" applyAlignment="0" applyProtection="0"/>
    <xf numFmtId="0" fontId="27" fillId="7" borderId="6" applyNumberFormat="0" applyAlignment="0" applyProtection="0"/>
    <xf numFmtId="0" fontId="28" fillId="0" borderId="8" applyNumberFormat="0" applyFill="0" applyAlignment="0" applyProtection="0"/>
    <xf numFmtId="0" fontId="29" fillId="8" borderId="9" applyNumberFormat="0" applyAlignment="0" applyProtection="0"/>
    <xf numFmtId="0" fontId="30" fillId="0" borderId="0" applyNumberFormat="0" applyFill="0" applyBorder="0" applyAlignment="0" applyProtection="0"/>
    <xf numFmtId="0" fontId="21" fillId="9" borderId="10" applyNumberFormat="0" applyFont="0" applyAlignment="0" applyProtection="0"/>
    <xf numFmtId="0" fontId="31" fillId="0" borderId="0" applyNumberFormat="0" applyFill="0" applyBorder="0" applyAlignment="0" applyProtection="0"/>
    <xf numFmtId="0" fontId="32" fillId="0" borderId="11" applyNumberFormat="0" applyFill="0" applyAlignment="0" applyProtection="0"/>
    <xf numFmtId="0" fontId="33"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33"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33"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33"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33"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33"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34" fillId="0" borderId="0" applyNumberFormat="0" applyFill="0" applyBorder="0" applyAlignment="0" applyProtection="0">
      <alignment vertical="center"/>
    </xf>
    <xf numFmtId="0" fontId="5" fillId="0" borderId="0"/>
    <xf numFmtId="44" fontId="5" fillId="0" borderId="0" applyFont="0" applyFill="0" applyBorder="0" applyAlignment="0" applyProtection="0"/>
    <xf numFmtId="9" fontId="5" fillId="0" borderId="0" applyFont="0" applyFill="0" applyBorder="0" applyAlignment="0" applyProtection="0"/>
    <xf numFmtId="0" fontId="3" fillId="0" borderId="0"/>
    <xf numFmtId="171" fontId="3" fillId="0" borderId="0" applyFont="0" applyFill="0" applyBorder="0" applyAlignment="0" applyProtection="0"/>
    <xf numFmtId="9" fontId="3" fillId="0" borderId="0" applyFont="0" applyFill="0" applyBorder="0" applyAlignment="0" applyProtection="0"/>
    <xf numFmtId="0" fontId="46" fillId="0" borderId="0"/>
    <xf numFmtId="9" fontId="46" fillId="0" borderId="0" applyFont="0" applyFill="0" applyBorder="0" applyAlignment="0" applyProtection="0"/>
    <xf numFmtId="177" fontId="46" fillId="0" borderId="0" applyFont="0" applyFill="0" applyBorder="0" applyAlignment="0" applyProtection="0"/>
  </cellStyleXfs>
  <cellXfs count="318">
    <xf numFmtId="0" fontId="0" fillId="0" borderId="0" xfId="0">
      <alignment vertical="center"/>
    </xf>
    <xf numFmtId="0" fontId="7" fillId="0" borderId="0" xfId="2" applyAlignment="1">
      <alignment vertical="center"/>
    </xf>
    <xf numFmtId="0" fontId="0" fillId="0" borderId="0" xfId="0" applyAlignment="1">
      <alignment horizontal="left" vertical="center" indent="1"/>
    </xf>
    <xf numFmtId="0" fontId="8" fillId="0" borderId="0" xfId="1" applyAlignment="1">
      <alignment horizontal="left" vertical="center" indent="1"/>
    </xf>
    <xf numFmtId="0" fontId="17" fillId="0" borderId="0" xfId="3" applyFont="1">
      <alignment horizontal="left" vertical="center" indent="1"/>
    </xf>
    <xf numFmtId="0" fontId="13" fillId="0" borderId="0" xfId="0" applyFont="1">
      <alignment vertical="center"/>
    </xf>
    <xf numFmtId="0" fontId="17" fillId="0" borderId="0" xfId="3" applyFont="1" applyAlignment="1">
      <alignment horizontal="left" vertical="center"/>
    </xf>
    <xf numFmtId="0" fontId="17" fillId="0" borderId="0" xfId="3" applyFont="1" applyAlignment="1">
      <alignment horizontal="right" vertical="center" indent="1"/>
    </xf>
    <xf numFmtId="0" fontId="15" fillId="0" borderId="0" xfId="0" applyFont="1" applyAlignment="1">
      <alignment horizontal="left" vertical="center" wrapText="1" indent="1"/>
    </xf>
    <xf numFmtId="0" fontId="13" fillId="0" borderId="0" xfId="0" applyFont="1" applyAlignment="1">
      <alignment horizontal="left" vertical="center" wrapText="1" indent="1"/>
    </xf>
    <xf numFmtId="0" fontId="12" fillId="0" borderId="0" xfId="0" applyFont="1" applyAlignment="1">
      <alignment horizontal="left" vertical="center" wrapText="1" indent="1"/>
    </xf>
    <xf numFmtId="0" fontId="18" fillId="0" borderId="0" xfId="0" applyFont="1" applyAlignment="1">
      <alignment horizontal="left" vertical="center" indent="1"/>
    </xf>
    <xf numFmtId="0" fontId="18" fillId="0" borderId="0" xfId="0" applyFont="1">
      <alignment vertical="center"/>
    </xf>
    <xf numFmtId="0" fontId="18" fillId="2" borderId="0" xfId="0" applyFont="1" applyFill="1" applyAlignment="1">
      <alignment horizontal="left" vertical="center" indent="1"/>
    </xf>
    <xf numFmtId="0" fontId="18" fillId="2" borderId="0" xfId="0" applyFont="1" applyFill="1">
      <alignment vertical="center"/>
    </xf>
    <xf numFmtId="0" fontId="19" fillId="2" borderId="0" xfId="0" applyFont="1" applyFill="1" applyAlignment="1">
      <alignment horizontal="left" vertical="center" indent="1"/>
    </xf>
    <xf numFmtId="0" fontId="19" fillId="2" borderId="0" xfId="0" applyFont="1" applyFill="1">
      <alignment vertical="center"/>
    </xf>
    <xf numFmtId="0" fontId="13" fillId="0" borderId="4" xfId="0" applyFont="1" applyBorder="1">
      <alignment vertical="center"/>
    </xf>
    <xf numFmtId="0" fontId="13" fillId="0" borderId="4" xfId="0" applyFont="1" applyBorder="1" applyAlignment="1">
      <alignment horizontal="right" vertical="center"/>
    </xf>
    <xf numFmtId="0" fontId="18" fillId="0" borderId="5" xfId="0" applyFont="1" applyBorder="1" applyAlignment="1">
      <alignment horizontal="left" vertical="center" indent="1"/>
    </xf>
    <xf numFmtId="0" fontId="18" fillId="0" borderId="5" xfId="0" applyFont="1" applyBorder="1">
      <alignment vertical="center"/>
    </xf>
    <xf numFmtId="0" fontId="17" fillId="0" borderId="0" xfId="3" applyFont="1" applyFill="1" applyBorder="1">
      <alignment horizontal="left" vertical="center" indent="1"/>
    </xf>
    <xf numFmtId="0" fontId="20" fillId="0" borderId="0" xfId="4" applyFont="1" applyAlignment="1">
      <alignment horizontal="right" vertical="center"/>
    </xf>
    <xf numFmtId="0" fontId="0" fillId="0" borderId="0" xfId="0" applyAlignment="1">
      <alignment horizontal="center" vertical="center"/>
    </xf>
    <xf numFmtId="166" fontId="0" fillId="0" borderId="0" xfId="0" applyNumberFormat="1" applyAlignment="1">
      <alignment horizontal="right" vertical="center" indent="1"/>
    </xf>
    <xf numFmtId="166" fontId="19" fillId="2" borderId="0" xfId="0" applyNumberFormat="1" applyFont="1" applyFill="1" applyAlignment="1">
      <alignment horizontal="right" vertical="center" indent="1"/>
    </xf>
    <xf numFmtId="0" fontId="35" fillId="0" borderId="0" xfId="0" applyFont="1">
      <alignment vertical="center"/>
    </xf>
    <xf numFmtId="3" fontId="0" fillId="0" borderId="0" xfId="0" applyNumberFormat="1" applyAlignment="1">
      <alignment horizontal="right" vertical="center" indent="1"/>
    </xf>
    <xf numFmtId="167" fontId="0" fillId="0" borderId="0" xfId="0" applyNumberFormat="1">
      <alignment vertical="center"/>
    </xf>
    <xf numFmtId="167" fontId="0" fillId="0" borderId="0" xfId="0" applyNumberFormat="1" applyAlignment="1">
      <alignment horizontal="right" vertical="center"/>
    </xf>
    <xf numFmtId="166" fontId="0" fillId="0" borderId="0" xfId="0" applyNumberFormat="1" applyAlignment="1">
      <alignment horizontal="right" vertical="center"/>
    </xf>
    <xf numFmtId="0" fontId="34" fillId="0" borderId="0" xfId="47">
      <alignment vertical="center"/>
    </xf>
    <xf numFmtId="0" fontId="37" fillId="0" borderId="0" xfId="0" applyFont="1" applyAlignment="1">
      <alignment horizontal="right" vertical="center"/>
    </xf>
    <xf numFmtId="0" fontId="19" fillId="0" borderId="12" xfId="0" applyFont="1" applyBorder="1">
      <alignment vertical="center"/>
    </xf>
    <xf numFmtId="0" fontId="19" fillId="0" borderId="12" xfId="0" applyFont="1" applyBorder="1" applyAlignment="1">
      <alignment horizontal="left" vertical="center" indent="1"/>
    </xf>
    <xf numFmtId="166" fontId="19" fillId="0" borderId="12" xfId="0" applyNumberFormat="1" applyFont="1" applyBorder="1" applyAlignment="1">
      <alignment horizontal="right" vertical="center" indent="1"/>
    </xf>
    <xf numFmtId="166" fontId="19" fillId="0" borderId="13" xfId="0" applyNumberFormat="1" applyFont="1" applyBorder="1" applyAlignment="1">
      <alignment horizontal="right" vertical="center"/>
    </xf>
    <xf numFmtId="0" fontId="38" fillId="0" borderId="0" xfId="0" applyFont="1" applyAlignment="1">
      <alignment horizontal="left" vertical="center" readingOrder="1"/>
    </xf>
    <xf numFmtId="0" fontId="39" fillId="0" borderId="0" xfId="0" applyFont="1">
      <alignment vertical="center"/>
    </xf>
    <xf numFmtId="0" fontId="17" fillId="0" borderId="14" xfId="3" applyFont="1" applyFill="1" applyBorder="1">
      <alignment horizontal="left" vertical="center" indent="1"/>
    </xf>
    <xf numFmtId="3" fontId="18" fillId="0" borderId="0" xfId="0" applyNumberFormat="1" applyFont="1" applyAlignment="1">
      <alignment horizontal="left" vertical="center" indent="1"/>
    </xf>
    <xf numFmtId="3" fontId="18" fillId="2" borderId="0" xfId="0" applyNumberFormat="1" applyFont="1" applyFill="1" applyAlignment="1">
      <alignment horizontal="left" vertical="center" indent="1"/>
    </xf>
    <xf numFmtId="0" fontId="17" fillId="0" borderId="14" xfId="3" applyFont="1" applyFill="1" applyBorder="1" applyAlignment="1">
      <alignment horizontal="center" vertical="center"/>
    </xf>
    <xf numFmtId="0" fontId="18" fillId="0" borderId="0" xfId="0" applyFont="1" applyAlignment="1">
      <alignment horizontal="center" vertical="center"/>
    </xf>
    <xf numFmtId="0" fontId="18" fillId="2" borderId="0" xfId="0" applyFont="1" applyFill="1" applyAlignment="1">
      <alignment horizontal="center" vertical="center"/>
    </xf>
    <xf numFmtId="0" fontId="39" fillId="0" borderId="0" xfId="0" applyFont="1" applyAlignment="1">
      <alignment horizontal="left" vertical="center"/>
    </xf>
    <xf numFmtId="0" fontId="17" fillId="0" borderId="14" xfId="3" applyFont="1" applyFill="1" applyBorder="1" applyAlignment="1">
      <alignment horizontal="left" vertical="center"/>
    </xf>
    <xf numFmtId="3" fontId="18" fillId="0" borderId="0" xfId="0" applyNumberFormat="1" applyFont="1" applyAlignment="1">
      <alignment horizontal="left" vertical="center"/>
    </xf>
    <xf numFmtId="3" fontId="18" fillId="2" borderId="0" xfId="0" applyNumberFormat="1" applyFont="1" applyFill="1" applyAlignment="1">
      <alignment horizontal="left" vertical="center"/>
    </xf>
    <xf numFmtId="168" fontId="17" fillId="0" borderId="14" xfId="8" applyNumberFormat="1" applyFont="1" applyFill="1" applyBorder="1" applyAlignment="1">
      <alignment horizontal="left" vertical="center"/>
    </xf>
    <xf numFmtId="168" fontId="18" fillId="0" borderId="0" xfId="8" applyNumberFormat="1" applyFont="1" applyFill="1" applyBorder="1" applyAlignment="1">
      <alignment horizontal="left" vertical="center"/>
    </xf>
    <xf numFmtId="168" fontId="18" fillId="2" borderId="0" xfId="8" applyNumberFormat="1" applyFont="1" applyFill="1" applyBorder="1" applyAlignment="1">
      <alignment horizontal="left" vertical="center"/>
    </xf>
    <xf numFmtId="168" fontId="18" fillId="0" borderId="0" xfId="8" applyNumberFormat="1" applyFont="1" applyFill="1" applyBorder="1" applyAlignment="1">
      <alignment horizontal="right" vertical="center" indent="1"/>
    </xf>
    <xf numFmtId="168" fontId="39" fillId="0" borderId="0" xfId="8" applyNumberFormat="1" applyFont="1" applyAlignment="1">
      <alignment vertical="center"/>
    </xf>
    <xf numFmtId="0" fontId="5" fillId="0" borderId="0" xfId="48"/>
    <xf numFmtId="169" fontId="0" fillId="0" borderId="0" xfId="49" applyNumberFormat="1" applyFont="1"/>
    <xf numFmtId="0" fontId="5" fillId="34" borderId="0" xfId="48" applyFill="1"/>
    <xf numFmtId="169" fontId="0" fillId="34" borderId="0" xfId="49" applyNumberFormat="1" applyFont="1" applyFill="1"/>
    <xf numFmtId="0" fontId="32" fillId="35" borderId="0" xfId="48" applyFont="1" applyFill="1"/>
    <xf numFmtId="169" fontId="32" fillId="35" borderId="0" xfId="48" applyNumberFormat="1" applyFont="1" applyFill="1"/>
    <xf numFmtId="169" fontId="5" fillId="0" borderId="0" xfId="48" applyNumberFormat="1"/>
    <xf numFmtId="0" fontId="32" fillId="36" borderId="0" xfId="48" applyFont="1" applyFill="1"/>
    <xf numFmtId="169" fontId="5" fillId="34" borderId="0" xfId="48" applyNumberFormat="1" applyFill="1"/>
    <xf numFmtId="0" fontId="5" fillId="36" borderId="0" xfId="48" applyFill="1"/>
    <xf numFmtId="169" fontId="5" fillId="36" borderId="0" xfId="48" applyNumberFormat="1" applyFill="1"/>
    <xf numFmtId="0" fontId="32" fillId="0" borderId="0" xfId="48" applyFont="1"/>
    <xf numFmtId="169" fontId="32" fillId="0" borderId="0" xfId="48" applyNumberFormat="1" applyFont="1"/>
    <xf numFmtId="0" fontId="32" fillId="34" borderId="0" xfId="48" applyFont="1" applyFill="1"/>
    <xf numFmtId="169" fontId="32" fillId="34" borderId="0" xfId="48" applyNumberFormat="1" applyFont="1" applyFill="1"/>
    <xf numFmtId="1" fontId="0" fillId="0" borderId="0" xfId="50" applyNumberFormat="1" applyFont="1"/>
    <xf numFmtId="0" fontId="32" fillId="37" borderId="0" xfId="48" applyFont="1" applyFill="1"/>
    <xf numFmtId="10" fontId="32" fillId="37" borderId="0" xfId="48" applyNumberFormat="1" applyFont="1" applyFill="1"/>
    <xf numFmtId="9" fontId="5" fillId="0" borderId="0" xfId="10" applyFont="1"/>
    <xf numFmtId="0" fontId="5" fillId="35" borderId="0" xfId="48" applyFill="1"/>
    <xf numFmtId="169" fontId="5" fillId="35" borderId="0" xfId="48" applyNumberFormat="1" applyFill="1"/>
    <xf numFmtId="170" fontId="5" fillId="0" borderId="0" xfId="48" applyNumberFormat="1"/>
    <xf numFmtId="167" fontId="5" fillId="0" borderId="0" xfId="48" applyNumberFormat="1"/>
    <xf numFmtId="0" fontId="4" fillId="0" borderId="0" xfId="48" applyFont="1"/>
    <xf numFmtId="170" fontId="5" fillId="0" borderId="15" xfId="48" applyNumberFormat="1" applyBorder="1"/>
    <xf numFmtId="169" fontId="5" fillId="0" borderId="15" xfId="48" applyNumberFormat="1" applyBorder="1"/>
    <xf numFmtId="9" fontId="5" fillId="0" borderId="15" xfId="10" applyFont="1" applyBorder="1"/>
    <xf numFmtId="0" fontId="32" fillId="0" borderId="15" xfId="48" applyFont="1" applyBorder="1"/>
    <xf numFmtId="167" fontId="5" fillId="0" borderId="15" xfId="8" applyNumberFormat="1" applyFont="1" applyBorder="1"/>
    <xf numFmtId="0" fontId="32" fillId="0" borderId="16" xfId="48" applyFont="1" applyBorder="1"/>
    <xf numFmtId="0" fontId="5" fillId="0" borderId="16" xfId="48" applyBorder="1"/>
    <xf numFmtId="167" fontId="32" fillId="0" borderId="15" xfId="48" applyNumberFormat="1" applyFont="1" applyBorder="1"/>
    <xf numFmtId="0" fontId="3" fillId="0" borderId="0" xfId="51"/>
    <xf numFmtId="0" fontId="3" fillId="0" borderId="15" xfId="51" applyBorder="1"/>
    <xf numFmtId="0" fontId="3" fillId="40" borderId="15" xfId="51" applyFill="1" applyBorder="1"/>
    <xf numFmtId="172" fontId="0" fillId="40" borderId="15" xfId="52" applyNumberFormat="1" applyFont="1" applyFill="1" applyBorder="1"/>
    <xf numFmtId="0" fontId="3" fillId="41" borderId="15" xfId="51" applyFill="1" applyBorder="1"/>
    <xf numFmtId="0" fontId="3" fillId="38" borderId="15" xfId="51" applyFill="1" applyBorder="1"/>
    <xf numFmtId="0" fontId="3" fillId="42" borderId="15" xfId="51" applyFill="1" applyBorder="1" applyAlignment="1">
      <alignment horizontal="right"/>
    </xf>
    <xf numFmtId="172" fontId="0" fillId="42" borderId="15" xfId="52" applyNumberFormat="1" applyFont="1" applyFill="1" applyBorder="1"/>
    <xf numFmtId="172" fontId="0" fillId="41" borderId="15" xfId="52" applyNumberFormat="1" applyFont="1" applyFill="1" applyBorder="1"/>
    <xf numFmtId="0" fontId="3" fillId="0" borderId="15" xfId="51" applyBorder="1" applyAlignment="1">
      <alignment horizontal="center"/>
    </xf>
    <xf numFmtId="172" fontId="29" fillId="45" borderId="15" xfId="51" applyNumberFormat="1" applyFont="1" applyFill="1" applyBorder="1"/>
    <xf numFmtId="172" fontId="3" fillId="0" borderId="15" xfId="51" applyNumberFormat="1" applyBorder="1"/>
    <xf numFmtId="9" fontId="0" fillId="0" borderId="15" xfId="53" applyFont="1" applyBorder="1" applyAlignment="1">
      <alignment horizontal="center"/>
    </xf>
    <xf numFmtId="0" fontId="3" fillId="34" borderId="15" xfId="51" applyFill="1" applyBorder="1" applyAlignment="1">
      <alignment horizontal="center"/>
    </xf>
    <xf numFmtId="172" fontId="3" fillId="34" borderId="15" xfId="51" applyNumberFormat="1" applyFill="1" applyBorder="1" applyAlignment="1">
      <alignment horizontal="center"/>
    </xf>
    <xf numFmtId="0" fontId="3" fillId="47" borderId="15" xfId="51" applyFill="1" applyBorder="1" applyAlignment="1">
      <alignment horizontal="center"/>
    </xf>
    <xf numFmtId="172" fontId="3" fillId="0" borderId="0" xfId="51" applyNumberFormat="1"/>
    <xf numFmtId="9" fontId="0" fillId="41" borderId="15" xfId="53" applyFont="1" applyFill="1" applyBorder="1"/>
    <xf numFmtId="173" fontId="0" fillId="0" borderId="0" xfId="53" applyNumberFormat="1" applyFont="1"/>
    <xf numFmtId="0" fontId="3" fillId="34" borderId="0" xfId="51" applyFill="1" applyAlignment="1">
      <alignment horizontal="center"/>
    </xf>
    <xf numFmtId="0" fontId="3" fillId="37" borderId="15" xfId="51" applyFill="1" applyBorder="1"/>
    <xf numFmtId="172" fontId="0" fillId="37" borderId="15" xfId="52" applyNumberFormat="1" applyFont="1" applyFill="1" applyBorder="1"/>
    <xf numFmtId="172" fontId="0" fillId="0" borderId="15" xfId="52" applyNumberFormat="1" applyFont="1" applyBorder="1"/>
    <xf numFmtId="0" fontId="3" fillId="47" borderId="15" xfId="51" applyFill="1" applyBorder="1"/>
    <xf numFmtId="172" fontId="3" fillId="47" borderId="15" xfId="51" applyNumberFormat="1" applyFill="1" applyBorder="1"/>
    <xf numFmtId="10" fontId="0" fillId="47" borderId="15" xfId="53" applyNumberFormat="1" applyFont="1" applyFill="1" applyBorder="1"/>
    <xf numFmtId="0" fontId="3" fillId="48" borderId="15" xfId="51" applyFill="1" applyBorder="1"/>
    <xf numFmtId="10" fontId="3" fillId="48" borderId="15" xfId="51" applyNumberFormat="1" applyFill="1" applyBorder="1"/>
    <xf numFmtId="0" fontId="3" fillId="39" borderId="15" xfId="51" applyFill="1" applyBorder="1" applyAlignment="1">
      <alignment horizontal="center"/>
    </xf>
    <xf numFmtId="172" fontId="0" fillId="38" borderId="15" xfId="52" applyNumberFormat="1" applyFont="1" applyFill="1" applyBorder="1"/>
    <xf numFmtId="0" fontId="3" fillId="0" borderId="15" xfId="51" applyBorder="1" applyAlignment="1">
      <alignment horizontal="left"/>
    </xf>
    <xf numFmtId="0" fontId="3" fillId="0" borderId="18" xfId="51" applyBorder="1" applyAlignment="1">
      <alignment horizontal="left"/>
    </xf>
    <xf numFmtId="172" fontId="0" fillId="0" borderId="18" xfId="52" applyNumberFormat="1" applyFont="1" applyBorder="1"/>
    <xf numFmtId="0" fontId="3" fillId="49" borderId="15" xfId="51" applyFill="1" applyBorder="1" applyAlignment="1">
      <alignment horizontal="center"/>
    </xf>
    <xf numFmtId="0" fontId="3" fillId="34" borderId="15" xfId="51" applyFill="1" applyBorder="1"/>
    <xf numFmtId="172" fontId="0" fillId="34" borderId="15" xfId="52" applyNumberFormat="1" applyFont="1" applyFill="1" applyBorder="1"/>
    <xf numFmtId="9" fontId="0" fillId="0" borderId="15" xfId="53" applyFont="1" applyBorder="1"/>
    <xf numFmtId="0" fontId="3" fillId="46" borderId="15" xfId="51" applyFill="1" applyBorder="1" applyAlignment="1">
      <alignment horizontal="center"/>
    </xf>
    <xf numFmtId="173" fontId="0" fillId="0" borderId="15" xfId="53" applyNumberFormat="1" applyFont="1" applyFill="1" applyBorder="1" applyAlignment="1">
      <alignment horizontal="center"/>
    </xf>
    <xf numFmtId="10" fontId="0" fillId="46" borderId="15" xfId="53" applyNumberFormat="1" applyFont="1" applyFill="1" applyBorder="1" applyAlignment="1">
      <alignment horizontal="center"/>
    </xf>
    <xf numFmtId="0" fontId="33" fillId="50" borderId="17" xfId="51" applyFont="1" applyFill="1" applyBorder="1" applyAlignment="1">
      <alignment horizontal="center"/>
    </xf>
    <xf numFmtId="174" fontId="33" fillId="50" borderId="0" xfId="51" applyNumberFormat="1" applyFont="1" applyFill="1"/>
    <xf numFmtId="17" fontId="3" fillId="0" borderId="15" xfId="51" applyNumberFormat="1" applyBorder="1" applyAlignment="1">
      <alignment horizontal="center"/>
    </xf>
    <xf numFmtId="172" fontId="0" fillId="0" borderId="15" xfId="52" applyNumberFormat="1" applyFont="1" applyBorder="1" applyAlignment="1">
      <alignment horizontal="center"/>
    </xf>
    <xf numFmtId="172" fontId="3" fillId="0" borderId="15" xfId="51" applyNumberFormat="1" applyBorder="1" applyAlignment="1">
      <alignment horizontal="center"/>
    </xf>
    <xf numFmtId="174" fontId="3" fillId="0" borderId="15" xfId="51" applyNumberFormat="1" applyBorder="1" applyAlignment="1">
      <alignment horizontal="center"/>
    </xf>
    <xf numFmtId="172" fontId="3" fillId="0" borderId="0" xfId="51" applyNumberFormat="1" applyAlignment="1">
      <alignment horizontal="center"/>
    </xf>
    <xf numFmtId="0" fontId="32" fillId="48" borderId="15" xfId="51" applyFont="1" applyFill="1" applyBorder="1" applyAlignment="1">
      <alignment horizontal="center"/>
    </xf>
    <xf numFmtId="172" fontId="32" fillId="48" borderId="15" xfId="51" applyNumberFormat="1" applyFont="1" applyFill="1" applyBorder="1"/>
    <xf numFmtId="0" fontId="3" fillId="40" borderId="15" xfId="51" applyFill="1" applyBorder="1" applyAlignment="1">
      <alignment horizontal="center"/>
    </xf>
    <xf numFmtId="172" fontId="3" fillId="40" borderId="15" xfId="51" applyNumberFormat="1" applyFill="1" applyBorder="1"/>
    <xf numFmtId="0" fontId="32" fillId="41" borderId="15" xfId="51" applyFont="1" applyFill="1" applyBorder="1" applyAlignment="1">
      <alignment horizontal="center"/>
    </xf>
    <xf numFmtId="172" fontId="32" fillId="41" borderId="15" xfId="51" applyNumberFormat="1" applyFont="1" applyFill="1" applyBorder="1"/>
    <xf numFmtId="0" fontId="3" fillId="42" borderId="15" xfId="51" applyFill="1" applyBorder="1" applyAlignment="1">
      <alignment horizontal="center"/>
    </xf>
    <xf numFmtId="173" fontId="0" fillId="42" borderId="15" xfId="53" applyNumberFormat="1" applyFont="1" applyFill="1" applyBorder="1" applyAlignment="1">
      <alignment horizontal="center"/>
    </xf>
    <xf numFmtId="0" fontId="3" fillId="42" borderId="17" xfId="51" applyFill="1" applyBorder="1" applyAlignment="1">
      <alignment horizontal="center"/>
    </xf>
    <xf numFmtId="173" fontId="0" fillId="42" borderId="18" xfId="53" applyNumberFormat="1" applyFont="1" applyFill="1" applyBorder="1" applyAlignment="1">
      <alignment horizontal="center"/>
    </xf>
    <xf numFmtId="0" fontId="3" fillId="0" borderId="0" xfId="51" applyAlignment="1">
      <alignment horizontal="center"/>
    </xf>
    <xf numFmtId="0" fontId="3" fillId="51" borderId="15" xfId="51" applyFill="1" applyBorder="1" applyAlignment="1">
      <alignment horizontal="center"/>
    </xf>
    <xf numFmtId="172" fontId="0" fillId="51" borderId="15" xfId="52" applyNumberFormat="1" applyFont="1" applyFill="1" applyBorder="1" applyAlignment="1">
      <alignment horizontal="center"/>
    </xf>
    <xf numFmtId="172" fontId="0" fillId="42" borderId="15" xfId="52" applyNumberFormat="1" applyFont="1" applyFill="1" applyBorder="1" applyAlignment="1">
      <alignment horizontal="center"/>
    </xf>
    <xf numFmtId="0" fontId="3" fillId="41" borderId="15" xfId="51" applyFill="1" applyBorder="1" applyAlignment="1">
      <alignment horizontal="center"/>
    </xf>
    <xf numFmtId="173" fontId="0" fillId="41" borderId="15" xfId="53" applyNumberFormat="1" applyFont="1" applyFill="1" applyBorder="1" applyAlignment="1">
      <alignment horizontal="center"/>
    </xf>
    <xf numFmtId="0" fontId="3" fillId="52" borderId="15" xfId="51" applyFill="1" applyBorder="1" applyAlignment="1">
      <alignment horizontal="center"/>
    </xf>
    <xf numFmtId="175" fontId="3" fillId="52" borderId="15" xfId="51" applyNumberFormat="1" applyFill="1" applyBorder="1" applyAlignment="1">
      <alignment horizontal="center"/>
    </xf>
    <xf numFmtId="172" fontId="3" fillId="52" borderId="15" xfId="51" applyNumberFormat="1" applyFill="1" applyBorder="1" applyAlignment="1">
      <alignment horizontal="center"/>
    </xf>
    <xf numFmtId="173" fontId="0" fillId="52" borderId="15" xfId="53" applyNumberFormat="1" applyFont="1" applyFill="1" applyBorder="1" applyAlignment="1">
      <alignment horizontal="center"/>
    </xf>
    <xf numFmtId="1" fontId="0" fillId="52" borderId="15" xfId="53" applyNumberFormat="1" applyFont="1" applyFill="1" applyBorder="1" applyAlignment="1">
      <alignment horizontal="center"/>
    </xf>
    <xf numFmtId="17" fontId="3" fillId="39" borderId="15" xfId="51" applyNumberFormat="1" applyFill="1" applyBorder="1" applyAlignment="1">
      <alignment horizontal="center"/>
    </xf>
    <xf numFmtId="172" fontId="0" fillId="38" borderId="16" xfId="52" applyNumberFormat="1" applyFont="1" applyFill="1" applyBorder="1"/>
    <xf numFmtId="172" fontId="3" fillId="40" borderId="0" xfId="51" applyNumberFormat="1" applyFill="1"/>
    <xf numFmtId="172" fontId="32" fillId="41" borderId="15" xfId="51" applyNumberFormat="1" applyFont="1" applyFill="1" applyBorder="1" applyAlignment="1">
      <alignment horizontal="center"/>
    </xf>
    <xf numFmtId="0" fontId="29" fillId="45" borderId="15" xfId="51" applyFont="1" applyFill="1" applyBorder="1" applyAlignment="1">
      <alignment horizontal="center"/>
    </xf>
    <xf numFmtId="172" fontId="3" fillId="34" borderId="15" xfId="51" applyNumberFormat="1" applyFill="1" applyBorder="1"/>
    <xf numFmtId="9" fontId="3" fillId="40" borderId="15" xfId="51" applyNumberFormat="1" applyFill="1" applyBorder="1"/>
    <xf numFmtId="0" fontId="3" fillId="37" borderId="15" xfId="51" applyFill="1" applyBorder="1" applyAlignment="1">
      <alignment horizontal="center"/>
    </xf>
    <xf numFmtId="172" fontId="3" fillId="37" borderId="15" xfId="51" applyNumberFormat="1" applyFill="1" applyBorder="1"/>
    <xf numFmtId="171" fontId="3" fillId="0" borderId="15" xfId="51" applyNumberFormat="1" applyBorder="1"/>
    <xf numFmtId="176" fontId="3" fillId="0" borderId="15" xfId="51" applyNumberFormat="1" applyBorder="1"/>
    <xf numFmtId="10" fontId="3" fillId="37" borderId="15" xfId="51" applyNumberFormat="1" applyFill="1" applyBorder="1"/>
    <xf numFmtId="171" fontId="0" fillId="0" borderId="15" xfId="52" applyFont="1" applyBorder="1"/>
    <xf numFmtId="10" fontId="3" fillId="0" borderId="15" xfId="51" applyNumberFormat="1" applyBorder="1"/>
    <xf numFmtId="172" fontId="21" fillId="0" borderId="0" xfId="52" applyNumberFormat="1" applyFont="1"/>
    <xf numFmtId="0" fontId="3" fillId="44" borderId="15" xfId="51" applyFill="1" applyBorder="1"/>
    <xf numFmtId="172" fontId="45" fillId="42" borderId="15" xfId="52" applyNumberFormat="1" applyFont="1" applyFill="1" applyBorder="1"/>
    <xf numFmtId="172" fontId="45" fillId="43" borderId="15" xfId="52" applyNumberFormat="1" applyFont="1" applyFill="1" applyBorder="1"/>
    <xf numFmtId="172" fontId="45" fillId="44" borderId="15" xfId="52" applyNumberFormat="1" applyFont="1" applyFill="1" applyBorder="1"/>
    <xf numFmtId="172" fontId="45" fillId="0" borderId="15" xfId="52" applyNumberFormat="1" applyFont="1" applyFill="1" applyBorder="1"/>
    <xf numFmtId="172" fontId="45" fillId="40" borderId="15" xfId="52" applyNumberFormat="1" applyFont="1" applyFill="1" applyBorder="1"/>
    <xf numFmtId="9" fontId="45" fillId="0" borderId="15" xfId="53" applyFont="1" applyBorder="1"/>
    <xf numFmtId="172" fontId="45" fillId="41" borderId="15" xfId="52" applyNumberFormat="1" applyFont="1" applyFill="1" applyBorder="1"/>
    <xf numFmtId="0" fontId="3" fillId="34" borderId="0" xfId="51" applyFill="1" applyAlignment="1">
      <alignment horizontal="left"/>
    </xf>
    <xf numFmtId="0" fontId="3" fillId="52" borderId="15" xfId="51" applyFill="1" applyBorder="1" applyAlignment="1">
      <alignment horizontal="left"/>
    </xf>
    <xf numFmtId="0" fontId="47" fillId="0" borderId="15" xfId="51" applyFont="1" applyBorder="1"/>
    <xf numFmtId="9" fontId="45" fillId="0" borderId="15" xfId="51" applyNumberFormat="1" applyFont="1" applyBorder="1"/>
    <xf numFmtId="0" fontId="47" fillId="0" borderId="0" xfId="51" applyFont="1"/>
    <xf numFmtId="0" fontId="47" fillId="40" borderId="15" xfId="51" applyFont="1" applyFill="1" applyBorder="1"/>
    <xf numFmtId="0" fontId="47" fillId="41" borderId="15" xfId="51" applyFont="1" applyFill="1" applyBorder="1"/>
    <xf numFmtId="9" fontId="45" fillId="41" borderId="15" xfId="51" applyNumberFormat="1" applyFont="1" applyFill="1" applyBorder="1"/>
    <xf numFmtId="0" fontId="47" fillId="38" borderId="15" xfId="51" applyFont="1" applyFill="1" applyBorder="1"/>
    <xf numFmtId="172" fontId="45" fillId="38" borderId="15" xfId="51" applyNumberFormat="1" applyFont="1" applyFill="1" applyBorder="1"/>
    <xf numFmtId="0" fontId="47" fillId="42" borderId="15" xfId="51" applyFont="1" applyFill="1" applyBorder="1" applyAlignment="1">
      <alignment horizontal="right"/>
    </xf>
    <xf numFmtId="0" fontId="47" fillId="43" borderId="15" xfId="51" applyFont="1" applyFill="1" applyBorder="1" applyAlignment="1">
      <alignment horizontal="left"/>
    </xf>
    <xf numFmtId="0" fontId="47" fillId="44" borderId="15" xfId="51" applyFont="1" applyFill="1" applyBorder="1" applyAlignment="1">
      <alignment horizontal="left"/>
    </xf>
    <xf numFmtId="0" fontId="45" fillId="0" borderId="15" xfId="51" applyFont="1" applyBorder="1"/>
    <xf numFmtId="0" fontId="45" fillId="41" borderId="15" xfId="51" applyFont="1" applyFill="1" applyBorder="1"/>
    <xf numFmtId="0" fontId="45" fillId="46" borderId="15" xfId="51" applyFont="1" applyFill="1" applyBorder="1"/>
    <xf numFmtId="9" fontId="45" fillId="46" borderId="15" xfId="51" applyNumberFormat="1" applyFont="1" applyFill="1" applyBorder="1"/>
    <xf numFmtId="172" fontId="45" fillId="39" borderId="15" xfId="52" applyNumberFormat="1" applyFont="1" applyFill="1" applyBorder="1"/>
    <xf numFmtId="0" fontId="48" fillId="45" borderId="15" xfId="51" applyFont="1" applyFill="1" applyBorder="1" applyAlignment="1">
      <alignment horizontal="left"/>
    </xf>
    <xf numFmtId="172" fontId="48" fillId="45" borderId="15" xfId="52" applyNumberFormat="1" applyFont="1" applyFill="1" applyBorder="1"/>
    <xf numFmtId="0" fontId="45" fillId="46" borderId="15" xfId="51" applyFont="1" applyFill="1" applyBorder="1" applyAlignment="1">
      <alignment horizontal="left"/>
    </xf>
    <xf numFmtId="9" fontId="21" fillId="0" borderId="15" xfId="53" applyFont="1" applyBorder="1" applyAlignment="1">
      <alignment horizontal="center"/>
    </xf>
    <xf numFmtId="0" fontId="49" fillId="40" borderId="15" xfId="51" applyFont="1" applyFill="1" applyBorder="1" applyAlignment="1">
      <alignment horizontal="center"/>
    </xf>
    <xf numFmtId="0" fontId="47" fillId="0" borderId="15" xfId="51" applyFont="1" applyBorder="1" applyAlignment="1">
      <alignment horizontal="center"/>
    </xf>
    <xf numFmtId="0" fontId="48" fillId="45" borderId="15" xfId="51" applyFont="1" applyFill="1" applyBorder="1"/>
    <xf numFmtId="172" fontId="48" fillId="45" borderId="15" xfId="51" applyNumberFormat="1" applyFont="1" applyFill="1" applyBorder="1"/>
    <xf numFmtId="172" fontId="47" fillId="0" borderId="15" xfId="51" applyNumberFormat="1" applyFont="1" applyBorder="1"/>
    <xf numFmtId="0" fontId="49" fillId="38" borderId="15" xfId="51" applyFont="1" applyFill="1" applyBorder="1" applyAlignment="1">
      <alignment horizontal="center"/>
    </xf>
    <xf numFmtId="172" fontId="49" fillId="38" borderId="15" xfId="51" applyNumberFormat="1" applyFont="1" applyFill="1" applyBorder="1"/>
    <xf numFmtId="172" fontId="49" fillId="38" borderId="15" xfId="52" applyNumberFormat="1" applyFont="1" applyFill="1" applyBorder="1"/>
    <xf numFmtId="172" fontId="49" fillId="40" borderId="15" xfId="51" applyNumberFormat="1" applyFont="1" applyFill="1" applyBorder="1"/>
    <xf numFmtId="0" fontId="49" fillId="40" borderId="15" xfId="51" applyFont="1" applyFill="1" applyBorder="1"/>
    <xf numFmtId="0" fontId="47" fillId="34" borderId="15" xfId="51" applyFont="1" applyFill="1" applyBorder="1" applyAlignment="1">
      <alignment horizontal="center"/>
    </xf>
    <xf numFmtId="172" fontId="47" fillId="34" borderId="15" xfId="51" applyNumberFormat="1" applyFont="1" applyFill="1" applyBorder="1" applyAlignment="1">
      <alignment horizontal="center"/>
    </xf>
    <xf numFmtId="172" fontId="21" fillId="0" borderId="15" xfId="52" applyNumberFormat="1" applyFont="1" applyBorder="1" applyAlignment="1">
      <alignment horizontal="center"/>
    </xf>
    <xf numFmtId="172" fontId="47" fillId="0" borderId="15" xfId="51" applyNumberFormat="1" applyFont="1" applyBorder="1" applyAlignment="1">
      <alignment horizontal="center"/>
    </xf>
    <xf numFmtId="0" fontId="49" fillId="44" borderId="15" xfId="51" applyFont="1" applyFill="1" applyBorder="1" applyAlignment="1">
      <alignment horizontal="center"/>
    </xf>
    <xf numFmtId="1" fontId="39" fillId="44" borderId="15" xfId="52" applyNumberFormat="1" applyFont="1" applyFill="1" applyBorder="1" applyAlignment="1">
      <alignment horizontal="center"/>
    </xf>
    <xf numFmtId="0" fontId="49" fillId="0" borderId="15" xfId="51" applyFont="1" applyBorder="1" applyAlignment="1">
      <alignment horizontal="center"/>
    </xf>
    <xf numFmtId="0" fontId="32" fillId="39" borderId="15" xfId="51" applyFont="1" applyFill="1" applyBorder="1" applyAlignment="1">
      <alignment horizontal="center"/>
    </xf>
    <xf numFmtId="17" fontId="32" fillId="39" borderId="15" xfId="51" applyNumberFormat="1" applyFont="1" applyFill="1" applyBorder="1" applyAlignment="1">
      <alignment horizontal="center"/>
    </xf>
    <xf numFmtId="0" fontId="48" fillId="53" borderId="23" xfId="0" applyFont="1" applyFill="1" applyBorder="1">
      <alignment vertical="center"/>
    </xf>
    <xf numFmtId="0" fontId="39" fillId="35" borderId="0" xfId="0" applyFont="1" applyFill="1">
      <alignment vertical="center"/>
    </xf>
    <xf numFmtId="167" fontId="39" fillId="35" borderId="0" xfId="0" applyNumberFormat="1" applyFont="1" applyFill="1">
      <alignment vertical="center"/>
    </xf>
    <xf numFmtId="0" fontId="39" fillId="40" borderId="0" xfId="0" applyFont="1" applyFill="1">
      <alignment vertical="center"/>
    </xf>
    <xf numFmtId="167" fontId="39" fillId="40" borderId="0" xfId="0" applyNumberFormat="1" applyFont="1" applyFill="1">
      <alignment vertical="center"/>
    </xf>
    <xf numFmtId="167" fontId="39" fillId="0" borderId="0" xfId="0" applyNumberFormat="1" applyFont="1">
      <alignment vertical="center"/>
    </xf>
    <xf numFmtId="0" fontId="48" fillId="53" borderId="23" xfId="0" applyFont="1" applyFill="1" applyBorder="1" applyAlignment="1">
      <alignment horizontal="center" vertical="center"/>
    </xf>
    <xf numFmtId="2" fontId="0" fillId="0" borderId="0" xfId="0" applyNumberFormat="1">
      <alignment vertical="center"/>
    </xf>
    <xf numFmtId="170" fontId="0" fillId="0" borderId="0" xfId="0" applyNumberFormat="1">
      <alignment vertical="center"/>
    </xf>
    <xf numFmtId="173" fontId="0" fillId="0" borderId="0" xfId="10" applyNumberFormat="1" applyFont="1" applyAlignment="1">
      <alignment vertical="center"/>
    </xf>
    <xf numFmtId="0" fontId="0" fillId="0" borderId="15" xfId="0" applyBorder="1">
      <alignment vertical="center"/>
    </xf>
    <xf numFmtId="170" fontId="0" fillId="0" borderId="15" xfId="0" applyNumberFormat="1" applyBorder="1">
      <alignment vertical="center"/>
    </xf>
    <xf numFmtId="167" fontId="0" fillId="0" borderId="15" xfId="0" applyNumberFormat="1" applyBorder="1">
      <alignment vertical="center"/>
    </xf>
    <xf numFmtId="173" fontId="0" fillId="0" borderId="15" xfId="10" applyNumberFormat="1" applyFont="1" applyBorder="1" applyAlignment="1">
      <alignment vertical="center"/>
    </xf>
    <xf numFmtId="0" fontId="2" fillId="0" borderId="0" xfId="51" applyFont="1"/>
    <xf numFmtId="0" fontId="50" fillId="39" borderId="15" xfId="51" applyFont="1" applyFill="1" applyBorder="1" applyAlignment="1">
      <alignment horizontal="center"/>
    </xf>
    <xf numFmtId="0" fontId="46" fillId="0" borderId="0" xfId="51" applyFont="1"/>
    <xf numFmtId="0" fontId="46" fillId="0" borderId="15" xfId="51" applyFont="1" applyBorder="1"/>
    <xf numFmtId="172" fontId="46" fillId="0" borderId="15" xfId="51" applyNumberFormat="1" applyFont="1" applyBorder="1"/>
    <xf numFmtId="0" fontId="50" fillId="38" borderId="15" xfId="51" applyFont="1" applyFill="1" applyBorder="1" applyAlignment="1">
      <alignment horizontal="center"/>
    </xf>
    <xf numFmtId="172" fontId="50" fillId="38" borderId="15" xfId="51" applyNumberFormat="1" applyFont="1" applyFill="1" applyBorder="1"/>
    <xf numFmtId="172" fontId="50" fillId="38" borderId="15" xfId="51" applyNumberFormat="1" applyFont="1" applyFill="1" applyBorder="1" applyAlignment="1">
      <alignment horizontal="center"/>
    </xf>
    <xf numFmtId="0" fontId="50" fillId="47" borderId="15" xfId="51" applyFont="1" applyFill="1" applyBorder="1" applyAlignment="1">
      <alignment horizontal="center"/>
    </xf>
    <xf numFmtId="172" fontId="50" fillId="47" borderId="15" xfId="51" applyNumberFormat="1" applyFont="1" applyFill="1" applyBorder="1"/>
    <xf numFmtId="0" fontId="46" fillId="0" borderId="15" xfId="51" applyFont="1" applyBorder="1" applyAlignment="1">
      <alignment horizontal="center"/>
    </xf>
    <xf numFmtId="0" fontId="50" fillId="41" borderId="15" xfId="51" applyFont="1" applyFill="1" applyBorder="1" applyAlignment="1">
      <alignment horizontal="center"/>
    </xf>
    <xf numFmtId="172" fontId="50" fillId="41" borderId="15" xfId="51" applyNumberFormat="1" applyFont="1" applyFill="1" applyBorder="1"/>
    <xf numFmtId="0" fontId="46" fillId="0" borderId="15" xfId="51" applyFont="1" applyBorder="1" applyAlignment="1">
      <alignment horizontal="left"/>
    </xf>
    <xf numFmtId="0" fontId="46" fillId="34" borderId="15" xfId="51" applyFont="1" applyFill="1" applyBorder="1" applyAlignment="1">
      <alignment horizontal="center"/>
    </xf>
    <xf numFmtId="172" fontId="46" fillId="34" borderId="15" xfId="51" applyNumberFormat="1" applyFont="1" applyFill="1" applyBorder="1"/>
    <xf numFmtId="9" fontId="3" fillId="0" borderId="0" xfId="51" applyNumberFormat="1"/>
    <xf numFmtId="0" fontId="2" fillId="0" borderId="0" xfId="51" applyFont="1" applyAlignment="1">
      <alignment horizontal="left" vertical="center"/>
    </xf>
    <xf numFmtId="0" fontId="39" fillId="0" borderId="0" xfId="0" applyFont="1" applyAlignment="1">
      <alignment horizontal="center" vertical="center"/>
    </xf>
    <xf numFmtId="0" fontId="32" fillId="0" borderId="0" xfId="48" applyFont="1" applyAlignment="1">
      <alignment horizontal="center"/>
    </xf>
    <xf numFmtId="0" fontId="1" fillId="0" borderId="0" xfId="48" applyFont="1"/>
    <xf numFmtId="0" fontId="15" fillId="0" borderId="1" xfId="0" applyFont="1" applyBorder="1" applyAlignment="1">
      <alignment horizontal="left" vertical="center" wrapText="1" indent="1"/>
    </xf>
    <xf numFmtId="0" fontId="12" fillId="0" borderId="2" xfId="0" applyFont="1" applyBorder="1" applyAlignment="1">
      <alignment horizontal="left" vertical="center" wrapText="1" indent="1"/>
    </xf>
    <xf numFmtId="0" fontId="12" fillId="0" borderId="3" xfId="0" applyFont="1" applyBorder="1" applyAlignment="1">
      <alignment horizontal="left" vertical="center" wrapText="1" indent="1"/>
    </xf>
    <xf numFmtId="0" fontId="13" fillId="0" borderId="2" xfId="0" applyFont="1" applyBorder="1" applyAlignment="1">
      <alignment horizontal="left" vertical="center" wrapText="1" indent="1"/>
    </xf>
    <xf numFmtId="0" fontId="13" fillId="0" borderId="3" xfId="0" applyFont="1" applyBorder="1" applyAlignment="1">
      <alignment horizontal="left" vertical="center" wrapText="1" indent="1"/>
    </xf>
    <xf numFmtId="0" fontId="36" fillId="0" borderId="0" xfId="4" applyFont="1" applyAlignment="1">
      <alignment horizontal="center" vertical="center"/>
    </xf>
    <xf numFmtId="0" fontId="32" fillId="0" borderId="15" xfId="48" applyFont="1" applyBorder="1" applyAlignment="1">
      <alignment horizontal="center" vertical="center"/>
    </xf>
    <xf numFmtId="0" fontId="5" fillId="0" borderId="0" xfId="48" applyAlignment="1">
      <alignment horizontal="center"/>
    </xf>
    <xf numFmtId="0" fontId="32" fillId="0" borderId="0" xfId="48" applyFont="1" applyAlignment="1">
      <alignment horizontal="center"/>
    </xf>
    <xf numFmtId="0" fontId="32" fillId="0" borderId="15" xfId="48" applyFont="1" applyBorder="1" applyAlignment="1">
      <alignment horizontal="center"/>
    </xf>
    <xf numFmtId="0" fontId="32" fillId="37" borderId="0" xfId="51" applyFont="1" applyFill="1" applyAlignment="1">
      <alignment horizontal="center"/>
    </xf>
    <xf numFmtId="0" fontId="3" fillId="37" borderId="0" xfId="51" applyFill="1" applyAlignment="1">
      <alignment horizontal="center"/>
    </xf>
    <xf numFmtId="0" fontId="3" fillId="0" borderId="15" xfId="51" applyBorder="1" applyAlignment="1">
      <alignment horizontal="center" vertical="center"/>
    </xf>
    <xf numFmtId="0" fontId="3" fillId="0" borderId="15" xfId="51" applyBorder="1" applyAlignment="1">
      <alignment horizontal="center" vertical="center" wrapText="1"/>
    </xf>
    <xf numFmtId="0" fontId="29" fillId="50" borderId="22" xfId="51" applyFont="1" applyFill="1" applyBorder="1" applyAlignment="1">
      <alignment horizontal="center"/>
    </xf>
    <xf numFmtId="0" fontId="29" fillId="50" borderId="21" xfId="51" applyFont="1" applyFill="1" applyBorder="1" applyAlignment="1">
      <alignment horizontal="center"/>
    </xf>
    <xf numFmtId="0" fontId="29" fillId="50" borderId="16" xfId="51" applyFont="1" applyFill="1" applyBorder="1" applyAlignment="1">
      <alignment horizontal="center"/>
    </xf>
    <xf numFmtId="0" fontId="32" fillId="38" borderId="19" xfId="51" applyFont="1" applyFill="1" applyBorder="1" applyAlignment="1">
      <alignment horizontal="center"/>
    </xf>
    <xf numFmtId="0" fontId="32" fillId="38" borderId="20" xfId="51" applyFont="1" applyFill="1" applyBorder="1" applyAlignment="1">
      <alignment horizontal="center"/>
    </xf>
    <xf numFmtId="0" fontId="32" fillId="38" borderId="21" xfId="51" applyFont="1" applyFill="1" applyBorder="1" applyAlignment="1">
      <alignment horizontal="center"/>
    </xf>
    <xf numFmtId="0" fontId="32" fillId="38" borderId="22" xfId="51" applyFont="1" applyFill="1" applyBorder="1" applyAlignment="1">
      <alignment horizontal="center"/>
    </xf>
    <xf numFmtId="0" fontId="32" fillId="41" borderId="18" xfId="51" applyFont="1" applyFill="1" applyBorder="1" applyAlignment="1">
      <alignment horizontal="center"/>
    </xf>
    <xf numFmtId="0" fontId="49" fillId="40" borderId="15" xfId="51" applyFont="1" applyFill="1" applyBorder="1" applyAlignment="1">
      <alignment horizontal="center"/>
    </xf>
    <xf numFmtId="0" fontId="3" fillId="38" borderId="15" xfId="51" applyFill="1" applyBorder="1" applyAlignment="1">
      <alignment horizontal="center"/>
    </xf>
    <xf numFmtId="0" fontId="3" fillId="47" borderId="0" xfId="51" applyFill="1" applyAlignment="1">
      <alignment horizontal="center"/>
    </xf>
    <xf numFmtId="0" fontId="48" fillId="54" borderId="15" xfId="0" applyFont="1" applyFill="1" applyBorder="1" applyAlignment="1">
      <alignment horizontal="center" vertical="center"/>
    </xf>
    <xf numFmtId="167" fontId="32" fillId="0" borderId="0" xfId="48" applyNumberFormat="1" applyFont="1" applyBorder="1"/>
    <xf numFmtId="0" fontId="5" fillId="0" borderId="17" xfId="48" applyBorder="1" applyAlignment="1">
      <alignment horizontal="center"/>
    </xf>
    <xf numFmtId="0" fontId="5" fillId="0" borderId="24" xfId="48" applyBorder="1" applyAlignment="1">
      <alignment horizontal="center"/>
    </xf>
    <xf numFmtId="0" fontId="32" fillId="0" borderId="19" xfId="48" applyFont="1" applyBorder="1" applyAlignment="1">
      <alignment horizontal="center"/>
    </xf>
    <xf numFmtId="0" fontId="32" fillId="0" borderId="25" xfId="48" applyFont="1" applyBorder="1" applyAlignment="1">
      <alignment horizontal="center"/>
    </xf>
    <xf numFmtId="0" fontId="5" fillId="0" borderId="18" xfId="48" applyBorder="1" applyAlignment="1">
      <alignment horizontal="center"/>
    </xf>
    <xf numFmtId="0" fontId="5" fillId="0" borderId="26" xfId="48" applyBorder="1" applyAlignment="1">
      <alignment horizontal="center"/>
    </xf>
    <xf numFmtId="0" fontId="5" fillId="0" borderId="27" xfId="48" applyBorder="1" applyAlignment="1">
      <alignment horizontal="center"/>
    </xf>
    <xf numFmtId="0" fontId="29" fillId="54" borderId="21" xfId="48" applyFont="1" applyFill="1" applyBorder="1" applyAlignment="1">
      <alignment horizontal="center"/>
    </xf>
    <xf numFmtId="0" fontId="29" fillId="54" borderId="22" xfId="48" applyFont="1" applyFill="1" applyBorder="1" applyAlignment="1">
      <alignment horizontal="center"/>
    </xf>
    <xf numFmtId="0" fontId="29" fillId="54" borderId="16" xfId="48" applyFont="1" applyFill="1" applyBorder="1" applyAlignment="1">
      <alignment horizontal="center"/>
    </xf>
    <xf numFmtId="0" fontId="0" fillId="0" borderId="0" xfId="0" applyAlignment="1">
      <alignment vertical="center"/>
    </xf>
    <xf numFmtId="0" fontId="48" fillId="54" borderId="28" xfId="0" applyFont="1" applyFill="1" applyBorder="1" applyAlignment="1">
      <alignment horizontal="center" vertical="center"/>
    </xf>
    <xf numFmtId="0" fontId="48" fillId="54" borderId="30" xfId="0" applyFont="1" applyFill="1" applyBorder="1" applyAlignment="1">
      <alignment horizontal="center" vertical="center"/>
    </xf>
    <xf numFmtId="0" fontId="48" fillId="54" borderId="31" xfId="0" applyFont="1" applyFill="1" applyBorder="1" applyAlignment="1">
      <alignment horizontal="center" vertical="center"/>
    </xf>
    <xf numFmtId="0" fontId="48" fillId="54" borderId="32" xfId="0" applyFont="1" applyFill="1" applyBorder="1" applyAlignment="1">
      <alignment horizontal="center" vertical="center"/>
    </xf>
    <xf numFmtId="0" fontId="48" fillId="54" borderId="33" xfId="0" applyFont="1" applyFill="1" applyBorder="1" applyAlignment="1">
      <alignment horizontal="center" vertical="center"/>
    </xf>
    <xf numFmtId="0" fontId="0" fillId="0" borderId="34" xfId="0" applyBorder="1">
      <alignment vertical="center"/>
    </xf>
    <xf numFmtId="0" fontId="0" fillId="0" borderId="35" xfId="0" applyBorder="1">
      <alignment vertical="center"/>
    </xf>
    <xf numFmtId="167" fontId="0" fillId="0" borderId="35" xfId="0" applyNumberFormat="1" applyBorder="1">
      <alignment vertical="center"/>
    </xf>
    <xf numFmtId="0" fontId="39" fillId="0" borderId="34" xfId="0" applyFont="1" applyBorder="1">
      <alignment vertical="center"/>
    </xf>
    <xf numFmtId="167" fontId="39" fillId="0" borderId="35" xfId="0" applyNumberFormat="1" applyFont="1" applyBorder="1">
      <alignment vertical="center"/>
    </xf>
    <xf numFmtId="0" fontId="39" fillId="35" borderId="34" xfId="0" applyFont="1" applyFill="1" applyBorder="1">
      <alignment vertical="center"/>
    </xf>
    <xf numFmtId="167" fontId="39" fillId="35" borderId="35" xfId="0" applyNumberFormat="1" applyFont="1" applyFill="1" applyBorder="1">
      <alignment vertical="center"/>
    </xf>
    <xf numFmtId="0" fontId="0" fillId="0" borderId="36" xfId="0" applyBorder="1">
      <alignment vertical="center"/>
    </xf>
    <xf numFmtId="167" fontId="0" fillId="0" borderId="37" xfId="0" applyNumberFormat="1" applyBorder="1">
      <alignment vertical="center"/>
    </xf>
    <xf numFmtId="0" fontId="0" fillId="0" borderId="38" xfId="0" applyBorder="1">
      <alignment vertical="center"/>
    </xf>
    <xf numFmtId="0" fontId="0" fillId="0" borderId="39" xfId="0" applyBorder="1">
      <alignment vertical="center"/>
    </xf>
    <xf numFmtId="0" fontId="39" fillId="0" borderId="39" xfId="0" applyFont="1" applyBorder="1">
      <alignment vertical="center"/>
    </xf>
    <xf numFmtId="0" fontId="39" fillId="35" borderId="39" xfId="0" applyFont="1" applyFill="1" applyBorder="1">
      <alignment vertical="center"/>
    </xf>
    <xf numFmtId="0" fontId="0" fillId="0" borderId="40" xfId="0" applyBorder="1">
      <alignment vertical="center"/>
    </xf>
    <xf numFmtId="9" fontId="0" fillId="0" borderId="39" xfId="10" applyFont="1" applyBorder="1" applyAlignment="1">
      <alignment vertical="center"/>
    </xf>
    <xf numFmtId="9" fontId="39" fillId="0" borderId="39" xfId="10" applyFont="1" applyBorder="1" applyAlignment="1">
      <alignment vertical="center"/>
    </xf>
    <xf numFmtId="9" fontId="39" fillId="35" borderId="39" xfId="10" applyFont="1" applyFill="1" applyBorder="1" applyAlignment="1">
      <alignment vertical="center"/>
    </xf>
    <xf numFmtId="9" fontId="0" fillId="0" borderId="40" xfId="10" applyFont="1" applyBorder="1" applyAlignment="1">
      <alignment vertical="center"/>
    </xf>
    <xf numFmtId="0" fontId="39" fillId="0" borderId="28" xfId="0" applyFont="1" applyBorder="1">
      <alignment vertical="center"/>
    </xf>
    <xf numFmtId="0" fontId="39" fillId="0" borderId="29" xfId="0" applyFont="1" applyBorder="1">
      <alignment vertical="center"/>
    </xf>
    <xf numFmtId="167" fontId="39" fillId="0" borderId="29" xfId="0" applyNumberFormat="1" applyFont="1" applyBorder="1">
      <alignment vertical="center"/>
    </xf>
    <xf numFmtId="0" fontId="0" fillId="0" borderId="30" xfId="0" applyBorder="1">
      <alignment vertical="center"/>
    </xf>
  </cellXfs>
  <cellStyles count="57">
    <cellStyle name="20% - Énfasis1" xfId="24" builtinId="30" customBuiltin="1"/>
    <cellStyle name="20% - Énfasis2" xfId="28" builtinId="34" customBuiltin="1"/>
    <cellStyle name="20% - Énfasis3" xfId="32" builtinId="38" customBuiltin="1"/>
    <cellStyle name="20% - Énfasis4" xfId="36" builtinId="42" customBuiltin="1"/>
    <cellStyle name="20% - Énfasis5" xfId="40" builtinId="46" customBuiltin="1"/>
    <cellStyle name="20% - Énfasis6" xfId="44" builtinId="50" customBuiltin="1"/>
    <cellStyle name="40% - Énfasis1" xfId="25" builtinId="31" customBuiltin="1"/>
    <cellStyle name="40% - Énfasis2" xfId="29" builtinId="35" customBuiltin="1"/>
    <cellStyle name="40% - Énfasis3" xfId="33" builtinId="39" customBuiltin="1"/>
    <cellStyle name="40% - Énfasis4" xfId="37" builtinId="43" customBuiltin="1"/>
    <cellStyle name="40% - Énfasis5" xfId="41" builtinId="47" customBuiltin="1"/>
    <cellStyle name="40% - Énfasis6" xfId="45" builtinId="51" customBuiltin="1"/>
    <cellStyle name="60% - Énfasis1" xfId="26" builtinId="32" customBuiltin="1"/>
    <cellStyle name="60% - Énfasis2" xfId="30" builtinId="36" customBuiltin="1"/>
    <cellStyle name="60% - Énfasis3" xfId="34" builtinId="40" customBuiltin="1"/>
    <cellStyle name="60% - Énfasis4" xfId="38" builtinId="44" customBuiltin="1"/>
    <cellStyle name="60% - Énfasis5" xfId="42" builtinId="48" customBuiltin="1"/>
    <cellStyle name="60% - Énfasis6" xfId="46" builtinId="52" customBuiltin="1"/>
    <cellStyle name="Bueno" xfId="11" builtinId="26" customBuiltin="1"/>
    <cellStyle name="Cálculo" xfId="16" builtinId="22" customBuiltin="1"/>
    <cellStyle name="Celda de comprobación" xfId="18" builtinId="23" customBuiltin="1"/>
    <cellStyle name="Celda vinculada" xfId="17" builtinId="24" customBuiltin="1"/>
    <cellStyle name="Encabezado 1" xfId="2" builtinId="16" customBuiltin="1"/>
    <cellStyle name="Encabezado 4" xfId="4" builtinId="19" customBuiltin="1"/>
    <cellStyle name="Énfasis1" xfId="23" builtinId="29" customBuiltin="1"/>
    <cellStyle name="Énfasis2" xfId="27" builtinId="33" customBuiltin="1"/>
    <cellStyle name="Énfasis3" xfId="31" builtinId="37" customBuiltin="1"/>
    <cellStyle name="Énfasis4" xfId="35" builtinId="41" customBuiltin="1"/>
    <cellStyle name="Énfasis5" xfId="39" builtinId="45" customBuiltin="1"/>
    <cellStyle name="Énfasis6" xfId="43" builtinId="49" customBuiltin="1"/>
    <cellStyle name="Entrada" xfId="14" builtinId="20" customBuiltin="1"/>
    <cellStyle name="Hipervínculo" xfId="47" builtinId="8"/>
    <cellStyle name="Incorrecto" xfId="12" builtinId="27" customBuiltin="1"/>
    <cellStyle name="Millares" xfId="6" builtinId="3" customBuiltin="1"/>
    <cellStyle name="Millares [0]" xfId="7" builtinId="6" customBuiltin="1"/>
    <cellStyle name="Millares 2" xfId="52" xr:uid="{67295185-F2A6-400B-BA65-CA81326C71D7}"/>
    <cellStyle name="Moneda" xfId="8" builtinId="4" customBuiltin="1"/>
    <cellStyle name="Moneda [0]" xfId="9" builtinId="7" customBuiltin="1"/>
    <cellStyle name="Moneda [0] 2" xfId="56" xr:uid="{B7E7BC2D-831B-4204-8FF8-727358A62BDB}"/>
    <cellStyle name="Moneda 2" xfId="49" xr:uid="{94F4B5E0-FD16-4225-94E3-57AC6C7476F7}"/>
    <cellStyle name="Neutral" xfId="13" builtinId="28" customBuiltin="1"/>
    <cellStyle name="Normal" xfId="0" builtinId="0" customBuiltin="1"/>
    <cellStyle name="Normal 2" xfId="48" xr:uid="{07A347BB-EA2D-492A-A30E-A86ABAE6B3DA}"/>
    <cellStyle name="Normal 3" xfId="51" xr:uid="{D2C8CA70-F04B-4609-A10A-FA9A403AF11E}"/>
    <cellStyle name="Normal 4" xfId="54" xr:uid="{B68C58E9-3F47-4FD4-B27F-B7265EFD7B10}"/>
    <cellStyle name="Notas" xfId="20" builtinId="10" customBuiltin="1"/>
    <cellStyle name="Porcentaje" xfId="10" builtinId="5" customBuiltin="1"/>
    <cellStyle name="Porcentaje 2" xfId="50" xr:uid="{AF39CFA7-7EF2-403F-BDE6-512D9B16CFBC}"/>
    <cellStyle name="Porcentaje 3" xfId="53" xr:uid="{16257EC3-64E4-4228-8A51-E4793043372E}"/>
    <cellStyle name="Porcentaje 4" xfId="55" xr:uid="{91FF3BDA-047B-4F48-884D-EC06FBE49DCF}"/>
    <cellStyle name="Salida" xfId="15" builtinId="21" customBuiltin="1"/>
    <cellStyle name="Texto de advertencia" xfId="19" builtinId="11" customBuiltin="1"/>
    <cellStyle name="Texto explicativo" xfId="21" builtinId="53" customBuiltin="1"/>
    <cellStyle name="Título" xfId="1" builtinId="15" customBuiltin="1"/>
    <cellStyle name="Título 2" xfId="3" builtinId="17" customBuiltin="1"/>
    <cellStyle name="Título 3" xfId="5" builtinId="18" customBuiltin="1"/>
    <cellStyle name="Total" xfId="22" builtinId="25" customBuiltin="1"/>
  </cellStyles>
  <dxfs count="162">
    <dxf>
      <numFmt numFmtId="167" formatCode="&quot;$&quot;#,##0"/>
    </dxf>
    <dxf>
      <numFmt numFmtId="167" formatCode="&quot;$&quot;#,##0"/>
    </dxf>
    <dxf>
      <numFmt numFmtId="167" formatCode="&quot;$&quot;#,##0"/>
    </dxf>
    <dxf>
      <numFmt numFmtId="167" formatCode="&quot;$&quot;#,##0"/>
    </dxf>
    <dxf>
      <border outline="0">
        <left style="medium">
          <color indexed="64"/>
        </left>
      </border>
    </dxf>
    <dxf>
      <font>
        <b val="0"/>
        <i val="0"/>
        <strike val="0"/>
        <condense val="0"/>
        <extend val="0"/>
        <outline val="0"/>
        <shadow val="0"/>
        <u val="none"/>
        <vertAlign val="baseline"/>
        <sz val="10"/>
        <color theme="1" tint="0.24994659260841701"/>
        <name val="Arial"/>
        <family val="2"/>
        <scheme val="minor"/>
      </font>
      <alignment horizontal="general" vertical="center" textRotation="0" wrapText="0" indent="0" justifyLastLine="0" shrinkToFit="0" readingOrder="0"/>
    </dxf>
    <dxf>
      <font>
        <b/>
      </font>
      <alignment horizontal="center" vertical="center" textRotation="0" wrapText="0" indent="0" justifyLastLine="0" shrinkToFit="0" readingOrder="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alignment horizontal="right" vertical="center" textRotation="0" wrapText="0" indent="0" justifyLastLine="0" shrinkToFit="0" readingOrder="0"/>
    </dxf>
    <dxf>
      <font>
        <strike val="0"/>
        <outline val="0"/>
        <shadow val="0"/>
        <vertAlign val="baseline"/>
        <name val="Arial"/>
        <family val="2"/>
        <scheme val="minor"/>
      </font>
      <numFmt numFmtId="167" formatCode="&quot;$&quot;#,##0"/>
      <alignment horizontal="right" vertical="center" textRotation="0" wrapText="0" indent="0" justifyLastLine="0" shrinkToFit="0" readingOrder="0"/>
    </dxf>
    <dxf>
      <font>
        <strike val="0"/>
        <outline val="0"/>
        <shadow val="0"/>
        <vertAlign val="baseline"/>
        <name val="Arial"/>
        <family val="2"/>
        <scheme val="minor"/>
      </font>
    </dxf>
    <dxf>
      <alignment horizontal="left" vertical="center" textRotation="0" wrapText="0" indent="1" justifyLastLine="0" shrinkToFit="0" readingOrder="0"/>
    </dxf>
    <dxf>
      <font>
        <strike val="0"/>
        <outline val="0"/>
        <shadow val="0"/>
        <vertAlign val="baseline"/>
        <name val="Arial"/>
        <family val="2"/>
        <scheme val="minor"/>
      </font>
      <alignment horizontal="left" vertical="center" textRotation="0" wrapText="0" relativeIndent="1" justifyLastLine="0" shrinkToFit="0" readingOrder="0"/>
    </dxf>
    <dxf>
      <font>
        <strike val="0"/>
        <outline val="0"/>
        <shadow val="0"/>
        <vertAlign val="baseline"/>
        <name val="Arial"/>
        <family val="2"/>
        <scheme val="minor"/>
      </font>
    </dxf>
    <dxf>
      <font>
        <strike val="0"/>
        <outline val="0"/>
        <shadow val="0"/>
        <vertAlign val="baseline"/>
        <name val="Arial"/>
        <family val="2"/>
        <scheme val="minor"/>
      </font>
    </dxf>
    <dxf>
      <font>
        <strike val="0"/>
        <outline val="0"/>
        <shadow val="0"/>
        <u val="none"/>
        <vertAlign val="baseline"/>
        <color theme="4" tint="-0.499984740745262"/>
        <name val="Arial"/>
        <family val="2"/>
        <scheme val="minor"/>
      </font>
    </dxf>
    <dxf>
      <numFmt numFmtId="167" formatCode="&quot;$&quot;#,##0"/>
      <alignment horizontal="right" vertical="center" textRotation="0" wrapText="0" indent="0" justifyLastLine="0" shrinkToFit="0" readingOrder="0"/>
    </dxf>
    <dxf>
      <font>
        <strike val="0"/>
        <outline val="0"/>
        <shadow val="0"/>
        <vertAlign val="baseline"/>
        <name val="Arial"/>
        <family val="2"/>
        <scheme val="minor"/>
      </font>
      <numFmt numFmtId="167" formatCode="&quot;$&quot;#,##0"/>
      <alignment horizontal="right" vertical="center" textRotation="0" wrapText="0" indent="0" justifyLastLine="0" shrinkToFit="0" readingOrder="0"/>
    </dxf>
    <dxf>
      <font>
        <strike val="0"/>
        <outline val="0"/>
        <shadow val="0"/>
        <vertAlign val="baseline"/>
        <name val="Arial"/>
        <family val="2"/>
        <scheme val="minor"/>
      </font>
    </dxf>
    <dxf>
      <alignment horizontal="left" vertical="center" textRotation="0" wrapText="0" indent="1" justifyLastLine="0" shrinkToFit="0" readingOrder="0"/>
    </dxf>
    <dxf>
      <font>
        <strike val="0"/>
        <outline val="0"/>
        <shadow val="0"/>
        <vertAlign val="baseline"/>
        <name val="Arial"/>
        <family val="2"/>
        <scheme val="minor"/>
      </font>
      <alignment horizontal="left" vertical="center" textRotation="0" wrapText="0" relativeIndent="1" justifyLastLine="0" shrinkToFit="0" readingOrder="0"/>
    </dxf>
    <dxf>
      <font>
        <strike val="0"/>
        <outline val="0"/>
        <shadow val="0"/>
        <vertAlign val="baseline"/>
        <name val="Arial"/>
        <family val="2"/>
        <scheme val="minor"/>
      </font>
    </dxf>
    <dxf>
      <font>
        <strike val="0"/>
        <outline val="0"/>
        <shadow val="0"/>
        <vertAlign val="baseline"/>
        <name val="Arial"/>
        <family val="2"/>
        <scheme val="minor"/>
      </font>
    </dxf>
    <dxf>
      <font>
        <strike val="0"/>
        <outline val="0"/>
        <shadow val="0"/>
        <u val="none"/>
        <vertAlign val="baseline"/>
        <color theme="4" tint="-0.499984740745262"/>
        <name val="Arial"/>
        <family val="2"/>
        <scheme val="minor"/>
      </font>
    </dxf>
    <dxf>
      <numFmt numFmtId="166" formatCode="&quot;$&quot;#,##0.00"/>
      <alignment horizontal="right" vertical="center" textRotation="0" wrapText="0" indent="0" justifyLastLine="0" shrinkToFit="0" readingOrder="0"/>
    </dxf>
    <dxf>
      <font>
        <strike val="0"/>
        <outline val="0"/>
        <shadow val="0"/>
        <vertAlign val="baseline"/>
        <name val="Arial"/>
        <family val="2"/>
        <scheme val="minor"/>
      </font>
      <numFmt numFmtId="167" formatCode="&quot;$&quot;#,##0"/>
      <alignment horizontal="right" vertical="center" textRotation="0" wrapText="0" indent="0" justifyLastLine="0" shrinkToFit="0" readingOrder="0"/>
    </dxf>
    <dxf>
      <numFmt numFmtId="166" formatCode="&quot;$&quot;#,##0.00"/>
      <alignment horizontal="right" vertical="center" textRotation="0" wrapText="0" indent="1" justifyLastLine="0" shrinkToFit="0" readingOrder="0"/>
    </dxf>
    <dxf>
      <font>
        <strike val="0"/>
        <outline val="0"/>
        <shadow val="0"/>
        <vertAlign val="baseline"/>
        <name val="Arial"/>
        <family val="2"/>
        <scheme val="minor"/>
      </font>
      <numFmt numFmtId="167" formatCode="&quot;$&quot;#,##0"/>
      <alignment horizontal="right" vertical="center" textRotation="0" wrapText="0" indent="1" justifyLastLine="0" shrinkToFit="0" readingOrder="0"/>
    </dxf>
    <dxf>
      <font>
        <strike val="0"/>
        <outline val="0"/>
        <shadow val="0"/>
        <vertAlign val="baseline"/>
        <name val="Arial"/>
        <family val="2"/>
        <scheme val="minor"/>
      </font>
    </dxf>
    <dxf>
      <alignment horizontal="left" vertical="center" textRotation="0" wrapText="0" indent="1" justifyLastLine="0" shrinkToFit="0" readingOrder="0"/>
    </dxf>
    <dxf>
      <font>
        <strike val="0"/>
        <outline val="0"/>
        <shadow val="0"/>
        <vertAlign val="baseline"/>
        <name val="Arial"/>
        <family val="2"/>
        <scheme val="minor"/>
      </font>
      <alignment horizontal="left" vertical="center" textRotation="0" wrapText="0" relativeIndent="1" justifyLastLine="0" shrinkToFit="0" readingOrder="0"/>
    </dxf>
    <dxf>
      <font>
        <strike val="0"/>
        <outline val="0"/>
        <shadow val="0"/>
        <vertAlign val="baseline"/>
        <name val="Arial"/>
        <family val="2"/>
        <scheme val="minor"/>
      </font>
    </dxf>
    <dxf>
      <font>
        <strike val="0"/>
        <outline val="0"/>
        <shadow val="0"/>
        <vertAlign val="baseline"/>
        <name val="Arial"/>
        <family val="2"/>
        <scheme val="minor"/>
      </font>
    </dxf>
    <dxf>
      <font>
        <strike val="0"/>
        <outline val="0"/>
        <shadow val="0"/>
        <u val="none"/>
        <vertAlign val="baseline"/>
        <color theme="4" tint="-0.499984740745262"/>
        <name val="Arial"/>
        <family val="2"/>
        <scheme val="minor"/>
      </font>
    </dxf>
    <dxf>
      <numFmt numFmtId="166" formatCode="&quot;$&quot;#,##0.00"/>
      <alignment horizontal="right" vertical="center" textRotation="0" wrapText="0" indent="0" justifyLastLine="0" shrinkToFit="0" readingOrder="0"/>
    </dxf>
    <dxf>
      <font>
        <strike val="0"/>
        <outline val="0"/>
        <shadow val="0"/>
        <vertAlign val="baseline"/>
        <name val="Arial"/>
        <family val="2"/>
        <scheme val="minor"/>
      </font>
      <numFmt numFmtId="167" formatCode="&quot;$&quot;#,##0"/>
      <alignment horizontal="right" vertical="center" textRotation="0" wrapText="0" indent="0" justifyLastLine="0" shrinkToFit="0" readingOrder="0"/>
    </dxf>
    <dxf>
      <numFmt numFmtId="166" formatCode="&quot;$&quot;#,##0.00"/>
      <alignment horizontal="right" vertical="center" textRotation="0" wrapText="0" indent="1" justifyLastLine="0" shrinkToFit="0" readingOrder="0"/>
    </dxf>
    <dxf>
      <font>
        <strike val="0"/>
        <outline val="0"/>
        <shadow val="0"/>
        <vertAlign val="baseline"/>
        <name val="Arial"/>
        <family val="2"/>
        <scheme val="minor"/>
      </font>
      <numFmt numFmtId="167" formatCode="&quot;$&quot;#,##0"/>
      <alignment horizontal="right" vertical="center" textRotation="0" wrapText="0" indent="1" justifyLastLine="0" shrinkToFit="0" readingOrder="0"/>
    </dxf>
    <dxf>
      <font>
        <strike val="0"/>
        <outline val="0"/>
        <shadow val="0"/>
        <vertAlign val="baseline"/>
        <name val="Arial"/>
        <family val="2"/>
        <scheme val="minor"/>
      </font>
    </dxf>
    <dxf>
      <alignment horizontal="left" vertical="center" textRotation="0" wrapText="0" indent="1" justifyLastLine="0" shrinkToFit="0" readingOrder="0"/>
    </dxf>
    <dxf>
      <font>
        <strike val="0"/>
        <outline val="0"/>
        <shadow val="0"/>
        <vertAlign val="baseline"/>
        <name val="Arial"/>
        <family val="2"/>
        <scheme val="minor"/>
      </font>
      <alignment horizontal="left" vertical="center" textRotation="0" wrapText="0" indent="1" justifyLastLine="0" shrinkToFit="0" readingOrder="0"/>
    </dxf>
    <dxf>
      <font>
        <strike val="0"/>
        <outline val="0"/>
        <shadow val="0"/>
        <vertAlign val="baseline"/>
        <name val="Arial"/>
        <family val="2"/>
        <scheme val="minor"/>
      </font>
    </dxf>
    <dxf>
      <font>
        <strike val="0"/>
        <outline val="0"/>
        <shadow val="0"/>
        <u val="none"/>
        <vertAlign val="baseline"/>
        <color theme="4" tint="-0.499984740745262"/>
        <name val="Arial"/>
        <family val="2"/>
        <scheme val="minor"/>
      </font>
    </dxf>
    <dxf>
      <font>
        <strike val="0"/>
        <outline val="0"/>
        <shadow val="0"/>
        <vertAlign val="baseline"/>
        <name val="Arial"/>
        <family val="2"/>
        <scheme val="minor"/>
      </font>
      <numFmt numFmtId="167" formatCode="&quot;$&quot;#,##0"/>
      <alignment horizontal="right" vertical="center" textRotation="0" wrapText="0" indent="0" justifyLastLine="0" shrinkToFit="0" readingOrder="0"/>
    </dxf>
    <dxf>
      <font>
        <strike val="0"/>
        <outline val="0"/>
        <shadow val="0"/>
        <vertAlign val="baseline"/>
        <name val="Arial"/>
        <family val="2"/>
        <scheme val="minor"/>
      </font>
      <numFmt numFmtId="167" formatCode="&quot;$&quot;#,##0"/>
      <alignment horizontal="right" vertical="center" textRotation="0" wrapText="0" indent="0" justifyLastLine="0" shrinkToFit="0" readingOrder="0"/>
    </dxf>
    <dxf>
      <font>
        <strike val="0"/>
        <outline val="0"/>
        <shadow val="0"/>
        <vertAlign val="baseline"/>
        <name val="Arial"/>
        <family val="2"/>
        <scheme val="minor"/>
      </font>
    </dxf>
    <dxf>
      <font>
        <strike val="0"/>
        <outline val="0"/>
        <shadow val="0"/>
        <vertAlign val="baseline"/>
        <name val="Arial"/>
        <family val="2"/>
        <scheme val="minor"/>
      </font>
    </dxf>
    <dxf>
      <font>
        <strike val="0"/>
        <outline val="0"/>
        <shadow val="0"/>
        <vertAlign val="baseline"/>
        <name val="Arial"/>
        <family val="2"/>
        <scheme val="minor"/>
      </font>
      <alignment horizontal="left" vertical="center" textRotation="0" wrapText="0" indent="1" justifyLastLine="0" shrinkToFit="0" readingOrder="0"/>
    </dxf>
    <dxf>
      <font>
        <strike val="0"/>
        <outline val="0"/>
        <shadow val="0"/>
        <vertAlign val="baseline"/>
        <name val="Arial"/>
        <family val="2"/>
        <scheme val="minor"/>
      </font>
      <alignment horizontal="left" vertical="center" textRotation="0" wrapText="0" relativeIndent="1" justifyLastLine="0" shrinkToFit="0" readingOrder="0"/>
    </dxf>
    <dxf>
      <font>
        <strike val="0"/>
        <outline val="0"/>
        <shadow val="0"/>
        <vertAlign val="baseline"/>
        <name val="Arial"/>
        <family val="2"/>
        <scheme val="minor"/>
      </font>
    </dxf>
    <dxf>
      <font>
        <strike val="0"/>
        <outline val="0"/>
        <shadow val="0"/>
        <vertAlign val="baseline"/>
        <name val="Arial"/>
        <family val="2"/>
        <scheme val="minor"/>
      </font>
    </dxf>
    <dxf>
      <font>
        <strike val="0"/>
        <outline val="0"/>
        <shadow val="0"/>
        <u val="none"/>
        <vertAlign val="baseline"/>
        <color theme="4" tint="-0.499984740745262"/>
        <name val="Arial"/>
        <family val="2"/>
        <scheme val="minor"/>
      </font>
    </dxf>
    <dxf>
      <numFmt numFmtId="166" formatCode="&quot;$&quot;#,##0.00"/>
      <alignment horizontal="right" vertical="center" textRotation="0" wrapText="0" indent="0" justifyLastLine="0" shrinkToFit="0" readingOrder="0"/>
    </dxf>
    <dxf>
      <font>
        <strike val="0"/>
        <outline val="0"/>
        <shadow val="0"/>
        <vertAlign val="baseline"/>
        <name val="Arial"/>
        <family val="2"/>
        <scheme val="minor"/>
      </font>
      <numFmt numFmtId="167" formatCode="&quot;$&quot;#,##0"/>
      <alignment horizontal="right" vertical="center" textRotation="0" wrapText="0" indent="0" justifyLastLine="0" shrinkToFit="0" readingOrder="0"/>
    </dxf>
    <dxf>
      <numFmt numFmtId="166" formatCode="&quot;$&quot;#,##0.00"/>
      <alignment horizontal="right" vertical="center" textRotation="0" wrapText="0" indent="1" justifyLastLine="0" shrinkToFit="0" readingOrder="0"/>
    </dxf>
    <dxf>
      <font>
        <strike val="0"/>
        <outline val="0"/>
        <shadow val="0"/>
        <vertAlign val="baseline"/>
        <name val="Arial"/>
        <family val="2"/>
        <scheme val="minor"/>
      </font>
      <numFmt numFmtId="167" formatCode="&quot;$&quot;#,##0"/>
      <alignment horizontal="right" vertical="center" textRotation="0" wrapText="0" indent="1" justifyLastLine="0" shrinkToFit="0" readingOrder="0"/>
    </dxf>
    <dxf>
      <font>
        <strike val="0"/>
        <outline val="0"/>
        <shadow val="0"/>
        <vertAlign val="baseline"/>
        <name val="Arial"/>
        <family val="2"/>
        <scheme val="minor"/>
      </font>
    </dxf>
    <dxf>
      <alignment horizontal="left" vertical="center" textRotation="0" wrapText="0" indent="1" justifyLastLine="0" shrinkToFit="0" readingOrder="0"/>
    </dxf>
    <dxf>
      <font>
        <strike val="0"/>
        <outline val="0"/>
        <shadow val="0"/>
        <vertAlign val="baseline"/>
        <name val="Arial"/>
        <family val="2"/>
        <scheme val="minor"/>
      </font>
      <alignment horizontal="left" vertical="center" textRotation="0" wrapText="0" relativeIndent="1" justifyLastLine="0" shrinkToFit="0" readingOrder="0"/>
    </dxf>
    <dxf>
      <font>
        <strike val="0"/>
        <outline val="0"/>
        <shadow val="0"/>
        <vertAlign val="baseline"/>
        <name val="Arial"/>
        <family val="2"/>
        <scheme val="minor"/>
      </font>
    </dxf>
    <dxf>
      <font>
        <strike val="0"/>
        <outline val="0"/>
        <shadow val="0"/>
        <vertAlign val="baseline"/>
        <name val="Arial"/>
        <family val="2"/>
        <scheme val="minor"/>
      </font>
    </dxf>
    <dxf>
      <font>
        <strike val="0"/>
        <outline val="0"/>
        <shadow val="0"/>
        <u val="none"/>
        <vertAlign val="baseline"/>
        <color theme="4" tint="-0.499984740745262"/>
        <name val="Arial"/>
        <family val="2"/>
        <scheme val="minor"/>
      </font>
    </dxf>
    <dxf>
      <numFmt numFmtId="167" formatCode="&quot;$&quot;#,##0"/>
      <alignment horizontal="right" vertical="center" textRotation="0" wrapText="0" indent="0" justifyLastLine="0" shrinkToFit="0" readingOrder="0"/>
    </dxf>
    <dxf>
      <font>
        <strike val="0"/>
        <outline val="0"/>
        <shadow val="0"/>
        <vertAlign val="baseline"/>
        <name val="Arial"/>
        <family val="2"/>
        <scheme val="minor"/>
      </font>
      <numFmt numFmtId="0" formatCode="General"/>
    </dxf>
    <dxf>
      <numFmt numFmtId="3" formatCode="#,##0"/>
      <alignment horizontal="right" vertical="center" textRotation="0" wrapText="0" indent="1" justifyLastLine="0" shrinkToFit="0" readingOrder="0"/>
    </dxf>
    <dxf>
      <font>
        <strike val="0"/>
        <outline val="0"/>
        <shadow val="0"/>
        <vertAlign val="baseline"/>
        <name val="Arial"/>
        <family val="2"/>
        <scheme val="minor"/>
      </font>
      <numFmt numFmtId="0" formatCode="General"/>
    </dxf>
    <dxf>
      <numFmt numFmtId="3" formatCode="#,##0"/>
      <alignment horizontal="right" vertical="center" textRotation="0" wrapText="0" indent="1" justifyLastLine="0" shrinkToFit="0" readingOrder="0"/>
    </dxf>
    <dxf>
      <font>
        <strike val="0"/>
        <outline val="0"/>
        <shadow val="0"/>
        <vertAlign val="baseline"/>
        <name val="Arial"/>
        <family val="2"/>
        <scheme val="minor"/>
      </font>
      <numFmt numFmtId="3" formatCode="#,##0"/>
      <alignment horizontal="right" vertical="center" textRotation="0" wrapText="0" indent="1" justifyLastLine="0" shrinkToFit="0" readingOrder="0"/>
    </dxf>
    <dxf>
      <alignment horizontal="left" vertical="center" textRotation="0" wrapText="0" indent="1" justifyLastLine="0" shrinkToFit="0" readingOrder="0"/>
    </dxf>
    <dxf>
      <font>
        <strike val="0"/>
        <outline val="0"/>
        <shadow val="0"/>
        <vertAlign val="baseline"/>
        <name val="Arial"/>
        <family val="2"/>
        <scheme val="minor"/>
      </font>
      <alignment horizontal="left" vertical="center" textRotation="0" wrapText="0" relativeIndent="1" justifyLastLine="0" shrinkToFit="0" readingOrder="0"/>
    </dxf>
    <dxf>
      <font>
        <strike val="0"/>
        <outline val="0"/>
        <shadow val="0"/>
        <vertAlign val="baseline"/>
        <name val="Arial"/>
        <family val="2"/>
        <scheme val="minor"/>
      </font>
    </dxf>
    <dxf>
      <font>
        <strike val="0"/>
        <outline val="0"/>
        <shadow val="0"/>
        <vertAlign val="baseline"/>
        <name val="Arial"/>
        <family val="2"/>
        <scheme val="minor"/>
      </font>
    </dxf>
    <dxf>
      <font>
        <strike val="0"/>
        <outline val="0"/>
        <shadow val="0"/>
        <u val="none"/>
        <vertAlign val="baseline"/>
        <color theme="4" tint="-0.499984740745262"/>
        <name val="Arial"/>
        <family val="2"/>
        <scheme val="minor"/>
      </font>
    </dxf>
    <dxf>
      <border outline="0">
        <top style="medium">
          <color theme="4" tint="-0.24994659260841701"/>
        </top>
      </border>
    </dxf>
    <dxf>
      <font>
        <b/>
        <i val="0"/>
        <strike val="0"/>
        <condense val="0"/>
        <extend val="0"/>
        <outline val="0"/>
        <shadow val="0"/>
        <u val="none"/>
        <vertAlign val="baseline"/>
        <sz val="9"/>
        <color theme="4" tint="-0.499984740745262"/>
        <name val="Arial"/>
        <scheme val="minor"/>
      </font>
      <fill>
        <patternFill patternType="none">
          <fgColor indexed="64"/>
          <bgColor indexed="65"/>
        </patternFill>
      </fill>
      <alignment horizontal="left" vertical="center" textRotation="0" wrapText="0" indent="1" justifyLastLine="0" shrinkToFit="0" readingOrder="0"/>
    </dxf>
    <dxf>
      <border outline="0">
        <top style="medium">
          <color theme="4" tint="-0.24994659260841701"/>
        </top>
      </border>
    </dxf>
    <dxf>
      <font>
        <b/>
        <i val="0"/>
        <strike val="0"/>
        <condense val="0"/>
        <extend val="0"/>
        <outline val="0"/>
        <shadow val="0"/>
        <u val="none"/>
        <vertAlign val="baseline"/>
        <sz val="9"/>
        <color theme="4" tint="-0.499984740745262"/>
        <name val="Arial"/>
        <scheme val="minor"/>
      </font>
      <fill>
        <patternFill patternType="none">
          <fgColor indexed="64"/>
          <bgColor indexed="65"/>
        </patternFill>
      </fill>
      <alignment horizontal="left" vertical="center" textRotation="0" wrapText="0" indent="1" justifyLastLine="0" shrinkToFit="0" readingOrder="0"/>
    </dxf>
    <dxf>
      <numFmt numFmtId="166" formatCode="&quot;$&quot;#,##0.00"/>
      <alignment horizontal="right" vertical="center" textRotation="0" wrapText="0" indent="1" justifyLastLine="0" shrinkToFit="0" readingOrder="0"/>
    </dxf>
    <dxf>
      <numFmt numFmtId="166"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font>
        <strike val="0"/>
        <outline val="0"/>
        <shadow val="0"/>
        <u val="none"/>
        <vertAlign val="baseline"/>
        <color theme="4" tint="-0.499984740745262"/>
        <name val="Arial"/>
        <scheme val="minor"/>
      </font>
    </dxf>
    <dxf>
      <numFmt numFmtId="166" formatCode="&quot;$&quot;#,##0.00"/>
      <alignment horizontal="right" vertical="center" textRotation="0" wrapText="0" indent="1" justifyLastLine="0" shrinkToFit="0" readingOrder="0"/>
    </dxf>
    <dxf>
      <numFmt numFmtId="166"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font>
        <strike val="0"/>
        <outline val="0"/>
        <shadow val="0"/>
        <u val="none"/>
        <vertAlign val="baseline"/>
        <color theme="4" tint="-0.499984740745262"/>
        <name val="Arial"/>
        <scheme val="minor"/>
      </font>
    </dxf>
    <dxf>
      <numFmt numFmtId="166" formatCode="&quot;$&quot;#,##0.00"/>
      <alignment horizontal="right" vertical="center" textRotation="0" wrapText="0" indent="1" justifyLastLine="0" shrinkToFit="0" readingOrder="0"/>
    </dxf>
    <dxf>
      <numFmt numFmtId="166"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font>
        <strike val="0"/>
        <outline val="0"/>
        <shadow val="0"/>
        <u val="none"/>
        <vertAlign val="baseline"/>
        <color theme="4" tint="-0.499984740745262"/>
        <name val="Arial"/>
        <scheme val="minor"/>
      </font>
    </dxf>
    <dxf>
      <numFmt numFmtId="178" formatCode="#,##0.00\ &quot;€&quot;"/>
      <alignment horizontal="right" vertical="center" textRotation="0" wrapText="0" indent="1" justifyLastLine="0" shrinkToFit="0" readingOrder="0"/>
    </dxf>
    <dxf>
      <numFmt numFmtId="166"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font>
        <strike val="0"/>
        <outline val="0"/>
        <shadow val="0"/>
        <u val="none"/>
        <vertAlign val="baseline"/>
        <color theme="4" tint="-0.499984740745262"/>
        <name val="Arial"/>
        <scheme val="minor"/>
      </font>
    </dxf>
    <dxf>
      <numFmt numFmtId="178" formatCode="#,##0.00\ &quot;€&quot;"/>
      <alignment horizontal="right" vertical="center" textRotation="0" wrapText="0" indent="1" justifyLastLine="0" shrinkToFit="0" readingOrder="0"/>
    </dxf>
    <dxf>
      <numFmt numFmtId="166"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font>
        <strike val="0"/>
        <outline val="0"/>
        <shadow val="0"/>
        <u val="none"/>
        <vertAlign val="baseline"/>
        <sz val="9"/>
        <color theme="4" tint="-0.499984740745262"/>
        <name val="Arial"/>
        <scheme val="minor"/>
      </font>
    </dxf>
    <dxf>
      <numFmt numFmtId="178" formatCode="#,##0.00\ &quot;€&quot;"/>
      <alignment horizontal="right" vertical="center" textRotation="0" wrapText="0" indent="1" justifyLastLine="0" shrinkToFit="0" readingOrder="0"/>
    </dxf>
    <dxf>
      <numFmt numFmtId="166"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font>
        <strike val="0"/>
        <outline val="0"/>
        <shadow val="0"/>
        <u val="none"/>
        <vertAlign val="baseline"/>
        <color theme="4" tint="-0.499984740745262"/>
        <name val="Arial"/>
        <scheme val="minor"/>
      </font>
    </dxf>
    <dxf>
      <numFmt numFmtId="178" formatCode="#,##0.00\ &quot;€&quot;"/>
      <alignment horizontal="right" vertical="center" textRotation="0" wrapText="0" indent="1" justifyLastLine="0" shrinkToFit="0" readingOrder="0"/>
    </dxf>
    <dxf>
      <numFmt numFmtId="166"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font>
        <strike val="0"/>
        <outline val="0"/>
        <shadow val="0"/>
        <u val="none"/>
        <vertAlign val="baseline"/>
        <color theme="4" tint="-0.499984740745262"/>
        <name val="Arial"/>
        <scheme val="minor"/>
      </font>
    </dxf>
    <dxf>
      <numFmt numFmtId="178" formatCode="#,##0.00\ &quot;€&quot;"/>
      <alignment horizontal="right" vertical="center" textRotation="0" wrapText="0" indent="1" justifyLastLine="0" shrinkToFit="0" readingOrder="0"/>
    </dxf>
    <dxf>
      <numFmt numFmtId="166"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font>
        <strike val="0"/>
        <outline val="0"/>
        <shadow val="0"/>
        <u val="none"/>
        <vertAlign val="baseline"/>
        <color theme="4" tint="-0.499984740745262"/>
        <name val="Arial"/>
        <scheme val="minor"/>
      </font>
    </dxf>
    <dxf>
      <numFmt numFmtId="178" formatCode="#,##0.00\ &quot;€&quot;"/>
      <alignment horizontal="right" vertical="center" textRotation="0" wrapText="0" indent="1" justifyLastLine="0" shrinkToFit="0" readingOrder="0"/>
    </dxf>
    <dxf>
      <numFmt numFmtId="166"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font>
        <strike val="0"/>
        <outline val="0"/>
        <shadow val="0"/>
        <u val="none"/>
        <vertAlign val="baseline"/>
        <color theme="4" tint="-0.499984740745262"/>
        <name val="Arial"/>
        <scheme val="minor"/>
      </font>
    </dxf>
    <dxf>
      <numFmt numFmtId="178" formatCode="#,##0.00\ &quot;€&quot;"/>
      <alignment horizontal="right" vertical="center" textRotation="0" wrapText="0" indent="1" justifyLastLine="0" shrinkToFit="0" readingOrder="0"/>
    </dxf>
    <dxf>
      <numFmt numFmtId="166"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font>
        <strike val="0"/>
        <outline val="0"/>
        <shadow val="0"/>
        <u val="none"/>
        <vertAlign val="baseline"/>
        <color theme="4" tint="-0.499984740745262"/>
        <name val="Arial"/>
        <scheme val="minor"/>
      </font>
    </dxf>
    <dxf>
      <numFmt numFmtId="166" formatCode="&quot;$&quot;#,##0.00"/>
      <alignment horizontal="right" vertical="center" textRotation="0" wrapText="0" indent="1" justifyLastLine="0" shrinkToFit="0" readingOrder="0"/>
    </dxf>
    <dxf>
      <numFmt numFmtId="166"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font>
        <strike val="0"/>
        <outline val="0"/>
        <shadow val="0"/>
        <u val="none"/>
        <vertAlign val="baseline"/>
        <color theme="4" tint="-0.499984740745262"/>
        <name val="Arial"/>
        <scheme val="minor"/>
      </font>
    </dxf>
    <dxf>
      <numFmt numFmtId="166" formatCode="&quot;$&quot;#,##0.00"/>
      <alignment horizontal="right" vertical="center" textRotation="0" wrapText="0" indent="1" justifyLastLine="0" shrinkToFit="0" readingOrder="0"/>
    </dxf>
    <dxf>
      <numFmt numFmtId="166"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font>
        <strike val="0"/>
        <outline val="0"/>
        <shadow val="0"/>
        <u val="none"/>
        <vertAlign val="baseline"/>
        <color theme="4" tint="-0.499984740745262"/>
        <name val="Arial"/>
        <scheme val="minor"/>
      </font>
    </dxf>
    <dxf>
      <numFmt numFmtId="178" formatCode="#,##0.00\ &quot;€&quot;"/>
      <alignment horizontal="right" vertical="center" textRotation="0" wrapText="0" indent="1" justifyLastLine="0" shrinkToFit="0" readingOrder="0"/>
    </dxf>
    <dxf>
      <numFmt numFmtId="166"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font>
        <strike val="0"/>
        <outline val="0"/>
        <shadow val="0"/>
        <u val="none"/>
        <vertAlign val="baseline"/>
        <color theme="4" tint="-0.499984740745262"/>
        <name val="Arial"/>
        <scheme val="minor"/>
      </font>
    </dxf>
    <dxf>
      <border>
        <left style="dotted">
          <color theme="4" tint="0.59996337778862885"/>
        </left>
      </border>
    </dxf>
    <dxf>
      <fill>
        <patternFill>
          <bgColor theme="0" tint="-4.9989318521683403E-2"/>
        </patternFill>
      </fill>
    </dxf>
    <dxf>
      <border diagonalUp="0" diagonalDown="0">
        <left style="dotted">
          <color theme="4" tint="0.59996337778862885"/>
        </left>
        <right/>
        <top/>
        <bottom/>
        <vertical/>
        <horizontal/>
      </border>
    </dxf>
    <dxf>
      <font>
        <b/>
        <i val="0"/>
        <color theme="1" tint="0.34998626667073579"/>
      </font>
      <border diagonalUp="0" diagonalDown="0">
        <left/>
        <right/>
        <top style="dotted">
          <color theme="4" tint="0.59996337778862885"/>
        </top>
        <bottom style="dotted">
          <color theme="4" tint="0.59996337778862885"/>
        </bottom>
        <vertical/>
        <horizontal/>
      </border>
    </dxf>
    <dxf>
      <font>
        <b val="0"/>
        <i val="0"/>
        <color theme="4" tint="-0.499984740745262"/>
      </font>
      <fill>
        <patternFill patternType="none">
          <fgColor indexed="64"/>
          <bgColor auto="1"/>
        </patternFill>
      </fill>
      <border diagonalUp="0" diagonalDown="0">
        <left/>
        <right/>
        <top style="medium">
          <color theme="4" tint="-0.24994659260841701"/>
        </top>
        <bottom style="dotted">
          <color theme="4" tint="0.59996337778862885"/>
        </bottom>
        <vertical/>
        <horizontal/>
      </border>
    </dxf>
    <dxf>
      <font>
        <b val="0"/>
        <i val="0"/>
        <color theme="1" tint="0.34998626667073579"/>
      </font>
      <fill>
        <patternFill patternType="none">
          <bgColor auto="1"/>
        </patternFill>
      </fill>
      <border diagonalUp="0" diagonalDown="0">
        <left/>
        <right/>
        <top/>
        <bottom/>
        <vertical/>
        <horizontal/>
      </border>
    </dxf>
  </dxfs>
  <tableStyles count="1" defaultPivotStyle="PivotStyleLight16">
    <tableStyle name="Gastos iniciales" pivot="0" count="6" xr9:uid="{00000000-0011-0000-FFFF-FFFF00000000}">
      <tableStyleElement type="wholeTable" dxfId="161"/>
      <tableStyleElement type="headerRow" dxfId="160"/>
      <tableStyleElement type="totalRow" dxfId="159"/>
      <tableStyleElement type="lastColumn" dxfId="158"/>
      <tableStyleElement type="secondRowStripe" dxfId="157"/>
      <tableStyleElement type="lastTotalCell" dxfId="15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Maiz!$K$22</c:f>
              <c:strCache>
                <c:ptCount val="1"/>
                <c:pt idx="0">
                  <c:v>Producción (ton/ha)</c:v>
                </c:pt>
              </c:strCache>
            </c:strRef>
          </c:tx>
          <c:spPr>
            <a:ln w="22225" cap="rnd">
              <a:solidFill>
                <a:schemeClr val="accent1"/>
              </a:solidFill>
              <a:round/>
            </a:ln>
            <a:effectLst/>
          </c:spPr>
          <c:marker>
            <c:symbol val="none"/>
          </c:marker>
          <c:cat>
            <c:strRef>
              <c:f>Maiz!$J$23:$J$26</c:f>
              <c:strCache>
                <c:ptCount val="4"/>
                <c:pt idx="0">
                  <c:v>Cosecha 1</c:v>
                </c:pt>
                <c:pt idx="1">
                  <c:v>Cosecha 2</c:v>
                </c:pt>
                <c:pt idx="2">
                  <c:v>Cosecha 3</c:v>
                </c:pt>
                <c:pt idx="3">
                  <c:v>Cosecha 4</c:v>
                </c:pt>
              </c:strCache>
            </c:strRef>
          </c:cat>
          <c:val>
            <c:numRef>
              <c:f>Maiz!$K$23:$K$26</c:f>
              <c:numCache>
                <c:formatCode>0.0</c:formatCode>
                <c:ptCount val="4"/>
                <c:pt idx="0">
                  <c:v>4.08</c:v>
                </c:pt>
                <c:pt idx="1">
                  <c:v>8.16</c:v>
                </c:pt>
                <c:pt idx="2">
                  <c:v>8.16</c:v>
                </c:pt>
                <c:pt idx="3">
                  <c:v>4.08</c:v>
                </c:pt>
              </c:numCache>
            </c:numRef>
          </c:val>
          <c:smooth val="0"/>
          <c:extLst>
            <c:ext xmlns:c16="http://schemas.microsoft.com/office/drawing/2014/chart" uri="{C3380CC4-5D6E-409C-BE32-E72D297353CC}">
              <c16:uniqueId val="{00000000-A90F-4FF3-A1E0-4A584B045317}"/>
            </c:ext>
          </c:extLst>
        </c:ser>
        <c:ser>
          <c:idx val="1"/>
          <c:order val="1"/>
          <c:tx>
            <c:strRef>
              <c:f>Maiz!$M$22</c:f>
              <c:strCache>
                <c:ptCount val="1"/>
                <c:pt idx="0">
                  <c:v>Producción (ton/ha)</c:v>
                </c:pt>
              </c:strCache>
            </c:strRef>
          </c:tx>
          <c:spPr>
            <a:ln w="22225" cap="rnd">
              <a:solidFill>
                <a:schemeClr val="accent2"/>
              </a:solidFill>
              <a:round/>
            </a:ln>
            <a:effectLst/>
          </c:spPr>
          <c:marker>
            <c:symbol val="none"/>
          </c:marker>
          <c:cat>
            <c:strRef>
              <c:f>Maiz!$J$23:$J$26</c:f>
              <c:strCache>
                <c:ptCount val="4"/>
                <c:pt idx="0">
                  <c:v>Cosecha 1</c:v>
                </c:pt>
                <c:pt idx="1">
                  <c:v>Cosecha 2</c:v>
                </c:pt>
                <c:pt idx="2">
                  <c:v>Cosecha 3</c:v>
                </c:pt>
                <c:pt idx="3">
                  <c:v>Cosecha 4</c:v>
                </c:pt>
              </c:strCache>
            </c:strRef>
          </c:cat>
          <c:val>
            <c:numRef>
              <c:f>Maiz!$M$23:$M$26</c:f>
              <c:numCache>
                <c:formatCode>0.0</c:formatCode>
                <c:ptCount val="4"/>
                <c:pt idx="0">
                  <c:v>6.12</c:v>
                </c:pt>
                <c:pt idx="1">
                  <c:v>12.24</c:v>
                </c:pt>
                <c:pt idx="2">
                  <c:v>12.24</c:v>
                </c:pt>
                <c:pt idx="3">
                  <c:v>6.12</c:v>
                </c:pt>
              </c:numCache>
            </c:numRef>
          </c:val>
          <c:smooth val="0"/>
          <c:extLst>
            <c:ext xmlns:c16="http://schemas.microsoft.com/office/drawing/2014/chart" uri="{C3380CC4-5D6E-409C-BE32-E72D297353CC}">
              <c16:uniqueId val="{00000001-A90F-4FF3-A1E0-4A584B045317}"/>
            </c:ext>
          </c:extLst>
        </c:ser>
        <c:dLbls>
          <c:showLegendKey val="0"/>
          <c:showVal val="0"/>
          <c:showCatName val="0"/>
          <c:showSerName val="0"/>
          <c:showPercent val="0"/>
          <c:showBubbleSize val="0"/>
        </c:dLbls>
        <c:smooth val="0"/>
        <c:axId val="2102783"/>
        <c:axId val="1923489151"/>
      </c:lineChart>
      <c:catAx>
        <c:axId val="210278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23489151"/>
        <c:crosses val="autoZero"/>
        <c:auto val="1"/>
        <c:lblAlgn val="ctr"/>
        <c:lblOffset val="100"/>
        <c:noMultiLvlLbl val="0"/>
      </c:catAx>
      <c:valAx>
        <c:axId val="1923489151"/>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Producción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02783"/>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PVU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'Modelo Financiero'!$A$140</c:f>
              <c:strCache>
                <c:ptCount val="1"/>
                <c:pt idx="0">
                  <c:v>PVU</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'Modelo Financiero'!$B$138:$F$138</c:f>
              <c:numCache>
                <c:formatCode>General</c:formatCode>
                <c:ptCount val="5"/>
                <c:pt idx="0">
                  <c:v>2024</c:v>
                </c:pt>
                <c:pt idx="1">
                  <c:v>2025</c:v>
                </c:pt>
                <c:pt idx="2">
                  <c:v>2026</c:v>
                </c:pt>
                <c:pt idx="3">
                  <c:v>2027</c:v>
                </c:pt>
                <c:pt idx="4">
                  <c:v>2028</c:v>
                </c:pt>
              </c:numCache>
            </c:numRef>
          </c:cat>
          <c:val>
            <c:numRef>
              <c:f>'Modelo Financiero'!$B$140:$F$140</c:f>
              <c:numCache>
                <c:formatCode>_-* #,##0_-;\-* #,##0_-;_-* "-"??_-;_-@_-</c:formatCode>
                <c:ptCount val="5"/>
                <c:pt idx="0">
                  <c:v>4256849.2</c:v>
                </c:pt>
                <c:pt idx="1">
                  <c:v>4520773.8504000008</c:v>
                </c:pt>
                <c:pt idx="2">
                  <c:v>4801061.8291248009</c:v>
                </c:pt>
                <c:pt idx="3">
                  <c:v>5098727.6625305386</c:v>
                </c:pt>
                <c:pt idx="4">
                  <c:v>5414848.7776074326</c:v>
                </c:pt>
              </c:numCache>
            </c:numRef>
          </c:val>
          <c:extLst>
            <c:ext xmlns:c16="http://schemas.microsoft.com/office/drawing/2014/chart" uri="{C3380CC4-5D6E-409C-BE32-E72D297353CC}">
              <c16:uniqueId val="{00000000-4999-4901-8E87-4A80BE3E4C10}"/>
            </c:ext>
          </c:extLst>
        </c:ser>
        <c:dLbls>
          <c:showLegendKey val="0"/>
          <c:showVal val="0"/>
          <c:showCatName val="0"/>
          <c:showSerName val="0"/>
          <c:showPercent val="0"/>
          <c:showBubbleSize val="0"/>
        </c:dLbls>
        <c:gapWidth val="219"/>
        <c:overlap val="-27"/>
        <c:axId val="654408527"/>
        <c:axId val="700538559"/>
      </c:barChart>
      <c:catAx>
        <c:axId val="65440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538559"/>
        <c:crosses val="autoZero"/>
        <c:auto val="1"/>
        <c:lblAlgn val="ctr"/>
        <c:lblOffset val="100"/>
        <c:noMultiLvlLbl val="0"/>
      </c:catAx>
      <c:valAx>
        <c:axId val="70053855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4085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Equilibrio Financiero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'Modelo Financiero'!$A$155</c:f>
              <c:strCache>
                <c:ptCount val="1"/>
                <c:pt idx="0">
                  <c:v>P. equilibrio financiero Und = (CF+GF+DF+GF)/MCU</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'Modelo Financiero'!$B$155:$F$155</c:f>
              <c:numCache>
                <c:formatCode>_-* #,##0_-;\-* #,##0_-;_-* "-"??_-;_-@_-</c:formatCode>
                <c:ptCount val="5"/>
                <c:pt idx="0">
                  <c:v>21.533381794502482</c:v>
                </c:pt>
                <c:pt idx="1">
                  <c:v>42.577934989828798</c:v>
                </c:pt>
                <c:pt idx="2">
                  <c:v>42.984464148788064</c:v>
                </c:pt>
                <c:pt idx="3">
                  <c:v>43.42158296153039</c:v>
                </c:pt>
                <c:pt idx="4">
                  <c:v>43.887511400760388</c:v>
                </c:pt>
              </c:numCache>
            </c:numRef>
          </c:val>
          <c:extLst>
            <c:ext xmlns:c16="http://schemas.microsoft.com/office/drawing/2014/chart" uri="{C3380CC4-5D6E-409C-BE32-E72D297353CC}">
              <c16:uniqueId val="{00000000-A6AD-4388-9710-01598F4C7CD5}"/>
            </c:ext>
          </c:extLst>
        </c:ser>
        <c:dLbls>
          <c:showLegendKey val="0"/>
          <c:showVal val="0"/>
          <c:showCatName val="0"/>
          <c:showSerName val="0"/>
          <c:showPercent val="0"/>
          <c:showBubbleSize val="0"/>
        </c:dLbls>
        <c:gapWidth val="219"/>
        <c:overlap val="-27"/>
        <c:axId val="760895503"/>
        <c:axId val="763259327"/>
      </c:barChart>
      <c:lineChart>
        <c:grouping val="standard"/>
        <c:varyColors val="0"/>
        <c:ser>
          <c:idx val="1"/>
          <c:order val="1"/>
          <c:tx>
            <c:strRef>
              <c:f>'Modelo Financiero'!$A$156</c:f>
              <c:strCache>
                <c:ptCount val="1"/>
                <c:pt idx="0">
                  <c:v>P. equilibrio financiero $ = P. Equi Fin * PVU</c:v>
                </c:pt>
              </c:strCache>
            </c:strRef>
          </c:tx>
          <c:spPr>
            <a:ln w="28575" cap="rnd">
              <a:solidFill>
                <a:schemeClr val="accent2"/>
              </a:solidFill>
              <a:round/>
            </a:ln>
            <a:effectLst/>
          </c:spPr>
          <c:marker>
            <c:symbol val="none"/>
          </c:marker>
          <c:val>
            <c:numRef>
              <c:f>'Modelo Financiero'!$B$156:$F$156</c:f>
              <c:numCache>
                <c:formatCode>_-* #,##0_-;\-* #,##0_-;_-* "-"??_-;_-@_-</c:formatCode>
                <c:ptCount val="5"/>
                <c:pt idx="0">
                  <c:v>91664359.065222457</c:v>
                </c:pt>
                <c:pt idx="1">
                  <c:v>192485215.10604924</c:v>
                </c:pt>
                <c:pt idx="2">
                  <c:v>206371070.07012984</c:v>
                </c:pt>
                <c:pt idx="3">
                  <c:v>221394826.19681972</c:v>
                </c:pt>
                <c:pt idx="4">
                  <c:v>237644237.46063966</c:v>
                </c:pt>
              </c:numCache>
            </c:numRef>
          </c:val>
          <c:smooth val="0"/>
          <c:extLst>
            <c:ext xmlns:c16="http://schemas.microsoft.com/office/drawing/2014/chart" uri="{C3380CC4-5D6E-409C-BE32-E72D297353CC}">
              <c16:uniqueId val="{00000001-A6AD-4388-9710-01598F4C7CD5}"/>
            </c:ext>
          </c:extLst>
        </c:ser>
        <c:dLbls>
          <c:showLegendKey val="0"/>
          <c:showVal val="0"/>
          <c:showCatName val="0"/>
          <c:showSerName val="0"/>
          <c:showPercent val="0"/>
          <c:showBubbleSize val="0"/>
        </c:dLbls>
        <c:marker val="1"/>
        <c:smooth val="0"/>
        <c:axId val="767963887"/>
        <c:axId val="763768767"/>
      </c:lineChart>
      <c:catAx>
        <c:axId val="7679638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768767"/>
        <c:crosses val="autoZero"/>
        <c:auto val="1"/>
        <c:lblAlgn val="ctr"/>
        <c:lblOffset val="100"/>
        <c:noMultiLvlLbl val="0"/>
      </c:catAx>
      <c:valAx>
        <c:axId val="76376876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963887"/>
        <c:crosses val="autoZero"/>
        <c:crossBetween val="between"/>
      </c:valAx>
      <c:valAx>
        <c:axId val="763259327"/>
        <c:scaling>
          <c:orientation val="minMax"/>
        </c:scaling>
        <c:delete val="0"/>
        <c:axPos val="r"/>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95503"/>
        <c:crosses val="max"/>
        <c:crossBetween val="between"/>
      </c:valAx>
      <c:catAx>
        <c:axId val="760895503"/>
        <c:scaling>
          <c:orientation val="minMax"/>
        </c:scaling>
        <c:delete val="1"/>
        <c:axPos val="b"/>
        <c:majorTickMark val="out"/>
        <c:minorTickMark val="none"/>
        <c:tickLblPos val="nextTo"/>
        <c:crossAx val="76325932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'Modelo Financiero'!$A$165</c:f>
              <c:strCache>
                <c:ptCount val="1"/>
                <c:pt idx="0">
                  <c:v>Liquidez = Activo Corriente / Pasivo Corriente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'Modelo Financiero'!$B$165:$F$165</c:f>
              <c:numCache>
                <c:formatCode>_-* #,##0.0_-;\-* #,##0.0_-;_-* "-"??_-;_-@_-</c:formatCode>
                <c:ptCount val="5"/>
                <c:pt idx="0">
                  <c:v>21.722210642706553</c:v>
                </c:pt>
                <c:pt idx="1">
                  <c:v>8.3384729541363569</c:v>
                </c:pt>
                <c:pt idx="2">
                  <c:v>7.8348933869480293</c:v>
                </c:pt>
                <c:pt idx="3">
                  <c:v>7.7406960311047595</c:v>
                </c:pt>
                <c:pt idx="4">
                  <c:v>7.848004007290573</c:v>
                </c:pt>
              </c:numCache>
            </c:numRef>
          </c:val>
          <c:smooth val="0"/>
          <c:extLst>
            <c:ext xmlns:c16="http://schemas.microsoft.com/office/drawing/2014/chart" uri="{C3380CC4-5D6E-409C-BE32-E72D297353CC}">
              <c16:uniqueId val="{00000000-0008-48A4-85C9-4EB4CBCA6FAD}"/>
            </c:ext>
          </c:extLst>
        </c:ser>
        <c:dLbls>
          <c:showLegendKey val="0"/>
          <c:showVal val="0"/>
          <c:showCatName val="0"/>
          <c:showSerName val="0"/>
          <c:showPercent val="0"/>
          <c:showBubbleSize val="0"/>
        </c:dLbls>
        <c:marker val="1"/>
        <c:smooth val="0"/>
        <c:axId val="32039999"/>
        <c:axId val="1696573983"/>
      </c:lineChart>
      <c:catAx>
        <c:axId val="320399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573983"/>
        <c:crosses val="autoZero"/>
        <c:auto val="1"/>
        <c:lblAlgn val="ctr"/>
        <c:lblOffset val="100"/>
        <c:noMultiLvlLbl val="0"/>
      </c:catAx>
      <c:valAx>
        <c:axId val="1696573983"/>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3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'Modelo Financiero'!$A$166</c:f>
              <c:strCache>
                <c:ptCount val="1"/>
                <c:pt idx="0">
                  <c:v>Capital de trabajo Neto = Activo CTE - Pasivo CTE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'Modelo Financiero'!$B$166:$F$166</c:f>
              <c:numCache>
                <c:formatCode>_-* #,##0_-;\-* #,##0_-;_-* "-"??_-;_-@_-</c:formatCode>
                <c:ptCount val="5"/>
                <c:pt idx="0">
                  <c:v>67209369.894215673</c:v>
                </c:pt>
                <c:pt idx="1">
                  <c:v>87382056.554690868</c:v>
                </c:pt>
                <c:pt idx="2">
                  <c:v>115732733.7265203</c:v>
                </c:pt>
                <c:pt idx="3">
                  <c:v>153746534.66834649</c:v>
                </c:pt>
                <c:pt idx="4">
                  <c:v>203131720.92107061</c:v>
                </c:pt>
              </c:numCache>
            </c:numRef>
          </c:val>
          <c:smooth val="0"/>
          <c:extLst>
            <c:ext xmlns:c16="http://schemas.microsoft.com/office/drawing/2014/chart" uri="{C3380CC4-5D6E-409C-BE32-E72D297353CC}">
              <c16:uniqueId val="{00000000-5C26-418A-8E3F-FDDFABBFE402}"/>
            </c:ext>
          </c:extLst>
        </c:ser>
        <c:dLbls>
          <c:showLegendKey val="0"/>
          <c:showVal val="0"/>
          <c:showCatName val="0"/>
          <c:showSerName val="0"/>
          <c:showPercent val="0"/>
          <c:showBubbleSize val="0"/>
        </c:dLbls>
        <c:marker val="1"/>
        <c:smooth val="0"/>
        <c:axId val="17930431"/>
        <c:axId val="33948527"/>
      </c:lineChart>
      <c:catAx>
        <c:axId val="179304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48527"/>
        <c:crosses val="autoZero"/>
        <c:auto val="1"/>
        <c:lblAlgn val="ctr"/>
        <c:lblOffset val="100"/>
        <c:noMultiLvlLbl val="0"/>
      </c:catAx>
      <c:valAx>
        <c:axId val="3394852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'Modelo Financiero'!$A$168</c:f>
              <c:strCache>
                <c:ptCount val="1"/>
                <c:pt idx="0">
                  <c:v>Endeudamiento = Total Pasivos / Total Activos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'Modelo Financiero'!$B$168:$F$168</c:f>
              <c:numCache>
                <c:formatCode>0.0%</c:formatCode>
                <c:ptCount val="5"/>
                <c:pt idx="0">
                  <c:v>0.37830797219759987</c:v>
                </c:pt>
                <c:pt idx="1">
                  <c:v>0.32282815147782218</c:v>
                </c:pt>
                <c:pt idx="2">
                  <c:v>0.24733652160663594</c:v>
                </c:pt>
                <c:pt idx="3">
                  <c:v>0.1876633094861003</c:v>
                </c:pt>
                <c:pt idx="4">
                  <c:v>0.14267276416629479</c:v>
                </c:pt>
              </c:numCache>
            </c:numRef>
          </c:val>
          <c:smooth val="0"/>
          <c:extLst>
            <c:ext xmlns:c16="http://schemas.microsoft.com/office/drawing/2014/chart" uri="{C3380CC4-5D6E-409C-BE32-E72D297353CC}">
              <c16:uniqueId val="{00000000-AB03-4A9D-9B07-5FCC44E89911}"/>
            </c:ext>
          </c:extLst>
        </c:ser>
        <c:dLbls>
          <c:showLegendKey val="0"/>
          <c:showVal val="0"/>
          <c:showCatName val="0"/>
          <c:showSerName val="0"/>
          <c:showPercent val="0"/>
          <c:showBubbleSize val="0"/>
        </c:dLbls>
        <c:marker val="1"/>
        <c:smooth val="0"/>
        <c:axId val="32037599"/>
        <c:axId val="33965391"/>
      </c:lineChart>
      <c:catAx>
        <c:axId val="320375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65391"/>
        <c:crosses val="autoZero"/>
        <c:auto val="1"/>
        <c:lblAlgn val="ctr"/>
        <c:lblOffset val="100"/>
        <c:noMultiLvlLbl val="0"/>
      </c:catAx>
      <c:valAx>
        <c:axId val="3396539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3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Liquidez</a:t>
            </a:r>
            <a:r>
              <a:rPr lang="en-US" b="1" baseline="0"/>
              <a:t> y Endeudamiento</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'Modelo Financiero'!$A$165</c:f>
              <c:strCache>
                <c:ptCount val="1"/>
                <c:pt idx="0">
                  <c:v>Liquidez = Activo Corriente / Pasivo Corriente</c:v>
                </c:pt>
              </c:strCache>
            </c:strRef>
          </c:tx>
          <c:spPr>
            <a:solidFill>
              <a:schemeClr val="accent1"/>
            </a:solidFill>
            <a:ln>
              <a:noFill/>
            </a:ln>
            <a:effectLst/>
          </c:spPr>
          <c:invertIfNegative val="0"/>
          <c:val>
            <c:numRef>
              <c:f>'Modelo Financiero'!$B$165:$F$165</c:f>
              <c:numCache>
                <c:formatCode>_-* #,##0.0_-;\-* #,##0.0_-;_-* "-"??_-;_-@_-</c:formatCode>
                <c:ptCount val="5"/>
                <c:pt idx="0">
                  <c:v>21.722210642706553</c:v>
                </c:pt>
                <c:pt idx="1">
                  <c:v>8.3384729541363569</c:v>
                </c:pt>
                <c:pt idx="2">
                  <c:v>7.8348933869480293</c:v>
                </c:pt>
                <c:pt idx="3">
                  <c:v>7.7406960311047595</c:v>
                </c:pt>
                <c:pt idx="4">
                  <c:v>7.848004007290573</c:v>
                </c:pt>
              </c:numCache>
            </c:numRef>
          </c:val>
          <c:extLst>
            <c:ext xmlns:c16="http://schemas.microsoft.com/office/drawing/2014/chart" uri="{C3380CC4-5D6E-409C-BE32-E72D297353CC}">
              <c16:uniqueId val="{00000000-7D52-462A-8132-B8EA5D24BA32}"/>
            </c:ext>
          </c:extLst>
        </c:ser>
        <c:dLbls>
          <c:showLegendKey val="0"/>
          <c:showVal val="0"/>
          <c:showCatName val="0"/>
          <c:showSerName val="0"/>
          <c:showPercent val="0"/>
          <c:showBubbleSize val="0"/>
        </c:dLbls>
        <c:gapWidth val="219"/>
        <c:overlap val="-27"/>
        <c:axId val="19432543"/>
        <c:axId val="33960927"/>
      </c:barChart>
      <c:lineChart>
        <c:grouping val="standard"/>
        <c:varyColors val="0"/>
        <c:ser>
          <c:idx val="1"/>
          <c:order val="1"/>
          <c:tx>
            <c:strRef>
              <c:f>'Modelo Financiero'!$A$168</c:f>
              <c:strCache>
                <c:ptCount val="1"/>
                <c:pt idx="0">
                  <c:v>Endeudamiento = Total Pasivos / Total Activos</c:v>
                </c:pt>
              </c:strCache>
            </c:strRef>
          </c:tx>
          <c:spPr>
            <a:ln w="28575" cap="rnd">
              <a:solidFill>
                <a:schemeClr val="accent2"/>
              </a:solidFill>
              <a:round/>
            </a:ln>
            <a:effectLst/>
          </c:spPr>
          <c:marker>
            <c:symbol val="none"/>
          </c:marker>
          <c:val>
            <c:numRef>
              <c:f>'Modelo Financiero'!$B$168:$F$168</c:f>
              <c:numCache>
                <c:formatCode>0.0%</c:formatCode>
                <c:ptCount val="5"/>
                <c:pt idx="0">
                  <c:v>0.37830797219759987</c:v>
                </c:pt>
                <c:pt idx="1">
                  <c:v>0.32282815147782218</c:v>
                </c:pt>
                <c:pt idx="2">
                  <c:v>0.24733652160663594</c:v>
                </c:pt>
                <c:pt idx="3">
                  <c:v>0.1876633094861003</c:v>
                </c:pt>
                <c:pt idx="4">
                  <c:v>0.14267276416629479</c:v>
                </c:pt>
              </c:numCache>
            </c:numRef>
          </c:val>
          <c:smooth val="0"/>
          <c:extLst>
            <c:ext xmlns:c16="http://schemas.microsoft.com/office/drawing/2014/chart" uri="{C3380CC4-5D6E-409C-BE32-E72D297353CC}">
              <c16:uniqueId val="{00000001-7D52-462A-8132-B8EA5D24BA32}"/>
            </c:ext>
          </c:extLst>
        </c:ser>
        <c:dLbls>
          <c:showLegendKey val="0"/>
          <c:showVal val="0"/>
          <c:showCatName val="0"/>
          <c:showSerName val="0"/>
          <c:showPercent val="0"/>
          <c:showBubbleSize val="0"/>
        </c:dLbls>
        <c:marker val="1"/>
        <c:smooth val="0"/>
        <c:axId val="1984765983"/>
        <c:axId val="33967375"/>
      </c:lineChart>
      <c:catAx>
        <c:axId val="194325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60927"/>
        <c:crosses val="autoZero"/>
        <c:auto val="1"/>
        <c:lblAlgn val="ctr"/>
        <c:lblOffset val="100"/>
        <c:noMultiLvlLbl val="0"/>
      </c:catAx>
      <c:valAx>
        <c:axId val="33960927"/>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2543"/>
        <c:crosses val="autoZero"/>
        <c:crossBetween val="between"/>
      </c:valAx>
      <c:valAx>
        <c:axId val="33967375"/>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765983"/>
        <c:crosses val="max"/>
        <c:crossBetween val="between"/>
      </c:valAx>
      <c:catAx>
        <c:axId val="1984765983"/>
        <c:scaling>
          <c:orientation val="minMax"/>
        </c:scaling>
        <c:delete val="1"/>
        <c:axPos val="b"/>
        <c:majorTickMark val="out"/>
        <c:minorTickMark val="none"/>
        <c:tickLblPos val="nextTo"/>
        <c:crossAx val="3396737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137584</xdr:colOff>
      <xdr:row>21</xdr:row>
      <xdr:rowOff>157693</xdr:rowOff>
    </xdr:from>
    <xdr:to>
      <xdr:col>7</xdr:col>
      <xdr:colOff>1121834</xdr:colOff>
      <xdr:row>37</xdr:row>
      <xdr:rowOff>138643</xdr:rowOff>
    </xdr:to>
    <xdr:graphicFrame macro="">
      <xdr:nvGraphicFramePr>
        <xdr:cNvPr id="3" name="Gráfico 2">
          <a:extLst>
            <a:ext uri="{FF2B5EF4-FFF2-40B4-BE49-F238E27FC236}">
              <a16:creationId xmlns:a16="http://schemas.microsoft.com/office/drawing/2014/main" id="{EA4CE56C-A104-A609-63DC-3B6FA38943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8661</xdr:colOff>
      <xdr:row>47</xdr:row>
      <xdr:rowOff>187201</xdr:rowOff>
    </xdr:from>
    <xdr:to>
      <xdr:col>1</xdr:col>
      <xdr:colOff>17318</xdr:colOff>
      <xdr:row>50</xdr:row>
      <xdr:rowOff>103909</xdr:rowOff>
    </xdr:to>
    <xdr:cxnSp macro="">
      <xdr:nvCxnSpPr>
        <xdr:cNvPr id="2" name="Conector recto de flecha 1">
          <a:extLst>
            <a:ext uri="{FF2B5EF4-FFF2-40B4-BE49-F238E27FC236}">
              <a16:creationId xmlns:a16="http://schemas.microsoft.com/office/drawing/2014/main" id="{4C5F7B6B-BB28-4706-8898-A3C8ADF0C22B}"/>
            </a:ext>
          </a:extLst>
        </xdr:cNvPr>
        <xdr:cNvCxnSpPr/>
      </xdr:nvCxnSpPr>
      <xdr:spPr>
        <a:xfrm>
          <a:off x="3047136" y="10093201"/>
          <a:ext cx="8657" cy="488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8659</xdr:colOff>
      <xdr:row>47</xdr:row>
      <xdr:rowOff>163286</xdr:rowOff>
    </xdr:from>
    <xdr:to>
      <xdr:col>2</xdr:col>
      <xdr:colOff>1437821</xdr:colOff>
      <xdr:row>48</xdr:row>
      <xdr:rowOff>0</xdr:rowOff>
    </xdr:to>
    <xdr:cxnSp macro="">
      <xdr:nvCxnSpPr>
        <xdr:cNvPr id="3" name="Conector recto 2">
          <a:extLst>
            <a:ext uri="{FF2B5EF4-FFF2-40B4-BE49-F238E27FC236}">
              <a16:creationId xmlns:a16="http://schemas.microsoft.com/office/drawing/2014/main" id="{530DF876-7CDD-4826-A086-46DD861380D8}"/>
            </a:ext>
          </a:extLst>
        </xdr:cNvPr>
        <xdr:cNvCxnSpPr/>
      </xdr:nvCxnSpPr>
      <xdr:spPr>
        <a:xfrm flipV="1">
          <a:off x="3047134" y="10069286"/>
          <a:ext cx="2448337" cy="2721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975178</xdr:colOff>
      <xdr:row>45</xdr:row>
      <xdr:rowOff>172357</xdr:rowOff>
    </xdr:from>
    <xdr:to>
      <xdr:col>1</xdr:col>
      <xdr:colOff>979714</xdr:colOff>
      <xdr:row>47</xdr:row>
      <xdr:rowOff>167821</xdr:rowOff>
    </xdr:to>
    <xdr:cxnSp macro="">
      <xdr:nvCxnSpPr>
        <xdr:cNvPr id="4" name="Conector recto de flecha 3">
          <a:extLst>
            <a:ext uri="{FF2B5EF4-FFF2-40B4-BE49-F238E27FC236}">
              <a16:creationId xmlns:a16="http://schemas.microsoft.com/office/drawing/2014/main" id="{51B43E3E-5DC4-4F11-A51A-626CAE9372AA}"/>
            </a:ext>
          </a:extLst>
        </xdr:cNvPr>
        <xdr:cNvCxnSpPr/>
      </xdr:nvCxnSpPr>
      <xdr:spPr>
        <a:xfrm flipV="1">
          <a:off x="4013653" y="9697357"/>
          <a:ext cx="4536" cy="3764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693964</xdr:colOff>
      <xdr:row>45</xdr:row>
      <xdr:rowOff>172356</xdr:rowOff>
    </xdr:from>
    <xdr:to>
      <xdr:col>2</xdr:col>
      <xdr:colOff>698500</xdr:colOff>
      <xdr:row>47</xdr:row>
      <xdr:rowOff>167820</xdr:rowOff>
    </xdr:to>
    <xdr:cxnSp macro="">
      <xdr:nvCxnSpPr>
        <xdr:cNvPr id="5" name="Conector recto de flecha 4">
          <a:extLst>
            <a:ext uri="{FF2B5EF4-FFF2-40B4-BE49-F238E27FC236}">
              <a16:creationId xmlns:a16="http://schemas.microsoft.com/office/drawing/2014/main" id="{CD78BF5C-F9A9-445B-B21C-AE2D3B9C0756}"/>
            </a:ext>
          </a:extLst>
        </xdr:cNvPr>
        <xdr:cNvCxnSpPr/>
      </xdr:nvCxnSpPr>
      <xdr:spPr>
        <a:xfrm flipV="1">
          <a:off x="4751614" y="9697356"/>
          <a:ext cx="4536" cy="3764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1408793</xdr:colOff>
      <xdr:row>45</xdr:row>
      <xdr:rowOff>170543</xdr:rowOff>
    </xdr:from>
    <xdr:to>
      <xdr:col>2</xdr:col>
      <xdr:colOff>1413329</xdr:colOff>
      <xdr:row>47</xdr:row>
      <xdr:rowOff>166007</xdr:rowOff>
    </xdr:to>
    <xdr:cxnSp macro="">
      <xdr:nvCxnSpPr>
        <xdr:cNvPr id="6" name="Conector recto de flecha 5">
          <a:extLst>
            <a:ext uri="{FF2B5EF4-FFF2-40B4-BE49-F238E27FC236}">
              <a16:creationId xmlns:a16="http://schemas.microsoft.com/office/drawing/2014/main" id="{CFCDB22D-635A-49EE-8B05-1ABA136C7CDB}"/>
            </a:ext>
          </a:extLst>
        </xdr:cNvPr>
        <xdr:cNvCxnSpPr/>
      </xdr:nvCxnSpPr>
      <xdr:spPr>
        <a:xfrm flipV="1">
          <a:off x="5466443" y="9695543"/>
          <a:ext cx="4536" cy="3764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2136321</xdr:colOff>
      <xdr:row>222</xdr:row>
      <xdr:rowOff>22678</xdr:rowOff>
    </xdr:from>
    <xdr:to>
      <xdr:col>1</xdr:col>
      <xdr:colOff>0</xdr:colOff>
      <xdr:row>224</xdr:row>
      <xdr:rowOff>167822</xdr:rowOff>
    </xdr:to>
    <xdr:cxnSp macro="">
      <xdr:nvCxnSpPr>
        <xdr:cNvPr id="7" name="Conector recto de flecha 6">
          <a:extLst>
            <a:ext uri="{FF2B5EF4-FFF2-40B4-BE49-F238E27FC236}">
              <a16:creationId xmlns:a16="http://schemas.microsoft.com/office/drawing/2014/main" id="{00D75B51-AB59-4B5E-B80D-19DD4089459D}"/>
            </a:ext>
          </a:extLst>
        </xdr:cNvPr>
        <xdr:cNvCxnSpPr/>
      </xdr:nvCxnSpPr>
      <xdr:spPr>
        <a:xfrm flipH="1">
          <a:off x="2136321" y="48409678"/>
          <a:ext cx="902154" cy="52614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68035</xdr:colOff>
      <xdr:row>221</xdr:row>
      <xdr:rowOff>181841</xdr:rowOff>
    </xdr:from>
    <xdr:to>
      <xdr:col>6</xdr:col>
      <xdr:colOff>891886</xdr:colOff>
      <xdr:row>222</xdr:row>
      <xdr:rowOff>18145</xdr:rowOff>
    </xdr:to>
    <xdr:cxnSp macro="">
      <xdr:nvCxnSpPr>
        <xdr:cNvPr id="8" name="Conector recto 7">
          <a:extLst>
            <a:ext uri="{FF2B5EF4-FFF2-40B4-BE49-F238E27FC236}">
              <a16:creationId xmlns:a16="http://schemas.microsoft.com/office/drawing/2014/main" id="{46B75735-283A-42A5-B49B-39F384AAC4A8}"/>
            </a:ext>
          </a:extLst>
        </xdr:cNvPr>
        <xdr:cNvCxnSpPr/>
      </xdr:nvCxnSpPr>
      <xdr:spPr>
        <a:xfrm flipV="1">
          <a:off x="3106510" y="48378341"/>
          <a:ext cx="6729351" cy="268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594178</xdr:colOff>
      <xdr:row>220</xdr:row>
      <xdr:rowOff>25152</xdr:rowOff>
    </xdr:from>
    <xdr:to>
      <xdr:col>1</xdr:col>
      <xdr:colOff>598714</xdr:colOff>
      <xdr:row>222</xdr:row>
      <xdr:rowOff>20616</xdr:rowOff>
    </xdr:to>
    <xdr:cxnSp macro="">
      <xdr:nvCxnSpPr>
        <xdr:cNvPr id="9" name="Conector recto de flecha 8">
          <a:extLst>
            <a:ext uri="{FF2B5EF4-FFF2-40B4-BE49-F238E27FC236}">
              <a16:creationId xmlns:a16="http://schemas.microsoft.com/office/drawing/2014/main" id="{66348E4F-CF83-4005-BFC7-6C7465B8F54B}"/>
            </a:ext>
          </a:extLst>
        </xdr:cNvPr>
        <xdr:cNvCxnSpPr/>
      </xdr:nvCxnSpPr>
      <xdr:spPr>
        <a:xfrm flipV="1">
          <a:off x="3632653" y="48031152"/>
          <a:ext cx="4536" cy="3764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1097065</xdr:colOff>
      <xdr:row>219</xdr:row>
      <xdr:rowOff>187862</xdr:rowOff>
    </xdr:from>
    <xdr:to>
      <xdr:col>2</xdr:col>
      <xdr:colOff>1101601</xdr:colOff>
      <xdr:row>221</xdr:row>
      <xdr:rowOff>183326</xdr:rowOff>
    </xdr:to>
    <xdr:cxnSp macro="">
      <xdr:nvCxnSpPr>
        <xdr:cNvPr id="10" name="Conector recto de flecha 9">
          <a:extLst>
            <a:ext uri="{FF2B5EF4-FFF2-40B4-BE49-F238E27FC236}">
              <a16:creationId xmlns:a16="http://schemas.microsoft.com/office/drawing/2014/main" id="{045529DA-884B-4C7C-92DC-03E929D782DC}"/>
            </a:ext>
          </a:extLst>
        </xdr:cNvPr>
        <xdr:cNvCxnSpPr/>
      </xdr:nvCxnSpPr>
      <xdr:spPr>
        <a:xfrm flipV="1">
          <a:off x="5154715" y="48003362"/>
          <a:ext cx="4536" cy="3764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582084</xdr:colOff>
      <xdr:row>219</xdr:row>
      <xdr:rowOff>171258</xdr:rowOff>
    </xdr:from>
    <xdr:to>
      <xdr:col>4</xdr:col>
      <xdr:colOff>586620</xdr:colOff>
      <xdr:row>221</xdr:row>
      <xdr:rowOff>166722</xdr:rowOff>
    </xdr:to>
    <xdr:cxnSp macro="">
      <xdr:nvCxnSpPr>
        <xdr:cNvPr id="11" name="Conector recto de flecha 10">
          <a:extLst>
            <a:ext uri="{FF2B5EF4-FFF2-40B4-BE49-F238E27FC236}">
              <a16:creationId xmlns:a16="http://schemas.microsoft.com/office/drawing/2014/main" id="{E69C2F42-11BE-49EA-9B67-CD5F33E8D9C3}"/>
            </a:ext>
          </a:extLst>
        </xdr:cNvPr>
        <xdr:cNvCxnSpPr/>
      </xdr:nvCxnSpPr>
      <xdr:spPr>
        <a:xfrm flipV="1">
          <a:off x="7078134" y="47986758"/>
          <a:ext cx="4536" cy="3764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577272</xdr:colOff>
      <xdr:row>272</xdr:row>
      <xdr:rowOff>40408</xdr:rowOff>
    </xdr:from>
    <xdr:to>
      <xdr:col>7</xdr:col>
      <xdr:colOff>132772</xdr:colOff>
      <xdr:row>275</xdr:row>
      <xdr:rowOff>115454</xdr:rowOff>
    </xdr:to>
    <xdr:sp macro="" textlink="">
      <xdr:nvSpPr>
        <xdr:cNvPr id="12" name="Cara sonriente 11">
          <a:extLst>
            <a:ext uri="{FF2B5EF4-FFF2-40B4-BE49-F238E27FC236}">
              <a16:creationId xmlns:a16="http://schemas.microsoft.com/office/drawing/2014/main" id="{330404CE-925F-4783-94FE-94A6751C933D}"/>
            </a:ext>
          </a:extLst>
        </xdr:cNvPr>
        <xdr:cNvSpPr/>
      </xdr:nvSpPr>
      <xdr:spPr>
        <a:xfrm>
          <a:off x="10340397" y="51248107"/>
          <a:ext cx="789420" cy="648711"/>
        </a:xfrm>
        <a:prstGeom prst="smileyFace">
          <a:avLst>
            <a:gd name="adj" fmla="val 4653"/>
          </a:avLst>
        </a:prstGeom>
        <a:solidFill>
          <a:schemeClr val="accent5">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3</xdr:col>
      <xdr:colOff>504124</xdr:colOff>
      <xdr:row>219</xdr:row>
      <xdr:rowOff>186211</xdr:rowOff>
    </xdr:from>
    <xdr:to>
      <xdr:col>3</xdr:col>
      <xdr:colOff>508660</xdr:colOff>
      <xdr:row>221</xdr:row>
      <xdr:rowOff>181675</xdr:rowOff>
    </xdr:to>
    <xdr:cxnSp macro="">
      <xdr:nvCxnSpPr>
        <xdr:cNvPr id="13" name="Conector recto de flecha 12">
          <a:extLst>
            <a:ext uri="{FF2B5EF4-FFF2-40B4-BE49-F238E27FC236}">
              <a16:creationId xmlns:a16="http://schemas.microsoft.com/office/drawing/2014/main" id="{49F7A6D4-4DC5-4F29-A588-2552A0B27445}"/>
            </a:ext>
          </a:extLst>
        </xdr:cNvPr>
        <xdr:cNvCxnSpPr/>
      </xdr:nvCxnSpPr>
      <xdr:spPr>
        <a:xfrm flipV="1">
          <a:off x="6057199" y="48001711"/>
          <a:ext cx="4536" cy="3764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1080820</xdr:colOff>
      <xdr:row>220</xdr:row>
      <xdr:rowOff>906</xdr:rowOff>
    </xdr:from>
    <xdr:to>
      <xdr:col>5</xdr:col>
      <xdr:colOff>1085356</xdr:colOff>
      <xdr:row>221</xdr:row>
      <xdr:rowOff>186870</xdr:rowOff>
    </xdr:to>
    <xdr:cxnSp macro="">
      <xdr:nvCxnSpPr>
        <xdr:cNvPr id="14" name="Conector recto de flecha 13">
          <a:extLst>
            <a:ext uri="{FF2B5EF4-FFF2-40B4-BE49-F238E27FC236}">
              <a16:creationId xmlns:a16="http://schemas.microsoft.com/office/drawing/2014/main" id="{3E555FDE-1127-4FBC-94EA-1ECD9FD1E700}"/>
            </a:ext>
          </a:extLst>
        </xdr:cNvPr>
        <xdr:cNvCxnSpPr/>
      </xdr:nvCxnSpPr>
      <xdr:spPr>
        <a:xfrm flipV="1">
          <a:off x="8548420" y="48006906"/>
          <a:ext cx="4536" cy="3764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891886</xdr:colOff>
      <xdr:row>220</xdr:row>
      <xdr:rowOff>8660</xdr:rowOff>
    </xdr:from>
    <xdr:to>
      <xdr:col>6</xdr:col>
      <xdr:colOff>896422</xdr:colOff>
      <xdr:row>222</xdr:row>
      <xdr:rowOff>4124</xdr:rowOff>
    </xdr:to>
    <xdr:cxnSp macro="">
      <xdr:nvCxnSpPr>
        <xdr:cNvPr id="15" name="Conector recto de flecha 14">
          <a:extLst>
            <a:ext uri="{FF2B5EF4-FFF2-40B4-BE49-F238E27FC236}">
              <a16:creationId xmlns:a16="http://schemas.microsoft.com/office/drawing/2014/main" id="{D93F156D-B085-4977-B107-D781B62E13D3}"/>
            </a:ext>
          </a:extLst>
        </xdr:cNvPr>
        <xdr:cNvCxnSpPr/>
      </xdr:nvCxnSpPr>
      <xdr:spPr>
        <a:xfrm flipV="1">
          <a:off x="9835861" y="48014660"/>
          <a:ext cx="4536" cy="3764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922734</xdr:colOff>
      <xdr:row>133</xdr:row>
      <xdr:rowOff>104775</xdr:rowOff>
    </xdr:from>
    <xdr:to>
      <xdr:col>16</xdr:col>
      <xdr:colOff>315515</xdr:colOff>
      <xdr:row>148</xdr:row>
      <xdr:rowOff>133350</xdr:rowOff>
    </xdr:to>
    <xdr:graphicFrame macro="">
      <xdr:nvGraphicFramePr>
        <xdr:cNvPr id="16" name="Gráfico 15">
          <a:extLst>
            <a:ext uri="{FF2B5EF4-FFF2-40B4-BE49-F238E27FC236}">
              <a16:creationId xmlns:a16="http://schemas.microsoft.com/office/drawing/2014/main" id="{814D779D-93B0-398F-19F5-F9DB6151C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208359</xdr:colOff>
      <xdr:row>144</xdr:row>
      <xdr:rowOff>104775</xdr:rowOff>
    </xdr:from>
    <xdr:to>
      <xdr:col>22</xdr:col>
      <xdr:colOff>636984</xdr:colOff>
      <xdr:row>159</xdr:row>
      <xdr:rowOff>157163</xdr:rowOff>
    </xdr:to>
    <xdr:graphicFrame macro="">
      <xdr:nvGraphicFramePr>
        <xdr:cNvPr id="18" name="Gráfico 17">
          <a:extLst>
            <a:ext uri="{FF2B5EF4-FFF2-40B4-BE49-F238E27FC236}">
              <a16:creationId xmlns:a16="http://schemas.microsoft.com/office/drawing/2014/main" id="{4129D939-E3F6-8AE6-5F8D-23A8FE5D6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934640</xdr:colOff>
      <xdr:row>157</xdr:row>
      <xdr:rowOff>69056</xdr:rowOff>
    </xdr:from>
    <xdr:to>
      <xdr:col>13</xdr:col>
      <xdr:colOff>244077</xdr:colOff>
      <xdr:row>172</xdr:row>
      <xdr:rowOff>97631</xdr:rowOff>
    </xdr:to>
    <xdr:graphicFrame macro="">
      <xdr:nvGraphicFramePr>
        <xdr:cNvPr id="17" name="Gráfico 16">
          <a:extLst>
            <a:ext uri="{FF2B5EF4-FFF2-40B4-BE49-F238E27FC236}">
              <a16:creationId xmlns:a16="http://schemas.microsoft.com/office/drawing/2014/main" id="{85243FB8-BB12-7FD2-7841-DEBC46D27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767952</xdr:colOff>
      <xdr:row>173</xdr:row>
      <xdr:rowOff>116682</xdr:rowOff>
    </xdr:from>
    <xdr:to>
      <xdr:col>15</xdr:col>
      <xdr:colOff>160734</xdr:colOff>
      <xdr:row>188</xdr:row>
      <xdr:rowOff>157163</xdr:rowOff>
    </xdr:to>
    <xdr:graphicFrame macro="">
      <xdr:nvGraphicFramePr>
        <xdr:cNvPr id="19" name="Gráfico 18">
          <a:extLst>
            <a:ext uri="{FF2B5EF4-FFF2-40B4-BE49-F238E27FC236}">
              <a16:creationId xmlns:a16="http://schemas.microsoft.com/office/drawing/2014/main" id="{36A88CC2-2CAE-AEDF-5524-0F92DEB62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434577</xdr:colOff>
      <xdr:row>157</xdr:row>
      <xdr:rowOff>92868</xdr:rowOff>
    </xdr:from>
    <xdr:to>
      <xdr:col>17</xdr:col>
      <xdr:colOff>863202</xdr:colOff>
      <xdr:row>172</xdr:row>
      <xdr:rowOff>121443</xdr:rowOff>
    </xdr:to>
    <xdr:graphicFrame macro="">
      <xdr:nvGraphicFramePr>
        <xdr:cNvPr id="20" name="Gráfico 19">
          <a:extLst>
            <a:ext uri="{FF2B5EF4-FFF2-40B4-BE49-F238E27FC236}">
              <a16:creationId xmlns:a16="http://schemas.microsoft.com/office/drawing/2014/main" id="{505FCF68-2E75-5B04-A817-0BD8EFC549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220265</xdr:colOff>
      <xdr:row>161</xdr:row>
      <xdr:rowOff>57150</xdr:rowOff>
    </xdr:from>
    <xdr:to>
      <xdr:col>22</xdr:col>
      <xdr:colOff>648890</xdr:colOff>
      <xdr:row>176</xdr:row>
      <xdr:rowOff>61913</xdr:rowOff>
    </xdr:to>
    <xdr:graphicFrame macro="">
      <xdr:nvGraphicFramePr>
        <xdr:cNvPr id="22" name="Gráfico 21">
          <a:extLst>
            <a:ext uri="{FF2B5EF4-FFF2-40B4-BE49-F238E27FC236}">
              <a16:creationId xmlns:a16="http://schemas.microsoft.com/office/drawing/2014/main" id="{AE46B897-69AB-8571-EC3F-9E31C3D1D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rsionesDePropietarios" displayName="InversionesDePropietarios" ref="B64:D69" totalsRowCount="1" headerRowDxfId="155">
  <tableColumns count="3">
    <tableColumn id="1" xr3:uid="{00000000-0010-0000-0000-000001000000}" name="INVERSIÓN DE LOS PROPIETARIOS (NOMBRE Y % DE PROPIEDAD)" totalsRowLabel="Total" dataDxfId="154" totalsRowDxfId="153"/>
    <tableColumn id="3" xr3:uid="{00000000-0010-0000-0000-000003000000}" name=" "/>
    <tableColumn id="2" xr3:uid="{00000000-0010-0000-0000-000002000000}" name="CANTIDAD" totalsRowFunction="sum" dataDxfId="152" totalsRowDxfId="151"/>
  </tableColumns>
  <tableStyleInfo name="Gastos iniciales" showFirstColumn="0" showLastColumn="1" showRowStripes="1" showColumnStripes="0"/>
  <extLst>
    <ext xmlns:x14="http://schemas.microsoft.com/office/spreadsheetml/2009/9/main" uri="{504A1905-F514-4f6f-8877-14C23A59335A}">
      <x14:table altTextSummary="Escriba el nombre de la inversión de los propietarios, así como el porcentaje de propiedad y el importe, en esa tabla."/>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PréstamosBancarios" displayName="PréstamosBancarios" ref="B71:D76" totalsRowCount="1" headerRowDxfId="110">
  <tableColumns count="3">
    <tableColumn id="1" xr3:uid="{00000000-0010-0000-0900-000001000000}" name="PRÉSTAMOS BANCARIOS" totalsRowLabel="Total" dataDxfId="109" totalsRowDxfId="108"/>
    <tableColumn id="3" xr3:uid="{00000000-0010-0000-0900-000003000000}" name=" "/>
    <tableColumn id="2" xr3:uid="{00000000-0010-0000-0900-000002000000}" name="CANTIDAD" totalsRowFunction="sum" dataDxfId="107" totalsRowDxfId="106"/>
  </tableColumns>
  <tableStyleInfo name="Gastos iniciales" showFirstColumn="0" showLastColumn="1" showRowStripes="1" showColumnStripes="0"/>
  <extLst>
    <ext xmlns:x14="http://schemas.microsoft.com/office/spreadsheetml/2009/9/main" uri="{504A1905-F514-4f6f-8877-14C23A59335A}">
      <x14:table altTextSummary="Escriba los préstamos bancarios y los importes en esta tabla."/>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A000000}" name="OtrosPréstamos" displayName="OtrosPréstamos" ref="B78:D81" totalsRowCount="1" headerRowDxfId="105">
  <tableColumns count="3">
    <tableColumn id="1" xr3:uid="{00000000-0010-0000-0A00-000001000000}" name="OTROS PRÉSTAMOS" totalsRowLabel="Total" dataDxfId="104" totalsRowDxfId="103"/>
    <tableColumn id="3" xr3:uid="{00000000-0010-0000-0A00-000003000000}" name=" "/>
    <tableColumn id="2" xr3:uid="{00000000-0010-0000-0A00-000002000000}" name="CANTIDAD" totalsRowFunction="sum" dataDxfId="102" totalsRowDxfId="101"/>
  </tableColumns>
  <tableStyleInfo name="Gastos iniciales" showFirstColumn="0" showLastColumn="1" showRowStripes="1" showColumnStripes="0"/>
  <extLst>
    <ext xmlns:x14="http://schemas.microsoft.com/office/spreadsheetml/2009/9/main" uri="{504A1905-F514-4f6f-8877-14C23A59335A}">
      <x14:table altTextSummary="Escriba otros préstamos y el importe en esa tabla."/>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FuentesDeCapital" displayName="FuentesDeCapital" ref="B86:D90" totalsRowCount="1" headerRowDxfId="100">
  <tableColumns count="3">
    <tableColumn id="1" xr3:uid="{00000000-0010-0000-0B00-000001000000}" name="FUENTE DE CAPITAL" totalsRowLabel="Total" dataDxfId="99" totalsRowDxfId="98"/>
    <tableColumn id="3" xr3:uid="{00000000-0010-0000-0B00-000003000000}" name=" "/>
    <tableColumn id="2" xr3:uid="{00000000-0010-0000-0B00-000002000000}" name="TOTALES" totalsRowFunction="sum" dataDxfId="97" totalsRowDxfId="96">
      <calculatedColumnFormula>OtrosPréstamos[[#Totals],[CANTIDAD]]</calculatedColumnFormula>
    </tableColumn>
  </tableColumns>
  <tableStyleInfo name="Gastos iniciales" showFirstColumn="0" showLastColumn="1" showRowStripes="1" showColumnStripes="0"/>
  <extLst>
    <ext xmlns:x14="http://schemas.microsoft.com/office/spreadsheetml/2009/9/main" uri="{504A1905-F514-4f6f-8877-14C23A59335A}">
      <x14:table altTextSummary="Los elementos de Fuente de capital y los totales se actualizan automáticamente en esa tabla."/>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C000000}" name="GastosIniciales" displayName="GastosIniciales" ref="B92:D102" totalsRowCount="1" headerRowDxfId="95">
  <tableColumns count="3">
    <tableColumn id="1" xr3:uid="{00000000-0010-0000-0C00-000001000000}" name="GASTOS INICIALES" totalsRowLabel="Total" dataDxfId="94" totalsRowDxfId="93"/>
    <tableColumn id="3" xr3:uid="{00000000-0010-0000-0C00-000003000000}" name=" "/>
    <tableColumn id="2" xr3:uid="{00000000-0010-0000-0C00-000002000000}" name="TOTALES" totalsRowFunction="sum" dataDxfId="92" totalsRowDxfId="91"/>
  </tableColumns>
  <tableStyleInfo name="Gastos iniciales" showFirstColumn="0" showLastColumn="0" showRowStripes="1" showColumnStripes="0"/>
  <extLst>
    <ext xmlns:x14="http://schemas.microsoft.com/office/spreadsheetml/2009/9/main" uri="{504A1905-F514-4f6f-8877-14C23A59335A}">
      <x14:table altTextSummary="Los elementos de Gastos iniciales y los totales se actualizan automáticamente en esa tabla."/>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D000000}" name="Propietarios" displayName="Propietarios" ref="B112:B115" totalsRowShown="0" headerRowDxfId="90" tableBorderDxfId="89">
  <autoFilter ref="B112:B115" xr:uid="{00000000-0009-0000-0100-00000F000000}">
    <filterColumn colId="0" hiddenButton="1"/>
  </autoFilter>
  <tableColumns count="1">
    <tableColumn id="1" xr3:uid="{00000000-0010-0000-0D00-000001000000}" name="PROPIETARIOS"/>
  </tableColumns>
  <tableStyleInfo name="Gastos iniciales" showFirstColumn="0" showLastColumn="0" showRowStripes="0" showColumnStripes="0"/>
  <extLst>
    <ext xmlns:x14="http://schemas.microsoft.com/office/spreadsheetml/2009/9/main" uri="{504A1905-F514-4f6f-8877-14C23A59335A}">
      <x14:table altTextSummary="Escriba el nombre del propietario en esa tabla."/>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Avalistas" displayName="Avalistas" ref="B117:B120" totalsRowShown="0" headerRowDxfId="88" tableBorderDxfId="87">
  <autoFilter ref="B117:B120" xr:uid="{00000000-0009-0000-0100-000012000000}">
    <filterColumn colId="0" hiddenButton="1"/>
  </autoFilter>
  <tableColumns count="1">
    <tableColumn id="1" xr3:uid="{00000000-0010-0000-0E00-000001000000}" name="AVALISTAS DE PRÉSTAMO (DISTINTOS DE LOS PROPIETARIOS)"/>
  </tableColumns>
  <tableStyleInfo name="Gastos iniciales" showFirstColumn="0" showLastColumn="0" showRowStripes="0" showColumnStripes="0"/>
  <extLst>
    <ext xmlns:x14="http://schemas.microsoft.com/office/spreadsheetml/2009/9/main" uri="{504A1905-F514-4f6f-8877-14C23A59335A}">
      <x14:table altTextSummary="Escriba los nombres de los avalistas de préstamo distintos de los propietarios en esta tabla."/>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A67B019-7D7F-4C15-A2C7-F91080E9CBB8}" name="Inmobiliaria13" displayName="Inmobiliaria13" ref="B3:E8" totalsRowCount="1" headerRowDxfId="86" dataDxfId="85" totalsRowDxfId="84">
  <tableColumns count="4">
    <tableColumn id="1" xr3:uid="{69E3BBDF-AB8E-4560-8DB4-DDA66C000884}" name="RECURSO HUMANO" totalsRowLabel="Total" dataDxfId="83" totalsRowDxfId="82"/>
    <tableColumn id="2" xr3:uid="{DB306B2E-6550-4097-BD95-AA9EE3A6AB11}" name="CANTIDAD" totalsRowFunction="sum" dataDxfId="81" totalsRowDxfId="80"/>
    <tableColumn id="3" xr3:uid="{E71A4636-F695-4275-A06F-4CDA7F0E3FB0}" name="HORAS" dataDxfId="79" totalsRowDxfId="78">
      <calculatedColumnFormula>8*45</calculatedColumnFormula>
    </tableColumn>
    <tableColumn id="4" xr3:uid="{63A50A02-A60C-4257-A904-E3F4B600DC6E}" name="COSTO" totalsRowFunction="sum" dataDxfId="77" totalsRowDxfId="76">
      <calculatedColumnFormula>360*20000</calculatedColumnFormula>
    </tableColumn>
  </tableColumns>
  <tableStyleInfo name="Gastos iniciales" showFirstColumn="0" showLastColumn="1" showRowStripes="1" showColumnStripes="0"/>
  <extLst>
    <ext xmlns:x14="http://schemas.microsoft.com/office/spreadsheetml/2009/9/main" uri="{504A1905-F514-4f6f-8877-14C23A59335A}">
      <x14:table altTextSummary="Escriba los elementos de Inmuebles y los importes en esta tabla."/>
    </ext>
  </extLst>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7B02FE0-6063-4062-8821-2E8FE178CD05}" name="Capital20" displayName="Capital20" ref="B10:E17" totalsRowShown="0" headerRowDxfId="75" dataDxfId="74" totalsRowDxfId="73">
  <tableColumns count="4">
    <tableColumn id="1" xr3:uid="{BC59B125-8F13-4AC0-B884-22819636E14C}" name="INVERSIÓN" dataDxfId="72" totalsRowDxfId="71"/>
    <tableColumn id="3" xr3:uid="{4265010D-DB4C-4544-99AE-FF1E9C474DAD}" name="CANTIDAD" dataDxfId="70"/>
    <tableColumn id="2" xr3:uid="{5BE48A3A-1F19-4365-B48E-90D4F0331BD7}" name="COSTO UNITARIO" dataDxfId="69" totalsRowDxfId="68"/>
    <tableColumn id="4" xr3:uid="{C0F824CD-FBDC-4B2F-B7D1-ECC20FAF332A}" name="TOTAL" dataDxfId="67" totalsRowDxfId="66"/>
  </tableColumns>
  <tableStyleInfo name="Gastos iniciales" showFirstColumn="0" showLastColumn="1" showRowStripes="1" showColumnStripes="0"/>
  <extLst>
    <ext xmlns:x14="http://schemas.microsoft.com/office/spreadsheetml/2009/9/main" uri="{504A1905-F514-4f6f-8877-14C23A59335A}">
      <x14:table altTextSummary="Escriba la lista de Equipo de capital y los importes en esta tabla."/>
    </ext>
  </extLst>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9B6C50E-D757-43DC-BFC6-70D1FD7B7816}" name="GastosAdministrativos21" displayName="GastosAdministrativos21" ref="B31:D38" totalsRowCount="1" headerRowDxfId="65" dataDxfId="64" totalsRowDxfId="63">
  <tableColumns count="3">
    <tableColumn id="1" xr3:uid="{DA686829-2CA3-4CA7-95D8-3DF8FE798B51}" name="GASTOS ADMINISTRATIVOS" totalsRowLabel="Total" dataDxfId="62" totalsRowDxfId="61"/>
    <tableColumn id="3" xr3:uid="{80DC9166-84E6-4871-B644-4D3D73264CC6}" name=" " dataDxfId="60" totalsRowDxfId="59"/>
    <tableColumn id="2" xr3:uid="{3C54C6B3-EA1B-4CB0-B07D-EAA6926B3CBF}" name="CANTIDAD" totalsRowFunction="sum" dataDxfId="58" totalsRowDxfId="57"/>
  </tableColumns>
  <tableStyleInfo name="Gastos iniciales" showFirstColumn="0" showLastColumn="1" showRowStripes="1" showColumnStripes="0"/>
  <extLst>
    <ext xmlns:x14="http://schemas.microsoft.com/office/spreadsheetml/2009/9/main" uri="{504A1905-F514-4f6f-8877-14C23A59335A}">
      <x14:table altTextSummary="Escriba los elementos de gastos administrativos y de ubicación, así como los importes, en esa tabla."/>
    </ext>
  </extLst>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4432479-C314-4F54-9EBB-BBAB3778FBD1}" name="Capital2012" displayName="Capital2012" ref="B19:E23" totalsRowShown="0" headerRowDxfId="56" totalsRowDxfId="55">
  <tableColumns count="4">
    <tableColumn id="1" xr3:uid="{C419B654-7472-43C0-A4E4-A0C680D4B96F}" name="GASTO CONECTIVIDAD" dataDxfId="54" totalsRowDxfId="53"/>
    <tableColumn id="3" xr3:uid="{2E4BF8B9-5F62-464F-BAD6-44686A2A20E0}" name="CANTIDAD" dataDxfId="52"/>
    <tableColumn id="2" xr3:uid="{ECED1470-6404-45DB-8CA3-F0F5A0941BFD}" name="COSTO UNITARIO" dataDxfId="51" totalsRowDxfId="50"/>
    <tableColumn id="4" xr3:uid="{C7DDA0A8-1AE9-46A8-91ED-D184101C158A}" name="TOTAL" dataDxfId="49" totalsRowDxfId="48"/>
  </tableColumns>
  <tableStyleInfo name="Gastos iniciales" showFirstColumn="0" showLastColumn="1" showRowStripes="1" showColumnStripes="0"/>
  <extLst>
    <ext xmlns:x14="http://schemas.microsoft.com/office/spreadsheetml/2009/9/main" uri="{504A1905-F514-4f6f-8877-14C23A59335A}">
      <x14:table altTextSummary="Escriba la lista de Equipo de capital y los importes en esta tabla."/>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Inmobiliaria" displayName="Inmobiliaria" ref="B5:D10" totalsRowCount="1" headerRowDxfId="150">
  <tableColumns count="3">
    <tableColumn id="1" xr3:uid="{00000000-0010-0000-0100-000001000000}" name="EDIFICIOS/INMUEBLES" totalsRowLabel="Total" dataDxfId="149" totalsRowDxfId="148"/>
    <tableColumn id="3" xr3:uid="{00000000-0010-0000-0100-000003000000}" name=" "/>
    <tableColumn id="2" xr3:uid="{00000000-0010-0000-0100-000002000000}" name="CANTIDAD" totalsRowFunction="sum" dataDxfId="147" totalsRowDxfId="146"/>
  </tableColumns>
  <tableStyleInfo name="Gastos iniciales" showFirstColumn="0" showLastColumn="1" showRowStripes="1" showColumnStripes="0"/>
  <extLst>
    <ext xmlns:x14="http://schemas.microsoft.com/office/spreadsheetml/2009/9/main" uri="{504A1905-F514-4f6f-8877-14C23A59335A}">
      <x14:table altTextSummary="Escriba los elementos de Inmuebles y los importes en esta tabla."/>
    </ext>
  </extLst>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900FB1E-EF9F-4847-A7CB-79E65DB1484A}" name="Capital201217" displayName="Capital201217" ref="B25:E29" totalsRowCount="1" headerRowDxfId="47" dataDxfId="46" totalsRowDxfId="45">
  <tableColumns count="4">
    <tableColumn id="1" xr3:uid="{EC26D781-ADA0-4E8D-AB31-20664F70F2B2}" name="INVERSIÓN EQUIPO DE COMPUTO" totalsRowLabel="Total" dataDxfId="44" totalsRowDxfId="43"/>
    <tableColumn id="3" xr3:uid="{A8728FA7-D909-4015-A331-C63563943F85}" name="CANTIDAD" dataDxfId="42"/>
    <tableColumn id="2" xr3:uid="{709D95C5-83C3-4B86-B53F-C12ED757E184}" name="COSTO UNITARIO" dataDxfId="41" totalsRowDxfId="40"/>
    <tableColumn id="4" xr3:uid="{E3A028F3-4AF7-4D75-BFED-3D991E265931}" name="TOTAL" totalsRowFunction="sum" dataDxfId="39" totalsRowDxfId="38">
      <calculatedColumnFormula>+Capital201217[[#This Row],[CANTIDAD]]*Capital201217[[#This Row],[COSTO UNITARIO]]</calculatedColumnFormula>
    </tableColumn>
  </tableColumns>
  <tableStyleInfo name="Gastos iniciales" showFirstColumn="0" showLastColumn="1" showRowStripes="1" showColumnStripes="0"/>
  <extLst>
    <ext xmlns:x14="http://schemas.microsoft.com/office/spreadsheetml/2009/9/main" uri="{504A1905-F514-4f6f-8877-14C23A59335A}">
      <x14:table altTextSummary="Escriba la lista de Equipo de capital y los importes en esta tabla."/>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A746331-D3A3-437B-B4BE-898388972AA9}" name="GastosAdministrativos2125" displayName="GastosAdministrativos2125" ref="B40:D47" totalsRowCount="1" headerRowDxfId="37" dataDxfId="36" totalsRowDxfId="35">
  <tableColumns count="3">
    <tableColumn id="1" xr3:uid="{FDB57AF3-B3B2-4D56-A98B-C5618D7F8C04}" name="COSTOS FIJOS" totalsRowLabel="Total" dataDxfId="34" totalsRowDxfId="33"/>
    <tableColumn id="3" xr3:uid="{94435259-6882-445B-9C4F-899D2DE11241}" name=" " dataDxfId="32"/>
    <tableColumn id="2" xr3:uid="{ABEE361B-C9C3-48C9-95F3-42FCF3F4F60A}" name="CANTIDAD" totalsRowFunction="sum" dataDxfId="31" totalsRowDxfId="30"/>
  </tableColumns>
  <tableStyleInfo name="Gastos iniciales" showFirstColumn="0" showLastColumn="1" showRowStripes="1" showColumnStripes="0"/>
  <extLst>
    <ext xmlns:x14="http://schemas.microsoft.com/office/spreadsheetml/2009/9/main" uri="{504A1905-F514-4f6f-8877-14C23A59335A}">
      <x14:table altTextSummary="Escriba los elementos de gastos administrativos y de ubicación, así como los importes, en esa tabla."/>
    </ext>
  </extLst>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10CE463-F4DE-421A-8C8C-F21AABE52C3F}" name="GastosAdministrativos212526" displayName="GastosAdministrativos212526" ref="B49:D56" totalsRowCount="1" headerRowDxfId="29" dataDxfId="28" totalsRowDxfId="27">
  <tableColumns count="3">
    <tableColumn id="1" xr3:uid="{560D7364-D5F0-4EFD-85CA-6031789EAD85}" name="GASTOS FIJOS" totalsRowLabel="Total" dataDxfId="26" totalsRowDxfId="25"/>
    <tableColumn id="3" xr3:uid="{129F50C6-0213-4D62-ADB0-F984A5949A78}" name=" " dataDxfId="24"/>
    <tableColumn id="2" xr3:uid="{404B506A-7F18-4BFE-B3CF-2D9A11FD05CF}" name="CANTIDAD" totalsRowFunction="sum" dataDxfId="23" totalsRowDxfId="22"/>
  </tableColumns>
  <tableStyleInfo name="Gastos iniciales" showFirstColumn="0" showLastColumn="1" showRowStripes="1" showColumnStripes="0"/>
  <extLst>
    <ext xmlns:x14="http://schemas.microsoft.com/office/spreadsheetml/2009/9/main" uri="{504A1905-F514-4f6f-8877-14C23A59335A}">
      <x14:table altTextSummary="Escriba los elementos de gastos administrativos y de ubicación, así como los importes, en esa tabla."/>
    </ext>
  </extLst>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E2EE274-78C7-40E8-9E19-232269E83F6D}" name="Tabla21" displayName="Tabla21" ref="D20:K36" headerRowCount="0" totalsRowShown="0">
  <tableColumns count="8">
    <tableColumn id="1" xr3:uid="{A2EC02BE-3C8C-44BA-8CAF-FD3ECC06D029}" name="Columna1"/>
    <tableColumn id="2" xr3:uid="{07D6850E-9623-4207-97DE-4C40C09957EF}" name="Columna2" dataDxfId="21"/>
    <tableColumn id="3" xr3:uid="{9CCEE556-1A42-4059-A194-1678E45328A0}" name="Columna3" dataDxfId="20"/>
    <tableColumn id="4" xr3:uid="{6109C949-150C-4FAA-B797-536022D76BF9}" name="Columna4" dataDxfId="19"/>
    <tableColumn id="5" xr3:uid="{CD1063EA-BB77-498A-9A7E-A206EB4D8FB6}" name="Columna5" dataDxfId="18"/>
    <tableColumn id="6" xr3:uid="{8D2699F7-59CA-452E-A977-8BA421BCDB14}" name="Columna6" dataDxfId="17"/>
    <tableColumn id="7" xr3:uid="{59A391FA-5292-4406-A763-933718153106}" name="Columna7" dataDxfId="16"/>
    <tableColumn id="8" xr3:uid="{A2BCAB09-BCBE-40A4-B102-F7D896CE1CD3}" name="Columna8" dataDxfId="15"/>
  </tableColumns>
  <tableStyleInfo name="TableStyleMedium18"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B409B56B-7261-4F4C-A52F-EF9A8B42DD07}" name="Tabla26" displayName="Tabla26" ref="T2:Z6" totalsRowShown="0">
  <autoFilter ref="T2:Z6" xr:uid="{B409B56B-7261-4F4C-A52F-EF9A8B42DD0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EC4204A-B2B9-417D-A709-BB526525C716}" name="Año"/>
    <tableColumn id="2" xr3:uid="{3CFCA66F-ED48-43CF-89D9-96C85120A3FB}" name="2024" dataDxfId="14"/>
    <tableColumn id="3" xr3:uid="{9ED63265-E87B-422F-B17F-575408BBFB2F}" name="2025" dataDxfId="13"/>
    <tableColumn id="4" xr3:uid="{BF00E0AD-6032-4962-AE9D-08902110C37A}" name="2026" dataDxfId="12"/>
    <tableColumn id="5" xr3:uid="{A1658395-5BAE-48D0-9261-485093C67D9A}" name="2027" dataDxfId="11"/>
    <tableColumn id="6" xr3:uid="{94FDFE6C-C5B6-4259-BB8A-039AC243D599}" name="2028" dataDxfId="10"/>
    <tableColumn id="7" xr3:uid="{A0819A12-88D8-43F9-9F04-8A054C115358}" name="2029" dataDxfId="9"/>
  </tableColumns>
  <tableStyleInfo name="TableStyleMedium18"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7F89C260-2F6C-43D9-924E-0DF9E4CBEC6A}" name="Tabla27" displayName="Tabla27" ref="AB3:AE8" headerRowCount="0" totalsRowShown="0">
  <tableColumns count="4">
    <tableColumn id="1" xr3:uid="{557C2D7B-DFEC-41F7-A2D9-B915523180CF}" name="Columna1"/>
    <tableColumn id="2" xr3:uid="{AA5FB760-56FF-44BC-9973-A0806249D785}" name="Columna2" dataDxfId="8"/>
    <tableColumn id="3" xr3:uid="{69B3CF7A-4157-43CC-B28C-2D8FDE3328AE}" name="Columna3"/>
    <tableColumn id="4" xr3:uid="{6DC5E65D-DB68-477A-921F-5F956E6730B2}" name="Columna4" dataDxfId="7"/>
  </tableColumns>
  <tableStyleInfo name="TableStyleMedium18"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3E97BE1-7DAB-4014-A8AE-832540CE946D}" name="Tabla29" displayName="Tabla29" ref="X17:Y20" totalsRowShown="0" headerRowDxfId="6">
  <autoFilter ref="X17:Y20" xr:uid="{03E97BE1-7DAB-4014-A8AE-832540CE946D}">
    <filterColumn colId="0" hiddenButton="1"/>
    <filterColumn colId="1" hiddenButton="1"/>
  </autoFilter>
  <tableColumns count="2">
    <tableColumn id="1" xr3:uid="{654A005D-F495-4B39-B62C-F0D8C1ABAD88}" name="Indicador"/>
    <tableColumn id="2" xr3:uid="{06C93A77-9D09-43CE-8AE4-41B73C23BCCB}" name="Valor"/>
  </tableColumns>
  <tableStyleInfo name="TableStyleMedium18"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4C87C366-EABA-41B1-A2F4-FB6038298CF1}" name="Tabla32" displayName="Tabla32" ref="AJ4:AN13" totalsRowShown="0">
  <autoFilter ref="AJ4:AN13" xr:uid="{4C87C366-EABA-41B1-A2F4-FB6038298CF1}">
    <filterColumn colId="0" hiddenButton="1"/>
    <filterColumn colId="1" hiddenButton="1"/>
    <filterColumn colId="2" hiddenButton="1"/>
    <filterColumn colId="3" hiddenButton="1"/>
    <filterColumn colId="4" hiddenButton="1"/>
  </autoFilter>
  <tableColumns count="5">
    <tableColumn id="1" xr3:uid="{25BDFBA9-963D-4A1B-9649-6C1ED3892E11}" name="Producción (ton/ha)"/>
    <tableColumn id="2" xr3:uid="{548FC9FC-0ED5-4255-8D21-419D1A92DB93}" name="Costo total" dataDxfId="1"/>
    <tableColumn id="3" xr3:uid="{FD6EF36D-ACDC-47F6-BF31-EB5CC116130E}" name="Producción (ton/ha)2"/>
    <tableColumn id="4" xr3:uid="{8812B948-926E-45B8-8F68-F189AF312691}" name="Costo total3" dataDxfId="0"/>
    <tableColumn id="5" xr3:uid="{55135C8F-78C4-4B77-9CEB-B744EA6B7572}" name="Variación" dataDxfId="5" dataCellStyle="Porcentaje"/>
  </tableColumns>
  <tableStyleInfo name="TableStyleMedium18"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E733B09A-0A01-47C1-B880-311DE8627A4A}" name="Tabla33" displayName="Tabla33" ref="AI5:AI13" headerRowCount="0" totalsRowShown="0">
  <tableColumns count="1">
    <tableColumn id="1" xr3:uid="{6D940B8B-9E45-4FC2-937B-40670EAE32E9}" name="Columna1"/>
  </tableColumns>
  <tableStyleInfo name="TableStyleMedium18"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8960FEF4-8B26-4624-874F-77737C2E6A27}" name="Tabla35" displayName="Tabla35" ref="AJ20:AN29" totalsRowShown="0">
  <autoFilter ref="AJ20:AN29" xr:uid="{8960FEF4-8B26-4624-874F-77737C2E6A27}">
    <filterColumn colId="0" hiddenButton="1"/>
    <filterColumn colId="1" hiddenButton="1"/>
    <filterColumn colId="2" hiddenButton="1"/>
    <filterColumn colId="3" hiddenButton="1"/>
    <filterColumn colId="4" hiddenButton="1"/>
  </autoFilter>
  <tableColumns count="5">
    <tableColumn id="1" xr3:uid="{C2404338-1BE9-47AD-B90F-1B8E8ABB0C2B}" name="Producción (ton/ha)"/>
    <tableColumn id="2" xr3:uid="{00D7265C-8DC9-4A14-AC6E-A5C78B837080}" name="Costo total" dataDxfId="3"/>
    <tableColumn id="3" xr3:uid="{FC590F56-4A7B-4C88-A37D-C5776AA93493}" name="Producción (ton/ha)2"/>
    <tableColumn id="4" xr3:uid="{EBF7441F-9E25-47F0-B944-3EB50CDFC00D}" name="Costo total3" dataDxfId="2"/>
    <tableColumn id="5" xr3:uid="{FDBCC889-6745-4CB8-B05A-B1D7B561E20F}" name="Variación" dataDxfId="4"/>
  </tableColumns>
  <tableStyleInfo name="TableStyleMedium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Mejoras" displayName="Mejoras" ref="B12:D17" totalsRowCount="1" headerRowDxfId="145">
  <tableColumns count="3">
    <tableColumn id="1" xr3:uid="{00000000-0010-0000-0200-000001000000}" name="MEJORAS EN ALQUILERES" totalsRowLabel="Total" dataDxfId="144" totalsRowDxfId="143"/>
    <tableColumn id="3" xr3:uid="{00000000-0010-0000-0200-000003000000}" name=" "/>
    <tableColumn id="2" xr3:uid="{00000000-0010-0000-0200-000002000000}" name="CANTIDAD" totalsRowFunction="sum" dataDxfId="142" totalsRowDxfId="141"/>
  </tableColumns>
  <tableStyleInfo name="Gastos iniciales" showFirstColumn="0" showLastColumn="1" showRowStripes="1" showColumnStripes="0"/>
  <extLst>
    <ext xmlns:x14="http://schemas.microsoft.com/office/spreadsheetml/2009/9/main" uri="{504A1905-F514-4f6f-8877-14C23A59335A}">
      <x14:table altTextSummary="Escriba las mejoras en alquileres y los importes en esta tabla."/>
    </ext>
  </extLst>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D56D8BC0-D81D-477F-B86E-4761CB81DA2E}" name="Tabla37" displayName="Tabla37" ref="AI21:AI29" headerRowCount="0" totalsRowShown="0">
  <tableColumns count="1">
    <tableColumn id="1" xr3:uid="{69DB8A3F-58F5-4C4E-8A68-D6B9166AE377}" name="Columna1"/>
  </tableColumns>
  <tableStyleInfo name="TableStyleMedium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Capital" displayName="Capital" ref="B19:D25" totalsRowCount="1" headerRowDxfId="140">
  <tableColumns count="3">
    <tableColumn id="1" xr3:uid="{00000000-0010-0000-0300-000001000000}" name="LISTA DE EQUIPO DE CAPITAL" totalsRowLabel="Total" dataDxfId="139" totalsRowDxfId="138"/>
    <tableColumn id="3" xr3:uid="{00000000-0010-0000-0300-000003000000}" name=" "/>
    <tableColumn id="2" xr3:uid="{00000000-0010-0000-0300-000002000000}" name="CANTIDAD" totalsRowFunction="sum" dataDxfId="137" totalsRowDxfId="136"/>
  </tableColumns>
  <tableStyleInfo name="Gastos iniciales" showFirstColumn="0" showLastColumn="1" showRowStripes="1" showColumnStripes="0"/>
  <extLst>
    <ext xmlns:x14="http://schemas.microsoft.com/office/spreadsheetml/2009/9/main" uri="{504A1905-F514-4f6f-8877-14C23A59335A}">
      <x14:table altTextSummary="Escriba la lista de Equipo de capital y los importes en esta tabla."/>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GastosAdministrativos" displayName="GastosAdministrativos" ref="B27:D34" totalsRowCount="1" headerRowDxfId="135">
  <tableColumns count="3">
    <tableColumn id="1" xr3:uid="{00000000-0010-0000-0400-000001000000}" name="GASTOS ADMINISTRATIVOS Y DE UBICACIÓN" totalsRowLabel="Total" dataDxfId="134" totalsRowDxfId="133"/>
    <tableColumn id="3" xr3:uid="{00000000-0010-0000-0400-000003000000}" name=" "/>
    <tableColumn id="2" xr3:uid="{00000000-0010-0000-0400-000002000000}" name="CANTIDAD" totalsRowFunction="sum" dataDxfId="132" totalsRowDxfId="131"/>
  </tableColumns>
  <tableStyleInfo name="Gastos iniciales" showFirstColumn="0" showLastColumn="1" showRowStripes="1" showColumnStripes="0"/>
  <extLst>
    <ext xmlns:x14="http://schemas.microsoft.com/office/spreadsheetml/2009/9/main" uri="{504A1905-F514-4f6f-8877-14C23A59335A}">
      <x14:table altTextSummary="Escriba los elementos de gastos administrativos y de ubicación, así como los importes, en esa tabl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InventarioInicial" displayName="InventarioInicial" ref="B36:D42" totalsRowCount="1" headerRowDxfId="130">
  <tableColumns count="3">
    <tableColumn id="1" xr3:uid="{00000000-0010-0000-0500-000001000000}" name="INVENTARIO INICIAL" totalsRowLabel="Total" dataDxfId="129" totalsRowDxfId="128"/>
    <tableColumn id="3" xr3:uid="{00000000-0010-0000-0500-000003000000}" name=" "/>
    <tableColumn id="2" xr3:uid="{00000000-0010-0000-0500-000002000000}" name="CANTIDAD" totalsRowFunction="sum" dataDxfId="127" totalsRowDxfId="126"/>
  </tableColumns>
  <tableStyleInfo name="Gastos iniciales" showFirstColumn="0" showLastColumn="1" showRowStripes="1" showColumnStripes="0"/>
  <extLst>
    <ext xmlns:x14="http://schemas.microsoft.com/office/spreadsheetml/2009/9/main" uri="{504A1905-F514-4f6f-8877-14C23A59335A}">
      <x14:table altTextSummary="Escriba los elementos del inventario inicial y los importes en esta tabl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GastosPromocionales" displayName="GastosPromocionales" ref="B44:D50" totalsRowCount="1" headerRowDxfId="125">
  <tableColumns count="3">
    <tableColumn id="1" xr3:uid="{00000000-0010-0000-0600-000001000000}" name="GASTOS PROMOCIONALES Y DE PUBLICIDAD" totalsRowLabel="Total" dataDxfId="124" totalsRowDxfId="123"/>
    <tableColumn id="3" xr3:uid="{00000000-0010-0000-0600-000003000000}" name=" "/>
    <tableColumn id="2" xr3:uid="{00000000-0010-0000-0600-000002000000}" name="CANTIDAD" totalsRowFunction="sum" dataDxfId="122" totalsRowDxfId="121"/>
  </tableColumns>
  <tableStyleInfo name="Gastos iniciales" showFirstColumn="0" showLastColumn="1" showRowStripes="1" showColumnStripes="0"/>
  <extLst>
    <ext xmlns:x14="http://schemas.microsoft.com/office/spreadsheetml/2009/9/main" uri="{504A1905-F514-4f6f-8877-14C23A59335A}">
      <x14:table altTextSummary="Escriba elementos de Gastos promocionales y de publicidad, así como los importes, en esta tabla."/>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OtrosGastos" displayName="OtrosGastos" ref="B52:D55" totalsRowCount="1" headerRowDxfId="120">
  <tableColumns count="3">
    <tableColumn id="1" xr3:uid="{00000000-0010-0000-0700-000001000000}" name="OTROS GASTOS" totalsRowLabel="Total" dataDxfId="119" totalsRowDxfId="118"/>
    <tableColumn id="3" xr3:uid="{00000000-0010-0000-0700-000003000000}" name=" "/>
    <tableColumn id="2" xr3:uid="{00000000-0010-0000-0700-000002000000}" name="CANTIDAD" totalsRowFunction="sum" dataDxfId="117" totalsRowDxfId="116"/>
  </tableColumns>
  <tableStyleInfo name="Gastos iniciales" showFirstColumn="0" showLastColumn="1" showRowStripes="1" showColumnStripes="0"/>
  <extLst>
    <ext xmlns:x14="http://schemas.microsoft.com/office/spreadsheetml/2009/9/main" uri="{504A1905-F514-4f6f-8877-14C23A59335A}">
      <x14:table altTextSummary="Escriba los elementos de otros gastos y los importes en esta tabla."/>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8000000}" name="Aval" displayName="Aval" ref="B105:D110" totalsRowCount="1" headerRowDxfId="115">
  <tableColumns count="3">
    <tableColumn id="1" xr3:uid="{00000000-0010-0000-0800-000001000000}" name="AVAL PARA PRÉSTAMOS" totalsRowLabel="Total" dataDxfId="114" totalsRowDxfId="113"/>
    <tableColumn id="3" xr3:uid="{00000000-0010-0000-0800-000003000000}" name="DESCRIPCIÓN"/>
    <tableColumn id="2" xr3:uid="{00000000-0010-0000-0800-000002000000}" name="VALOR" totalsRowFunction="sum" dataDxfId="112" totalsRowDxfId="111"/>
  </tableColumns>
  <tableStyleInfo name="Gastos iniciales" showFirstColumn="0" showLastColumn="0" showRowStripes="1" showColumnStripes="0"/>
  <extLst>
    <ext xmlns:x14="http://schemas.microsoft.com/office/spreadsheetml/2009/9/main" uri="{504A1905-F514-4f6f-8877-14C23A59335A}">
      <x14:table altTextSummary="Escribe las garantías para los préstamos, la descripción y el valor en esta tabla"/>
    </ext>
  </extLst>
</table>
</file>

<file path=xl/theme/theme1.xml><?xml version="1.0" encoding="utf-8"?>
<a:theme xmlns:a="http://schemas.openxmlformats.org/drawingml/2006/main" name="Office Theme">
  <a:themeElements>
    <a:clrScheme name="Startup Expenses">
      <a:dk1>
        <a:srgbClr val="000000"/>
      </a:dk1>
      <a:lt1>
        <a:srgbClr val="FFFFFF"/>
      </a:lt1>
      <a:dk2>
        <a:srgbClr val="000000"/>
      </a:dk2>
      <a:lt2>
        <a:srgbClr val="FFFFFF"/>
      </a:lt2>
      <a:accent1>
        <a:srgbClr val="94AC6C"/>
      </a:accent1>
      <a:accent2>
        <a:srgbClr val="B0381C"/>
      </a:accent2>
      <a:accent3>
        <a:srgbClr val="0B648D"/>
      </a:accent3>
      <a:accent4>
        <a:srgbClr val="6A3A65"/>
      </a:accent4>
      <a:accent5>
        <a:srgbClr val="C06F2B"/>
      </a:accent5>
      <a:accent6>
        <a:srgbClr val="9E8A69"/>
      </a:accent6>
      <a:hlink>
        <a:srgbClr val="0B648D"/>
      </a:hlink>
      <a:folHlink>
        <a:srgbClr val="6A3A65"/>
      </a:folHlink>
    </a:clrScheme>
    <a:fontScheme name="Startup Expenses">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6" Type="http://schemas.openxmlformats.org/officeDocument/2006/relationships/table" Target="../tables/table15.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1.xml"/><Relationship Id="rId3" Type="http://schemas.openxmlformats.org/officeDocument/2006/relationships/table" Target="../tables/table16.xml"/><Relationship Id="rId7" Type="http://schemas.openxmlformats.org/officeDocument/2006/relationships/table" Target="../tables/table20.xml"/><Relationship Id="rId2" Type="http://schemas.openxmlformats.org/officeDocument/2006/relationships/printerSettings" Target="../printerSettings/printerSettings2.bin"/><Relationship Id="rId1" Type="http://schemas.openxmlformats.org/officeDocument/2006/relationships/hyperlink" Target="https://azure.microsoft.com/en-us/pricing/calculator/" TargetMode="External"/><Relationship Id="rId6" Type="http://schemas.openxmlformats.org/officeDocument/2006/relationships/table" Target="../tables/table19.xml"/><Relationship Id="rId5" Type="http://schemas.openxmlformats.org/officeDocument/2006/relationships/table" Target="../tables/table18.xml"/><Relationship Id="rId4" Type="http://schemas.openxmlformats.org/officeDocument/2006/relationships/table" Target="../tables/table17.xml"/><Relationship Id="rId9" Type="http://schemas.openxmlformats.org/officeDocument/2006/relationships/table" Target="../tables/table2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8" Type="http://schemas.openxmlformats.org/officeDocument/2006/relationships/table" Target="../tables/table30.xml"/><Relationship Id="rId3" Type="http://schemas.openxmlformats.org/officeDocument/2006/relationships/table" Target="../tables/table25.xml"/><Relationship Id="rId7" Type="http://schemas.openxmlformats.org/officeDocument/2006/relationships/table" Target="../tables/table29.xml"/><Relationship Id="rId2" Type="http://schemas.openxmlformats.org/officeDocument/2006/relationships/table" Target="../tables/table24.xml"/><Relationship Id="rId1" Type="http://schemas.openxmlformats.org/officeDocument/2006/relationships/table" Target="../tables/table23.xml"/><Relationship Id="rId6" Type="http://schemas.openxmlformats.org/officeDocument/2006/relationships/table" Target="../tables/table28.xml"/><Relationship Id="rId5" Type="http://schemas.openxmlformats.org/officeDocument/2006/relationships/table" Target="../tables/table27.xml"/><Relationship Id="rId4" Type="http://schemas.openxmlformats.org/officeDocument/2006/relationships/table" Target="../tables/table2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A1:D120"/>
  <sheetViews>
    <sheetView showGridLines="0" topLeftCell="A79" zoomScaleNormal="100" zoomScaleSheetLayoutView="100" workbookViewId="0">
      <selection activeCell="G96" sqref="G96"/>
    </sheetView>
  </sheetViews>
  <sheetFormatPr baseColWidth="10" defaultColWidth="9.140625" defaultRowHeight="21" customHeight="1" x14ac:dyDescent="0.2"/>
  <cols>
    <col min="1" max="1" width="2.5703125" customWidth="1"/>
    <col min="2" max="2" width="59.42578125" bestFit="1" customWidth="1"/>
    <col min="3" max="3" width="36.5703125" customWidth="1"/>
    <col min="4" max="4" width="22.7109375" customWidth="1"/>
  </cols>
  <sheetData>
    <row r="1" spans="1:4" ht="41.25" customHeight="1" x14ac:dyDescent="0.2">
      <c r="A1" s="3" t="s">
        <v>0</v>
      </c>
      <c r="D1" s="22" t="s">
        <v>80</v>
      </c>
    </row>
    <row r="2" spans="1:4" ht="151.5" customHeight="1" x14ac:dyDescent="0.2">
      <c r="B2" s="253" t="s">
        <v>1</v>
      </c>
      <c r="C2" s="254"/>
      <c r="D2" s="255"/>
    </row>
    <row r="3" spans="1:4" ht="9.9499999999999993" customHeight="1" x14ac:dyDescent="0.2">
      <c r="B3" s="8"/>
      <c r="C3" s="10"/>
      <c r="D3" s="10"/>
    </row>
    <row r="4" spans="1:4" ht="21" customHeight="1" x14ac:dyDescent="0.2">
      <c r="B4" s="1" t="s">
        <v>0</v>
      </c>
    </row>
    <row r="5" spans="1:4" ht="21" customHeight="1" x14ac:dyDescent="0.2">
      <c r="B5" s="4" t="s">
        <v>2</v>
      </c>
      <c r="C5" s="5" t="s">
        <v>78</v>
      </c>
      <c r="D5" s="7" t="s">
        <v>81</v>
      </c>
    </row>
    <row r="6" spans="1:4" ht="21" customHeight="1" x14ac:dyDescent="0.2">
      <c r="B6" s="2" t="s">
        <v>3</v>
      </c>
      <c r="D6" s="24">
        <v>0</v>
      </c>
    </row>
    <row r="7" spans="1:4" ht="21" customHeight="1" x14ac:dyDescent="0.2">
      <c r="B7" s="2" t="s">
        <v>4</v>
      </c>
      <c r="D7" s="24">
        <v>0</v>
      </c>
    </row>
    <row r="8" spans="1:4" ht="21" customHeight="1" x14ac:dyDescent="0.2">
      <c r="B8" s="2" t="s">
        <v>5</v>
      </c>
      <c r="D8" s="24">
        <v>0</v>
      </c>
    </row>
    <row r="9" spans="1:4" ht="21" customHeight="1" x14ac:dyDescent="0.2">
      <c r="B9" s="2" t="s">
        <v>6</v>
      </c>
      <c r="D9" s="24">
        <v>0</v>
      </c>
    </row>
    <row r="10" spans="1:4" ht="21" customHeight="1" x14ac:dyDescent="0.2">
      <c r="B10" s="2" t="s">
        <v>7</v>
      </c>
      <c r="D10" s="24">
        <f>SUBTOTAL(109,Inmobiliaria[CANTIDAD])</f>
        <v>0</v>
      </c>
    </row>
    <row r="11" spans="1:4" ht="21" customHeight="1" x14ac:dyDescent="0.2">
      <c r="B11" s="23"/>
      <c r="C11" s="23"/>
      <c r="D11" s="23"/>
    </row>
    <row r="12" spans="1:4" ht="21" customHeight="1" x14ac:dyDescent="0.2">
      <c r="B12" s="4" t="s">
        <v>8</v>
      </c>
      <c r="C12" s="5" t="s">
        <v>78</v>
      </c>
      <c r="D12" s="7" t="s">
        <v>81</v>
      </c>
    </row>
    <row r="13" spans="1:4" ht="21" customHeight="1" x14ac:dyDescent="0.2">
      <c r="B13" s="2" t="s">
        <v>9</v>
      </c>
      <c r="D13" s="24">
        <v>0</v>
      </c>
    </row>
    <row r="14" spans="1:4" ht="21" customHeight="1" x14ac:dyDescent="0.2">
      <c r="B14" s="2" t="s">
        <v>85</v>
      </c>
      <c r="D14" s="24">
        <v>0</v>
      </c>
    </row>
    <row r="15" spans="1:4" ht="21" customHeight="1" x14ac:dyDescent="0.2">
      <c r="B15" s="2" t="s">
        <v>86</v>
      </c>
      <c r="D15" s="24">
        <v>0</v>
      </c>
    </row>
    <row r="16" spans="1:4" ht="21" customHeight="1" x14ac:dyDescent="0.2">
      <c r="B16" s="2" t="s">
        <v>10</v>
      </c>
      <c r="D16" s="24">
        <v>0</v>
      </c>
    </row>
    <row r="17" spans="2:4" ht="21" customHeight="1" x14ac:dyDescent="0.2">
      <c r="B17" s="2" t="s">
        <v>7</v>
      </c>
      <c r="D17" s="24">
        <f>SUBTOTAL(109,Mejoras[CANTIDAD])</f>
        <v>0</v>
      </c>
    </row>
    <row r="18" spans="2:4" ht="21" customHeight="1" x14ac:dyDescent="0.2">
      <c r="B18" s="23"/>
      <c r="C18" s="23"/>
      <c r="D18" s="23"/>
    </row>
    <row r="19" spans="2:4" ht="21" customHeight="1" x14ac:dyDescent="0.2">
      <c r="B19" s="4" t="s">
        <v>11</v>
      </c>
      <c r="C19" s="5" t="s">
        <v>78</v>
      </c>
      <c r="D19" s="7" t="s">
        <v>81</v>
      </c>
    </row>
    <row r="20" spans="2:4" ht="21" customHeight="1" x14ac:dyDescent="0.2">
      <c r="B20" s="2" t="s">
        <v>12</v>
      </c>
      <c r="D20" s="24">
        <v>0</v>
      </c>
    </row>
    <row r="21" spans="2:4" ht="21" customHeight="1" x14ac:dyDescent="0.2">
      <c r="B21" s="2" t="s">
        <v>13</v>
      </c>
      <c r="D21" s="24">
        <v>0</v>
      </c>
    </row>
    <row r="22" spans="2:4" ht="21" customHeight="1" x14ac:dyDescent="0.2">
      <c r="B22" s="2" t="s">
        <v>14</v>
      </c>
      <c r="D22" s="24">
        <v>0</v>
      </c>
    </row>
    <row r="23" spans="2:4" ht="21" customHeight="1" x14ac:dyDescent="0.2">
      <c r="B23" s="2" t="s">
        <v>15</v>
      </c>
      <c r="D23" s="24">
        <v>0</v>
      </c>
    </row>
    <row r="24" spans="2:4" ht="21" customHeight="1" x14ac:dyDescent="0.2">
      <c r="B24" s="2" t="s">
        <v>6</v>
      </c>
      <c r="D24" s="24">
        <v>0</v>
      </c>
    </row>
    <row r="25" spans="2:4" ht="21" customHeight="1" x14ac:dyDescent="0.2">
      <c r="B25" s="2" t="s">
        <v>7</v>
      </c>
      <c r="D25" s="24">
        <f>SUBTOTAL(109,Capital[CANTIDAD])</f>
        <v>0</v>
      </c>
    </row>
    <row r="26" spans="2:4" ht="21" customHeight="1" x14ac:dyDescent="0.2">
      <c r="B26" s="23"/>
      <c r="C26" s="23"/>
      <c r="D26" s="23"/>
    </row>
    <row r="27" spans="2:4" ht="21" customHeight="1" x14ac:dyDescent="0.2">
      <c r="B27" s="4" t="s">
        <v>16</v>
      </c>
      <c r="C27" s="5" t="s">
        <v>78</v>
      </c>
      <c r="D27" s="7" t="s">
        <v>81</v>
      </c>
    </row>
    <row r="28" spans="2:4" ht="21" customHeight="1" x14ac:dyDescent="0.2">
      <c r="B28" s="2" t="s">
        <v>17</v>
      </c>
      <c r="D28" s="24">
        <v>0</v>
      </c>
    </row>
    <row r="29" spans="2:4" ht="21" customHeight="1" x14ac:dyDescent="0.2">
      <c r="B29" s="2" t="s">
        <v>18</v>
      </c>
      <c r="D29" s="24">
        <v>0</v>
      </c>
    </row>
    <row r="30" spans="2:4" ht="21" customHeight="1" x14ac:dyDescent="0.2">
      <c r="B30" s="2" t="s">
        <v>19</v>
      </c>
      <c r="D30" s="24">
        <v>0</v>
      </c>
    </row>
    <row r="31" spans="2:4" ht="21" customHeight="1" x14ac:dyDescent="0.2">
      <c r="B31" s="2" t="s">
        <v>20</v>
      </c>
      <c r="D31" s="24">
        <v>0</v>
      </c>
    </row>
    <row r="32" spans="2:4" ht="21" customHeight="1" x14ac:dyDescent="0.2">
      <c r="B32" s="2" t="s">
        <v>21</v>
      </c>
      <c r="D32" s="24">
        <v>0</v>
      </c>
    </row>
    <row r="33" spans="2:4" ht="21" customHeight="1" x14ac:dyDescent="0.2">
      <c r="B33" s="2" t="s">
        <v>6</v>
      </c>
      <c r="D33" s="24">
        <v>0</v>
      </c>
    </row>
    <row r="34" spans="2:4" ht="21" customHeight="1" x14ac:dyDescent="0.2">
      <c r="B34" s="2" t="s">
        <v>7</v>
      </c>
      <c r="D34" s="24">
        <f>SUBTOTAL(109,GastosAdministrativos[CANTIDAD])</f>
        <v>0</v>
      </c>
    </row>
    <row r="35" spans="2:4" ht="21" customHeight="1" x14ac:dyDescent="0.2">
      <c r="B35" s="23"/>
      <c r="C35" s="23"/>
      <c r="D35" s="23"/>
    </row>
    <row r="36" spans="2:4" ht="21" customHeight="1" x14ac:dyDescent="0.2">
      <c r="B36" s="4" t="s">
        <v>22</v>
      </c>
      <c r="C36" s="5" t="s">
        <v>78</v>
      </c>
      <c r="D36" s="7" t="s">
        <v>81</v>
      </c>
    </row>
    <row r="37" spans="2:4" ht="21" customHeight="1" x14ac:dyDescent="0.2">
      <c r="B37" s="2" t="s">
        <v>23</v>
      </c>
      <c r="D37" s="24">
        <v>0</v>
      </c>
    </row>
    <row r="38" spans="2:4" ht="21" customHeight="1" x14ac:dyDescent="0.2">
      <c r="B38" s="2" t="s">
        <v>24</v>
      </c>
      <c r="D38" s="24">
        <v>0</v>
      </c>
    </row>
    <row r="39" spans="2:4" ht="21" customHeight="1" x14ac:dyDescent="0.2">
      <c r="B39" s="2" t="s">
        <v>25</v>
      </c>
      <c r="D39" s="24">
        <v>0</v>
      </c>
    </row>
    <row r="40" spans="2:4" ht="21" customHeight="1" x14ac:dyDescent="0.2">
      <c r="B40" s="2" t="s">
        <v>26</v>
      </c>
      <c r="D40" s="24">
        <v>0</v>
      </c>
    </row>
    <row r="41" spans="2:4" ht="21" customHeight="1" x14ac:dyDescent="0.2">
      <c r="B41" s="2" t="s">
        <v>27</v>
      </c>
      <c r="D41" s="24">
        <v>0</v>
      </c>
    </row>
    <row r="42" spans="2:4" ht="21" customHeight="1" x14ac:dyDescent="0.2">
      <c r="B42" s="2" t="s">
        <v>7</v>
      </c>
      <c r="D42" s="24">
        <f>SUBTOTAL(109,InventarioInicial[CANTIDAD])</f>
        <v>0</v>
      </c>
    </row>
    <row r="43" spans="2:4" ht="21" customHeight="1" x14ac:dyDescent="0.2">
      <c r="B43" s="23"/>
      <c r="C43" s="23"/>
      <c r="D43" s="23"/>
    </row>
    <row r="44" spans="2:4" ht="21" customHeight="1" x14ac:dyDescent="0.2">
      <c r="B44" s="4" t="s">
        <v>28</v>
      </c>
      <c r="C44" s="5" t="s">
        <v>78</v>
      </c>
      <c r="D44" s="7" t="s">
        <v>81</v>
      </c>
    </row>
    <row r="45" spans="2:4" ht="21" customHeight="1" x14ac:dyDescent="0.2">
      <c r="B45" s="2" t="s">
        <v>29</v>
      </c>
      <c r="D45" s="24">
        <v>0</v>
      </c>
    </row>
    <row r="46" spans="2:4" ht="21" customHeight="1" x14ac:dyDescent="0.2">
      <c r="B46" s="2" t="s">
        <v>30</v>
      </c>
      <c r="D46" s="24">
        <v>0</v>
      </c>
    </row>
    <row r="47" spans="2:4" ht="21" customHeight="1" x14ac:dyDescent="0.2">
      <c r="B47" s="2" t="s">
        <v>31</v>
      </c>
      <c r="D47" s="24">
        <v>0</v>
      </c>
    </row>
    <row r="48" spans="2:4" ht="21" customHeight="1" x14ac:dyDescent="0.2">
      <c r="B48" s="2" t="s">
        <v>32</v>
      </c>
      <c r="D48" s="24">
        <v>0</v>
      </c>
    </row>
    <row r="49" spans="2:4" ht="21" customHeight="1" x14ac:dyDescent="0.2">
      <c r="B49" s="2" t="s">
        <v>33</v>
      </c>
      <c r="D49" s="24">
        <v>0</v>
      </c>
    </row>
    <row r="50" spans="2:4" ht="21" customHeight="1" x14ac:dyDescent="0.2">
      <c r="B50" s="2" t="s">
        <v>7</v>
      </c>
      <c r="D50" s="24">
        <f>SUBTOTAL(109,GastosPromocionales[CANTIDAD])</f>
        <v>0</v>
      </c>
    </row>
    <row r="51" spans="2:4" ht="21" customHeight="1" x14ac:dyDescent="0.2">
      <c r="B51" s="23"/>
      <c r="C51" s="23"/>
      <c r="D51" s="23"/>
    </row>
    <row r="52" spans="2:4" ht="21" customHeight="1" x14ac:dyDescent="0.2">
      <c r="B52" s="4" t="s">
        <v>34</v>
      </c>
      <c r="C52" s="5" t="s">
        <v>78</v>
      </c>
      <c r="D52" s="7" t="s">
        <v>81</v>
      </c>
    </row>
    <row r="53" spans="2:4" ht="21" customHeight="1" x14ac:dyDescent="0.2">
      <c r="B53" s="2" t="s">
        <v>35</v>
      </c>
      <c r="D53" s="24">
        <v>0</v>
      </c>
    </row>
    <row r="54" spans="2:4" ht="21" customHeight="1" x14ac:dyDescent="0.2">
      <c r="B54" s="2" t="s">
        <v>36</v>
      </c>
      <c r="D54" s="24">
        <v>0</v>
      </c>
    </row>
    <row r="55" spans="2:4" ht="21" customHeight="1" x14ac:dyDescent="0.2">
      <c r="B55" s="2" t="s">
        <v>7</v>
      </c>
      <c r="D55" s="24">
        <f>SUBTOTAL(109,OtrosGastos[CANTIDAD])</f>
        <v>0</v>
      </c>
    </row>
    <row r="56" spans="2:4" ht="21" customHeight="1" x14ac:dyDescent="0.2">
      <c r="B56" s="23"/>
      <c r="C56" s="23"/>
      <c r="D56" s="23"/>
    </row>
    <row r="57" spans="2:4" ht="21" customHeight="1" x14ac:dyDescent="0.2">
      <c r="B57" s="15" t="s">
        <v>37</v>
      </c>
      <c r="C57" s="16"/>
      <c r="D57" s="25">
        <v>0</v>
      </c>
    </row>
    <row r="58" spans="2:4" ht="21" customHeight="1" x14ac:dyDescent="0.2">
      <c r="B58" s="23"/>
      <c r="C58" s="23"/>
      <c r="D58" s="23"/>
    </row>
    <row r="59" spans="2:4" ht="21" customHeight="1" x14ac:dyDescent="0.2">
      <c r="B59" s="15" t="s">
        <v>38</v>
      </c>
      <c r="C59" s="16"/>
      <c r="D59" s="25">
        <v>0</v>
      </c>
    </row>
    <row r="60" spans="2:4" ht="9.9499999999999993" customHeight="1" x14ac:dyDescent="0.2">
      <c r="B60" s="23"/>
      <c r="C60" s="23"/>
      <c r="D60" s="23"/>
    </row>
    <row r="61" spans="2:4" ht="180" customHeight="1" x14ac:dyDescent="0.2">
      <c r="B61" s="253" t="s">
        <v>39</v>
      </c>
      <c r="C61" s="256"/>
      <c r="D61" s="257"/>
    </row>
    <row r="62" spans="2:4" ht="9.9499999999999993" customHeight="1" x14ac:dyDescent="0.2">
      <c r="B62" s="8"/>
      <c r="C62" s="9"/>
      <c r="D62" s="9"/>
    </row>
    <row r="63" spans="2:4" ht="21" customHeight="1" x14ac:dyDescent="0.2">
      <c r="B63" s="1" t="s">
        <v>40</v>
      </c>
    </row>
    <row r="64" spans="2:4" ht="21" customHeight="1" x14ac:dyDescent="0.2">
      <c r="B64" s="4" t="s">
        <v>41</v>
      </c>
      <c r="C64" s="5" t="s">
        <v>78</v>
      </c>
      <c r="D64" s="7" t="s">
        <v>81</v>
      </c>
    </row>
    <row r="65" spans="2:4" ht="21" customHeight="1" x14ac:dyDescent="0.2">
      <c r="B65" s="2" t="s">
        <v>42</v>
      </c>
      <c r="D65" s="24">
        <v>0</v>
      </c>
    </row>
    <row r="66" spans="2:4" ht="21" customHeight="1" x14ac:dyDescent="0.2">
      <c r="B66" s="2" t="s">
        <v>43</v>
      </c>
      <c r="D66" s="24">
        <v>0</v>
      </c>
    </row>
    <row r="67" spans="2:4" ht="21" customHeight="1" x14ac:dyDescent="0.2">
      <c r="B67" s="2" t="s">
        <v>43</v>
      </c>
      <c r="D67" s="24">
        <v>0</v>
      </c>
    </row>
    <row r="68" spans="2:4" ht="21" customHeight="1" x14ac:dyDescent="0.2">
      <c r="B68" s="2" t="s">
        <v>43</v>
      </c>
      <c r="D68" s="24">
        <v>0</v>
      </c>
    </row>
    <row r="69" spans="2:4" ht="21" customHeight="1" x14ac:dyDescent="0.2">
      <c r="B69" s="2" t="s">
        <v>7</v>
      </c>
      <c r="D69" s="24">
        <f>SUBTOTAL(109,InversionesDePropietarios[CANTIDAD])</f>
        <v>0</v>
      </c>
    </row>
    <row r="70" spans="2:4" ht="21" customHeight="1" x14ac:dyDescent="0.2">
      <c r="B70" s="23"/>
      <c r="C70" s="23"/>
      <c r="D70" s="23"/>
    </row>
    <row r="71" spans="2:4" ht="21" customHeight="1" x14ac:dyDescent="0.2">
      <c r="B71" s="4" t="s">
        <v>44</v>
      </c>
      <c r="C71" s="5" t="s">
        <v>78</v>
      </c>
      <c r="D71" s="7" t="s">
        <v>81</v>
      </c>
    </row>
    <row r="72" spans="2:4" ht="21" customHeight="1" x14ac:dyDescent="0.2">
      <c r="B72" s="2" t="s">
        <v>45</v>
      </c>
      <c r="D72" s="24">
        <v>0</v>
      </c>
    </row>
    <row r="73" spans="2:4" ht="21" customHeight="1" x14ac:dyDescent="0.2">
      <c r="B73" s="2" t="s">
        <v>46</v>
      </c>
      <c r="D73" s="24">
        <v>0</v>
      </c>
    </row>
    <row r="74" spans="2:4" ht="21" customHeight="1" x14ac:dyDescent="0.2">
      <c r="B74" s="2" t="s">
        <v>47</v>
      </c>
      <c r="D74" s="24">
        <v>0</v>
      </c>
    </row>
    <row r="75" spans="2:4" ht="21" customHeight="1" x14ac:dyDescent="0.2">
      <c r="B75" s="2" t="s">
        <v>48</v>
      </c>
      <c r="D75" s="24">
        <v>0</v>
      </c>
    </row>
    <row r="76" spans="2:4" ht="21" customHeight="1" x14ac:dyDescent="0.2">
      <c r="B76" s="2" t="s">
        <v>7</v>
      </c>
      <c r="D76" s="24">
        <f>SUBTOTAL(109,PréstamosBancarios[CANTIDAD])</f>
        <v>0</v>
      </c>
    </row>
    <row r="77" spans="2:4" ht="21" customHeight="1" x14ac:dyDescent="0.2">
      <c r="B77" s="23"/>
      <c r="C77" s="23"/>
      <c r="D77" s="23"/>
    </row>
    <row r="78" spans="2:4" ht="21" customHeight="1" x14ac:dyDescent="0.2">
      <c r="B78" s="4" t="s">
        <v>49</v>
      </c>
      <c r="C78" s="5" t="s">
        <v>78</v>
      </c>
      <c r="D78" s="7" t="s">
        <v>81</v>
      </c>
    </row>
    <row r="79" spans="2:4" ht="21" customHeight="1" x14ac:dyDescent="0.2">
      <c r="B79" s="2" t="s">
        <v>50</v>
      </c>
      <c r="D79" s="24">
        <v>0</v>
      </c>
    </row>
    <row r="80" spans="2:4" ht="21" customHeight="1" x14ac:dyDescent="0.2">
      <c r="B80" s="2" t="s">
        <v>51</v>
      </c>
      <c r="D80" s="24">
        <v>0</v>
      </c>
    </row>
    <row r="81" spans="2:4" ht="21" customHeight="1" x14ac:dyDescent="0.2">
      <c r="B81" s="2" t="s">
        <v>7</v>
      </c>
      <c r="D81" s="24">
        <f>SUBTOTAL(109,OtrosPréstamos[CANTIDAD])</f>
        <v>0</v>
      </c>
    </row>
    <row r="82" spans="2:4" ht="9.9499999999999993" customHeight="1" x14ac:dyDescent="0.2">
      <c r="B82" s="23"/>
      <c r="C82" s="23"/>
      <c r="D82" s="23"/>
    </row>
    <row r="83" spans="2:4" ht="60" customHeight="1" x14ac:dyDescent="0.2">
      <c r="B83" s="253" t="s">
        <v>52</v>
      </c>
      <c r="C83" s="256"/>
      <c r="D83" s="257"/>
    </row>
    <row r="84" spans="2:4" ht="9.9499999999999993" customHeight="1" x14ac:dyDescent="0.2">
      <c r="B84" s="8"/>
      <c r="C84" s="9"/>
      <c r="D84" s="9"/>
    </row>
    <row r="85" spans="2:4" ht="21" customHeight="1" x14ac:dyDescent="0.2">
      <c r="B85" s="1" t="s">
        <v>53</v>
      </c>
    </row>
    <row r="86" spans="2:4" ht="21" customHeight="1" x14ac:dyDescent="0.2">
      <c r="B86" s="4" t="s">
        <v>54</v>
      </c>
      <c r="C86" s="5" t="s">
        <v>78</v>
      </c>
      <c r="D86" s="7" t="s">
        <v>82</v>
      </c>
    </row>
    <row r="87" spans="2:4" ht="21" customHeight="1" x14ac:dyDescent="0.2">
      <c r="B87" s="2" t="s">
        <v>55</v>
      </c>
      <c r="D87" s="24">
        <f>OtrosPréstamos[[#Totals],[CANTIDAD]]</f>
        <v>0</v>
      </c>
    </row>
    <row r="88" spans="2:4" ht="21" customHeight="1" x14ac:dyDescent="0.2">
      <c r="B88" s="2" t="s">
        <v>56</v>
      </c>
      <c r="D88" s="24">
        <f>OtrosPréstamos[[#Totals],[CANTIDAD]]</f>
        <v>0</v>
      </c>
    </row>
    <row r="89" spans="2:4" ht="21" customHeight="1" x14ac:dyDescent="0.2">
      <c r="B89" s="2" t="s">
        <v>57</v>
      </c>
      <c r="D89" s="24">
        <f>OtrosPréstamos[[#Totals],[CANTIDAD]]</f>
        <v>0</v>
      </c>
    </row>
    <row r="90" spans="2:4" ht="21" customHeight="1" x14ac:dyDescent="0.2">
      <c r="B90" s="2" t="s">
        <v>7</v>
      </c>
      <c r="D90" s="24">
        <f>SUBTOTAL(109,FuentesDeCapital[TOTALES])</f>
        <v>0</v>
      </c>
    </row>
    <row r="91" spans="2:4" ht="21" customHeight="1" x14ac:dyDescent="0.2">
      <c r="B91" s="23"/>
      <c r="C91" s="23"/>
      <c r="D91" s="23"/>
    </row>
    <row r="92" spans="2:4" ht="21" customHeight="1" x14ac:dyDescent="0.2">
      <c r="B92" s="4" t="s">
        <v>0</v>
      </c>
      <c r="C92" s="5" t="s">
        <v>78</v>
      </c>
      <c r="D92" s="7" t="s">
        <v>82</v>
      </c>
    </row>
    <row r="93" spans="2:4" ht="21" customHeight="1" x14ac:dyDescent="0.2">
      <c r="B93" s="2" t="s">
        <v>58</v>
      </c>
      <c r="D93" s="24">
        <f>Inmobiliaria[[#Totals],[CANTIDAD]]</f>
        <v>0</v>
      </c>
    </row>
    <row r="94" spans="2:4" ht="21" customHeight="1" x14ac:dyDescent="0.2">
      <c r="B94" s="2" t="s">
        <v>59</v>
      </c>
      <c r="D94" s="24">
        <f>Mejoras[[#Totals],[CANTIDAD]]</f>
        <v>0</v>
      </c>
    </row>
    <row r="95" spans="2:4" ht="21" customHeight="1" x14ac:dyDescent="0.2">
      <c r="B95" s="2" t="s">
        <v>60</v>
      </c>
      <c r="D95" s="24">
        <f>Capital[[#Totals],[CANTIDAD]]</f>
        <v>0</v>
      </c>
    </row>
    <row r="96" spans="2:4" ht="21" customHeight="1" x14ac:dyDescent="0.2">
      <c r="B96" s="2" t="s">
        <v>61</v>
      </c>
      <c r="D96" s="24">
        <f>GastosAdministrativos[[#Totals],[CANTIDAD]]</f>
        <v>0</v>
      </c>
    </row>
    <row r="97" spans="2:4" ht="21" customHeight="1" x14ac:dyDescent="0.2">
      <c r="B97" s="2" t="s">
        <v>62</v>
      </c>
      <c r="D97" s="24">
        <f>InventarioInicial[[#Totals],[CANTIDAD]]</f>
        <v>0</v>
      </c>
    </row>
    <row r="98" spans="2:4" ht="21" customHeight="1" x14ac:dyDescent="0.2">
      <c r="B98" s="2" t="s">
        <v>63</v>
      </c>
      <c r="D98" s="24">
        <f>GastosPromocionales[[#Totals],[CANTIDAD]]</f>
        <v>0</v>
      </c>
    </row>
    <row r="99" spans="2:4" ht="21" customHeight="1" x14ac:dyDescent="0.2">
      <c r="B99" s="2" t="s">
        <v>64</v>
      </c>
      <c r="D99" s="24">
        <f>OtrosGastos[[#Totals],[CANTIDAD]]</f>
        <v>0</v>
      </c>
    </row>
    <row r="100" spans="2:4" ht="21" customHeight="1" x14ac:dyDescent="0.2">
      <c r="B100" s="2" t="s">
        <v>65</v>
      </c>
      <c r="D100" s="24">
        <f>SUM('Gastos iniciales'!$C$57)</f>
        <v>0</v>
      </c>
    </row>
    <row r="101" spans="2:4" ht="21" customHeight="1" x14ac:dyDescent="0.2">
      <c r="B101" s="2" t="s">
        <v>66</v>
      </c>
      <c r="D101" s="24">
        <f>SUM('Gastos iniciales'!$C$59)</f>
        <v>0</v>
      </c>
    </row>
    <row r="102" spans="2:4" ht="21" customHeight="1" x14ac:dyDescent="0.2">
      <c r="B102" s="2" t="s">
        <v>7</v>
      </c>
      <c r="D102" s="24">
        <f>SUBTOTAL(109,GastosIniciales[TOTALES])</f>
        <v>0</v>
      </c>
    </row>
    <row r="103" spans="2:4" ht="21" customHeight="1" x14ac:dyDescent="0.2">
      <c r="B103" s="23"/>
      <c r="C103" s="23"/>
      <c r="D103" s="23"/>
    </row>
    <row r="104" spans="2:4" ht="21" customHeight="1" x14ac:dyDescent="0.2">
      <c r="B104" s="1" t="s">
        <v>67</v>
      </c>
    </row>
    <row r="105" spans="2:4" ht="21" customHeight="1" x14ac:dyDescent="0.2">
      <c r="B105" s="4" t="s">
        <v>68</v>
      </c>
      <c r="C105" s="6" t="s">
        <v>79</v>
      </c>
      <c r="D105" s="7" t="s">
        <v>83</v>
      </c>
    </row>
    <row r="106" spans="2:4" ht="21" customHeight="1" x14ac:dyDescent="0.2">
      <c r="B106" s="2" t="s">
        <v>69</v>
      </c>
      <c r="D106" s="24">
        <v>0</v>
      </c>
    </row>
    <row r="107" spans="2:4" ht="21" customHeight="1" x14ac:dyDescent="0.2">
      <c r="B107" s="2" t="s">
        <v>70</v>
      </c>
      <c r="D107" s="24">
        <v>0</v>
      </c>
    </row>
    <row r="108" spans="2:4" ht="21" customHeight="1" x14ac:dyDescent="0.2">
      <c r="B108" s="2" t="s">
        <v>70</v>
      </c>
      <c r="D108" s="24">
        <v>0</v>
      </c>
    </row>
    <row r="109" spans="2:4" ht="21" customHeight="1" x14ac:dyDescent="0.2">
      <c r="B109" s="2" t="s">
        <v>70</v>
      </c>
      <c r="D109" s="24">
        <v>0</v>
      </c>
    </row>
    <row r="110" spans="2:4" ht="21" customHeight="1" x14ac:dyDescent="0.2">
      <c r="B110" s="2" t="s">
        <v>7</v>
      </c>
      <c r="D110" s="24">
        <f>SUBTOTAL(109,Aval[VALOR])</f>
        <v>0</v>
      </c>
    </row>
    <row r="111" spans="2:4" ht="21" customHeight="1" thickBot="1" x14ac:dyDescent="0.25">
      <c r="B111" s="23"/>
      <c r="C111" s="23"/>
      <c r="D111" s="23"/>
    </row>
    <row r="112" spans="2:4" ht="21" customHeight="1" x14ac:dyDescent="0.2">
      <c r="B112" s="21" t="s">
        <v>71</v>
      </c>
      <c r="C112" s="17" t="s">
        <v>78</v>
      </c>
      <c r="D112" s="18" t="s">
        <v>84</v>
      </c>
    </row>
    <row r="113" spans="2:4" ht="21" customHeight="1" x14ac:dyDescent="0.2">
      <c r="B113" s="19" t="s">
        <v>72</v>
      </c>
      <c r="C113" s="20"/>
      <c r="D113" s="20"/>
    </row>
    <row r="114" spans="2:4" ht="21" customHeight="1" x14ac:dyDescent="0.2">
      <c r="B114" s="13" t="s">
        <v>73</v>
      </c>
      <c r="C114" s="14"/>
      <c r="D114" s="14"/>
    </row>
    <row r="115" spans="2:4" ht="21" customHeight="1" x14ac:dyDescent="0.2">
      <c r="B115" s="11" t="s">
        <v>73</v>
      </c>
      <c r="C115" s="12"/>
      <c r="D115" s="12"/>
    </row>
    <row r="116" spans="2:4" ht="21" customHeight="1" thickBot="1" x14ac:dyDescent="0.25">
      <c r="B116" s="23"/>
      <c r="C116" s="23"/>
      <c r="D116" s="23"/>
    </row>
    <row r="117" spans="2:4" ht="21" customHeight="1" x14ac:dyDescent="0.2">
      <c r="B117" s="21" t="s">
        <v>74</v>
      </c>
      <c r="C117" s="17" t="s">
        <v>78</v>
      </c>
      <c r="D117" s="18" t="s">
        <v>84</v>
      </c>
    </row>
    <row r="118" spans="2:4" ht="21" customHeight="1" x14ac:dyDescent="0.2">
      <c r="B118" s="19" t="s">
        <v>75</v>
      </c>
      <c r="C118" s="20"/>
      <c r="D118" s="20"/>
    </row>
    <row r="119" spans="2:4" ht="21" customHeight="1" x14ac:dyDescent="0.2">
      <c r="B119" s="13" t="s">
        <v>76</v>
      </c>
      <c r="C119" s="14"/>
      <c r="D119" s="14"/>
    </row>
    <row r="120" spans="2:4" ht="21" customHeight="1" x14ac:dyDescent="0.2">
      <c r="B120" s="11" t="s">
        <v>77</v>
      </c>
      <c r="C120" s="12"/>
      <c r="D120" s="12"/>
    </row>
  </sheetData>
  <mergeCells count="3">
    <mergeCell ref="B2:D2"/>
    <mergeCell ref="B61:D61"/>
    <mergeCell ref="B83:D83"/>
  </mergeCells>
  <dataValidations xWindow="196" yWindow="358" count="42">
    <dataValidation allowBlank="1" showInputMessage="1" showErrorMessage="1" prompt="Cree los gastos iniciales en esta hoja de cálculo. Escriba el nombre de la empresa en la celda D1 y los detalles en las tablas a partir de la etiqueta Gastos iniciales en la celda B4. Las sugerencias se encuentran en las celdas B2, B61 y B83." sqref="A1" xr:uid="{00000000-0002-0000-0000-000000000000}"/>
    <dataValidation allowBlank="1" showInputMessage="1" showErrorMessage="1" prompt="El título de esta hoja de cálculo está en esta celda, y la sugerencia en la celda inferior." sqref="B1" xr:uid="{00000000-0002-0000-0000-000001000000}"/>
    <dataValidation allowBlank="1" showInputMessage="1" showErrorMessage="1" prompt="Escriba el nombre de la empresa en esta celda." sqref="D1" xr:uid="{00000000-0002-0000-0000-000002000000}"/>
    <dataValidation allowBlank="1" showInputMessage="1" showErrorMessage="1" prompt="Escriba los detalles en la tabla siguiente Inmuebles." sqref="B4" xr:uid="{00000000-0002-0000-0000-000003000000}"/>
    <dataValidation allowBlank="1" showInputMessage="1" showErrorMessage="1" prompt="Escriba o modifique el elemento Edificio o inmuebles en esta columna, debajo de este encabezado." sqref="B5" xr:uid="{00000000-0002-0000-0000-000004000000}"/>
    <dataValidation allowBlank="1" showInputMessage="1" showErrorMessage="1" prompt="Escriba el importe en esta columna, debajo de este encabezado." sqref="D5 D12 D19 D27 D36 D44 D52 D64 D71 D78" xr:uid="{00000000-0002-0000-0000-000005000000}"/>
    <dataValidation allowBlank="1" showInputMessage="1" showErrorMessage="1" prompt="Escriba los detalles en la tabla siguiente Mejora." sqref="B11:D11" xr:uid="{00000000-0002-0000-0000-000006000000}"/>
    <dataValidation allowBlank="1" showInputMessage="1" showErrorMessage="1" prompt="Escriba o modifique las mejoras en alquileres en esta columna, debajo de este encabezado." sqref="B12" xr:uid="{00000000-0002-0000-0000-000007000000}"/>
    <dataValidation allowBlank="1" showInputMessage="1" showErrorMessage="1" prompt="Escriba los detalles en la tabla siguiente Capital." sqref="B18:D18" xr:uid="{00000000-0002-0000-0000-000008000000}"/>
    <dataValidation allowBlank="1" showInputMessage="1" showErrorMessage="1" prompt="Escriba o modifique la lista de equipo de capital en esta columna, debajo de este encabezado." sqref="B19" xr:uid="{00000000-0002-0000-0000-000009000000}"/>
    <dataValidation allowBlank="1" showInputMessage="1" showErrorMessage="1" prompt="Escriba los detalles en la tabla siguiente Gastos de administración." sqref="B26:D26" xr:uid="{00000000-0002-0000-0000-00000A000000}"/>
    <dataValidation allowBlank="1" showInputMessage="1" showErrorMessage="1" prompt="Escriba o modifique en los gastos administrativos y de ubicación en esta columna, debajo de este encabezado." sqref="B27" xr:uid="{00000000-0002-0000-0000-00000B000000}"/>
    <dataValidation allowBlank="1" showInputMessage="1" showErrorMessage="1" prompt="Escriba los detalles en la tabla siguiente Inventario inicial." sqref="B35:D35" xr:uid="{00000000-0002-0000-0000-00000C000000}"/>
    <dataValidation allowBlank="1" showInputMessage="1" showErrorMessage="1" prompt="Escriba o modifique los elementos de gastos promocionales y de publicidad en esta columna, debajo de este encabezado." sqref="B44" xr:uid="{00000000-0002-0000-0000-00000D000000}"/>
    <dataValidation allowBlank="1" showInputMessage="1" showErrorMessage="1" prompt="Escriba o modifique los elementos del inventario inicial en esta columna, debajo de este encabezado." sqref="B36" xr:uid="{00000000-0002-0000-0000-00000E000000}"/>
    <dataValidation allowBlank="1" showInputMessage="1" showErrorMessage="1" prompt="Escriba los detalles en la tabla siguiente Gastos promocionales y de publicidad." sqref="B43:D43" xr:uid="{00000000-0002-0000-0000-00000F000000}"/>
    <dataValidation allowBlank="1" showInputMessage="1" showErrorMessage="1" prompt="Escriba los detalles en la tabla siguiente Otros gastos." sqref="B51:D51" xr:uid="{00000000-0002-0000-0000-000010000000}"/>
    <dataValidation allowBlank="1" showInputMessage="1" showErrorMessage="1" prompt="Escriba o modifique los elementos de Otros gastos en esta columna, debajo de este encabezado." sqref="B52" xr:uid="{00000000-0002-0000-0000-000011000000}"/>
    <dataValidation allowBlank="1" showInputMessage="1" showErrorMessage="1" prompt="Escriba la reserva para contingencias en la celda D57." sqref="B57" xr:uid="{00000000-0002-0000-0000-000012000000}"/>
    <dataValidation allowBlank="1" showInputMessage="1" showErrorMessage="1" prompt="Escriba el capital circulante en la celda inferior." sqref="D57" xr:uid="{00000000-0002-0000-0000-000013000000}"/>
    <dataValidation allowBlank="1" showInputMessage="1" showErrorMessage="1" prompt="Escriba el capital circulante en la celda D59." sqref="B59" xr:uid="{00000000-0002-0000-0000-000014000000}"/>
    <dataValidation allowBlank="1" showInputMessage="1" showErrorMessage="1" prompt="La sugerencia está en la celda inferior. Escriba los detalles en las tablas a partir de la etiqueta Fuentes de capital en la celda B63." sqref="D59" xr:uid="{00000000-0002-0000-0000-000015000000}"/>
    <dataValidation allowBlank="1" showInputMessage="1" showErrorMessage="1" prompt="Escriba el nombre de la inversión de los propietarios y el porcentaje de propiedad en esta columna, debajo de este encabezado." sqref="B64" xr:uid="{00000000-0002-0000-0000-000016000000}"/>
    <dataValidation allowBlank="1" showInputMessage="1" showErrorMessage="1" prompt="Escriba los detalles la tabla siguiente Préstamos bancarios." sqref="B70:D70" xr:uid="{00000000-0002-0000-0000-000017000000}"/>
    <dataValidation allowBlank="1" showInputMessage="1" showErrorMessage="1" prompt="Escriba los préstamos bancarios en esta columna, debajo de este encabezado." sqref="B71" xr:uid="{00000000-0002-0000-0000-000018000000}"/>
    <dataValidation allowBlank="1" showInputMessage="1" showErrorMessage="1" prompt="Escriba los detalles en la tabla siguiente Otros préstamos." sqref="B77:D77" xr:uid="{00000000-0002-0000-0000-000019000000}"/>
    <dataValidation allowBlank="1" showInputMessage="1" showErrorMessage="1" prompt="Escriba otros préstamos en esta columna, debajo de este encabezado." sqref="B78" xr:uid="{00000000-0002-0000-0000-00001A000000}"/>
    <dataValidation allowBlank="1" showInputMessage="1" showErrorMessage="1" prompt="La sugerencia está en la celda inferior. La etiqueta Estado de cuentas está en la celda B85." sqref="B82:D82" xr:uid="{00000000-0002-0000-0000-00001B000000}"/>
    <dataValidation allowBlank="1" showInputMessage="1" showErrorMessage="1" prompt="La tabla Fuente de capital a partir de la celda B86 y la tabla Gastos iniciales a partir de la celda B92 se actualizan automáticamente. " sqref="B85" xr:uid="{00000000-0002-0000-0000-00001C000000}"/>
    <dataValidation allowBlank="1" showInputMessage="1" showErrorMessage="1" prompt="Los elementos de la fuente de capital se encuentran en esta columna, debajo de este encabezado." sqref="B86" xr:uid="{00000000-0002-0000-0000-00001D000000}"/>
    <dataValidation allowBlank="1" showInputMessage="1" showErrorMessage="1" prompt="Los totales se actualizan automáticamente en esta columna, debajo de este encabezado." sqref="D92 D86" xr:uid="{00000000-0002-0000-0000-00001E000000}"/>
    <dataValidation allowBlank="1" showInputMessage="1" showErrorMessage="1" prompt="Los elementos de los gastos iniciales se encuentran en esta columna, debajo de este encabezado." sqref="B92" xr:uid="{00000000-0002-0000-0000-00001F000000}"/>
    <dataValidation allowBlank="1" showInputMessage="1" showErrorMessage="1" prompt="La seguridad y el aval de la etiqueta Propuesta de préstamo está en la celda inferior." sqref="B103:D103" xr:uid="{00000000-0002-0000-0000-000020000000}"/>
    <dataValidation allowBlank="1" showInputMessage="1" showErrorMessage="1" prompt="Escriba los detalles en la tabla siguiente Aval." sqref="B104" xr:uid="{00000000-0002-0000-0000-000021000000}"/>
    <dataValidation allowBlank="1" showInputMessage="1" showErrorMessage="1" prompt="Escriba la descripción en esta columna debajo de este encabezado." sqref="C105" xr:uid="{00000000-0002-0000-0000-000022000000}"/>
    <dataValidation allowBlank="1" showInputMessage="1" showErrorMessage="1" prompt="Escriba el aval para préstamos en esta columna, debajo de este encabezado." sqref="B105" xr:uid="{00000000-0002-0000-0000-000023000000}"/>
    <dataValidation allowBlank="1" showInputMessage="1" showErrorMessage="1" prompt="Escriba el valor en esta columna, debajo de este encabezado." sqref="D105" xr:uid="{00000000-0002-0000-0000-000024000000}"/>
    <dataValidation allowBlank="1" showInputMessage="1" showErrorMessage="1" prompt="Escriba los detalles en la tabla siguiente Propietarios." sqref="B111:D111" xr:uid="{00000000-0002-0000-0000-000025000000}"/>
    <dataValidation allowBlank="1" showInputMessage="1" showErrorMessage="1" prompt="Escriba el nombre del propietario en esta columna, debajo de este encabezado." sqref="B112" xr:uid="{00000000-0002-0000-0000-000026000000}"/>
    <dataValidation allowBlank="1" showInputMessage="1" showErrorMessage="1" prompt="Escriba los detalles en la tabla siguiente Avalistas." sqref="B116:D116" xr:uid="{00000000-0002-0000-0000-000027000000}"/>
    <dataValidation allowBlank="1" showInputMessage="1" showErrorMessage="1" prompt="Escriba los nombres de los avalistas del préstamo distintos de los propietarios en esta columna, debajo de este encabezado." sqref="B117" xr:uid="{00000000-0002-0000-0000-000028000000}"/>
    <dataValidation allowBlank="1" showInputMessage="1" showErrorMessage="1" prompt="La etiqueta Fuentes de capital está en esta celda. Escriba los detalles en la tabla siguiente." sqref="B63" xr:uid="{00000000-0002-0000-0000-00002A000000}"/>
  </dataValidations>
  <printOptions horizontalCentered="1"/>
  <pageMargins left="0.25" right="0.25" top="0.75" bottom="0.75" header="0.3" footer="0.3"/>
  <pageSetup paperSize="9" fitToHeight="0" orientation="portrait" r:id="rId1"/>
  <headerFooter differentFirst="1">
    <oddFooter>Page &amp;P of &amp;N</oddFooter>
  </headerFooter>
  <ignoredErrors>
    <ignoredError sqref="D100:D101" emptyCellReference="1"/>
  </ignoredErrors>
  <tableParts count="15">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2929E-C56E-437B-A7D6-6C34AECDFA55}">
  <sheetPr>
    <tabColor theme="4"/>
    <pageSetUpPr autoPageBreaks="0" fitToPage="1"/>
  </sheetPr>
  <dimension ref="A1:G70"/>
  <sheetViews>
    <sheetView showGridLines="0" topLeftCell="A27" zoomScale="80" zoomScaleNormal="80" zoomScaleSheetLayoutView="100" workbookViewId="0">
      <selection activeCell="D52" sqref="D52"/>
    </sheetView>
  </sheetViews>
  <sheetFormatPr baseColWidth="10" defaultColWidth="9.140625" defaultRowHeight="21" customHeight="1" x14ac:dyDescent="0.2"/>
  <cols>
    <col min="1" max="1" width="2.5703125" customWidth="1"/>
    <col min="2" max="2" width="59.28515625" customWidth="1"/>
    <col min="3" max="3" width="13.7109375" bestFit="1" customWidth="1"/>
    <col min="4" max="4" width="34.28515625" bestFit="1" customWidth="1"/>
    <col min="5" max="5" width="14.42578125" bestFit="1" customWidth="1"/>
    <col min="7" max="7" width="13.5703125" bestFit="1" customWidth="1"/>
  </cols>
  <sheetData>
    <row r="1" spans="1:6" ht="41.25" customHeight="1" x14ac:dyDescent="0.2">
      <c r="A1" s="3" t="s">
        <v>105</v>
      </c>
      <c r="B1" s="26"/>
      <c r="D1" s="258" t="s">
        <v>103</v>
      </c>
      <c r="E1" s="258"/>
    </row>
    <row r="2" spans="1:6" ht="9.9499999999999993" customHeight="1" x14ac:dyDescent="0.2">
      <c r="B2" s="9"/>
      <c r="C2" s="10"/>
      <c r="D2" s="10"/>
    </row>
    <row r="3" spans="1:6" ht="21" customHeight="1" x14ac:dyDescent="0.2">
      <c r="B3" s="4" t="s">
        <v>87</v>
      </c>
      <c r="C3" s="7" t="s">
        <v>81</v>
      </c>
      <c r="D3" s="7" t="s">
        <v>90</v>
      </c>
      <c r="E3" s="7" t="s">
        <v>91</v>
      </c>
      <c r="F3" s="5"/>
    </row>
    <row r="4" spans="1:6" ht="21" customHeight="1" x14ac:dyDescent="0.2">
      <c r="B4" s="2" t="s">
        <v>88</v>
      </c>
      <c r="C4" s="27">
        <v>1</v>
      </c>
      <c r="D4">
        <f>8*45</f>
        <v>360</v>
      </c>
      <c r="E4" s="28">
        <f>+Inmobiliaria13[[#This Row],[CANTIDAD]]*Inmobiliaria13[[#This Row],[HORAS]]*20000</f>
        <v>7200000</v>
      </c>
    </row>
    <row r="5" spans="1:6" ht="21" customHeight="1" x14ac:dyDescent="0.2">
      <c r="B5" s="2" t="s">
        <v>89</v>
      </c>
      <c r="C5" s="27">
        <v>2</v>
      </c>
      <c r="D5">
        <f t="shared" ref="D5:D6" si="0">8*45</f>
        <v>360</v>
      </c>
      <c r="E5" s="28">
        <f>+Inmobiliaria13[[#This Row],[CANTIDAD]]*Inmobiliaria13[[#This Row],[HORAS]]*7000</f>
        <v>5040000</v>
      </c>
    </row>
    <row r="6" spans="1:6" ht="21" customHeight="1" x14ac:dyDescent="0.2">
      <c r="B6" s="2" t="s">
        <v>92</v>
      </c>
      <c r="C6" s="27">
        <v>1</v>
      </c>
      <c r="D6">
        <f t="shared" si="0"/>
        <v>360</v>
      </c>
      <c r="E6" s="28">
        <f>+Inmobiliaria13[[#This Row],[CANTIDAD]]*Inmobiliaria13[[#This Row],[HORAS]]*30000</f>
        <v>10800000</v>
      </c>
    </row>
    <row r="7" spans="1:6" ht="21" customHeight="1" x14ac:dyDescent="0.2">
      <c r="B7" s="2" t="s">
        <v>110</v>
      </c>
      <c r="C7" s="27">
        <v>1</v>
      </c>
      <c r="D7">
        <f>8*15</f>
        <v>120</v>
      </c>
      <c r="E7" s="28">
        <f>+Inmobiliaria13[[#This Row],[CANTIDAD]]*Inmobiliaria13[[#This Row],[HORAS]]*30000</f>
        <v>3600000</v>
      </c>
    </row>
    <row r="8" spans="1:6" ht="21" customHeight="1" x14ac:dyDescent="0.2">
      <c r="B8" s="2" t="s">
        <v>7</v>
      </c>
      <c r="C8" s="27">
        <f>SUBTOTAL(109,Inmobiliaria13[CANTIDAD])</f>
        <v>5</v>
      </c>
      <c r="D8" s="27"/>
      <c r="E8" s="29">
        <f>SUBTOTAL(109,Inmobiliaria13[COSTO])</f>
        <v>26640000</v>
      </c>
    </row>
    <row r="9" spans="1:6" ht="21" customHeight="1" x14ac:dyDescent="0.2">
      <c r="B9" s="23"/>
      <c r="C9" s="23"/>
      <c r="D9" s="23"/>
    </row>
    <row r="10" spans="1:6" ht="21" customHeight="1" x14ac:dyDescent="0.2">
      <c r="B10" s="4" t="s">
        <v>98</v>
      </c>
      <c r="C10" s="7" t="s">
        <v>81</v>
      </c>
      <c r="D10" s="7" t="s">
        <v>100</v>
      </c>
      <c r="E10" s="7" t="s">
        <v>101</v>
      </c>
    </row>
    <row r="11" spans="1:6" ht="21" customHeight="1" x14ac:dyDescent="0.2">
      <c r="B11" s="2" t="s">
        <v>111</v>
      </c>
      <c r="C11" s="27">
        <v>1</v>
      </c>
      <c r="D11" s="28">
        <v>34</v>
      </c>
      <c r="E11" s="29">
        <f>+Capital20[[#This Row],[CANTIDAD]]*Capital20[[#This Row],[COSTO UNITARIO]]</f>
        <v>34</v>
      </c>
    </row>
    <row r="12" spans="1:6" ht="21" customHeight="1" x14ac:dyDescent="0.2">
      <c r="B12" s="2" t="s">
        <v>118</v>
      </c>
      <c r="C12" s="27">
        <v>1</v>
      </c>
      <c r="D12" s="28">
        <v>49</v>
      </c>
      <c r="E12" s="29">
        <f>+Capital20[[#This Row],[CANTIDAD]]*Capital20[[#This Row],[COSTO UNITARIO]]</f>
        <v>49</v>
      </c>
    </row>
    <row r="13" spans="1:6" ht="21" customHeight="1" x14ac:dyDescent="0.2">
      <c r="B13" s="2" t="s">
        <v>117</v>
      </c>
      <c r="C13" s="27">
        <v>1</v>
      </c>
      <c r="D13" s="28">
        <v>56</v>
      </c>
      <c r="E13" s="29">
        <f>+Capital20[[#This Row],[CANTIDAD]]*Capital20[[#This Row],[COSTO UNITARIO]]</f>
        <v>56</v>
      </c>
    </row>
    <row r="14" spans="1:6" ht="21" customHeight="1" x14ac:dyDescent="0.2">
      <c r="B14" s="2" t="s">
        <v>120</v>
      </c>
      <c r="C14" s="27">
        <v>1</v>
      </c>
      <c r="D14" s="28">
        <v>320</v>
      </c>
      <c r="E14" s="29">
        <f>+Capital20[[#This Row],[CANTIDAD]]*Capital20[[#This Row],[COSTO UNITARIO]]</f>
        <v>320</v>
      </c>
    </row>
    <row r="15" spans="1:6" ht="21" customHeight="1" x14ac:dyDescent="0.2">
      <c r="B15" s="2" t="s">
        <v>99</v>
      </c>
      <c r="C15" s="27">
        <v>1</v>
      </c>
      <c r="D15" s="28">
        <v>20</v>
      </c>
      <c r="E15" s="29">
        <f>+Capital20[[#This Row],[CANTIDAD]]*Capital20[[#This Row],[COSTO UNITARIO]]</f>
        <v>20</v>
      </c>
    </row>
    <row r="16" spans="1:6" ht="21" customHeight="1" x14ac:dyDescent="0.2">
      <c r="B16" s="2" t="s">
        <v>113</v>
      </c>
      <c r="D16" s="24"/>
      <c r="E16" s="30">
        <f>SUBTOTAL(109,E11:E15)</f>
        <v>479</v>
      </c>
    </row>
    <row r="17" spans="2:7" ht="21" customHeight="1" x14ac:dyDescent="0.2">
      <c r="B17" s="34" t="s">
        <v>114</v>
      </c>
      <c r="C17" s="33"/>
      <c r="D17" s="35"/>
      <c r="E17" s="36">
        <f>+E16*4076</f>
        <v>1952404</v>
      </c>
      <c r="G17" s="36">
        <f>+Capital20[[#This Row],[TOTAL]]*1.3</f>
        <v>2538125.2000000002</v>
      </c>
    </row>
    <row r="18" spans="2:7" ht="21" customHeight="1" x14ac:dyDescent="0.2">
      <c r="B18" s="2"/>
      <c r="D18" s="24"/>
      <c r="E18" s="30"/>
    </row>
    <row r="19" spans="2:7" ht="21" customHeight="1" x14ac:dyDescent="0.2">
      <c r="B19" s="4" t="s">
        <v>119</v>
      </c>
      <c r="C19" s="7" t="s">
        <v>81</v>
      </c>
      <c r="D19" s="7" t="s">
        <v>100</v>
      </c>
      <c r="E19" s="7" t="s">
        <v>101</v>
      </c>
    </row>
    <row r="20" spans="2:7" ht="21" customHeight="1" x14ac:dyDescent="0.2">
      <c r="B20" s="2" t="s">
        <v>116</v>
      </c>
      <c r="C20" s="27">
        <v>12</v>
      </c>
      <c r="D20" s="28">
        <v>30</v>
      </c>
      <c r="E20" s="29">
        <f>+Capital2012[[#This Row],[CANTIDAD]]*Capital2012[[#This Row],[COSTO UNITARIO]]</f>
        <v>360</v>
      </c>
    </row>
    <row r="21" spans="2:7" ht="21" customHeight="1" x14ac:dyDescent="0.2">
      <c r="B21" s="2" t="s">
        <v>115</v>
      </c>
      <c r="C21" s="27">
        <v>12</v>
      </c>
      <c r="D21" s="28">
        <v>20</v>
      </c>
      <c r="E21" s="29">
        <f>+Capital2012[[#This Row],[CANTIDAD]]*Capital2012[[#This Row],[COSTO UNITARIO]]</f>
        <v>240</v>
      </c>
    </row>
    <row r="22" spans="2:7" ht="21" customHeight="1" x14ac:dyDescent="0.2">
      <c r="B22" s="2" t="s">
        <v>113</v>
      </c>
      <c r="D22" s="24"/>
      <c r="E22" s="30">
        <f>SUBTOTAL(109,E20:E21)</f>
        <v>600</v>
      </c>
    </row>
    <row r="23" spans="2:7" ht="21" customHeight="1" x14ac:dyDescent="0.2">
      <c r="B23" s="34" t="s">
        <v>114</v>
      </c>
      <c r="C23" s="33"/>
      <c r="D23" s="35"/>
      <c r="E23" s="36">
        <f>+E22*4076</f>
        <v>2445600</v>
      </c>
    </row>
    <row r="24" spans="2:7" ht="21" customHeight="1" x14ac:dyDescent="0.2">
      <c r="B24" s="2"/>
      <c r="D24" s="24"/>
      <c r="E24" s="30"/>
    </row>
    <row r="25" spans="2:7" ht="21" customHeight="1" x14ac:dyDescent="0.2">
      <c r="B25" s="4" t="s">
        <v>112</v>
      </c>
      <c r="C25" s="7" t="s">
        <v>81</v>
      </c>
      <c r="D25" s="7" t="s">
        <v>100</v>
      </c>
      <c r="E25" s="7" t="s">
        <v>101</v>
      </c>
    </row>
    <row r="26" spans="2:7" ht="21" customHeight="1" x14ac:dyDescent="0.2">
      <c r="B26" s="2" t="s">
        <v>102</v>
      </c>
      <c r="C26" s="27">
        <v>1</v>
      </c>
      <c r="D26" s="29">
        <v>6000000</v>
      </c>
      <c r="E26" s="29">
        <f>+Capital201217[[#This Row],[CANTIDAD]]*Capital201217[[#This Row],[COSTO UNITARIO]]</f>
        <v>6000000</v>
      </c>
    </row>
    <row r="27" spans="2:7" ht="21" customHeight="1" x14ac:dyDescent="0.2">
      <c r="B27" s="2" t="s">
        <v>109</v>
      </c>
      <c r="C27" s="27">
        <v>1</v>
      </c>
      <c r="D27" s="29">
        <v>200000</v>
      </c>
      <c r="E27" s="29">
        <f>+Capital201217[[#This Row],[CANTIDAD]]*Capital201217[[#This Row],[COSTO UNITARIO]]</f>
        <v>200000</v>
      </c>
    </row>
    <row r="28" spans="2:7" ht="21" customHeight="1" x14ac:dyDescent="0.2">
      <c r="B28" s="2" t="s">
        <v>108</v>
      </c>
      <c r="C28" s="27">
        <v>1</v>
      </c>
      <c r="D28" s="29">
        <v>1500000</v>
      </c>
      <c r="E28" s="29">
        <f>+Capital201217[[#This Row],[CANTIDAD]]*Capital201217[[#This Row],[COSTO UNITARIO]]</f>
        <v>1500000</v>
      </c>
    </row>
    <row r="29" spans="2:7" ht="21" customHeight="1" x14ac:dyDescent="0.2">
      <c r="B29" s="2" t="s">
        <v>7</v>
      </c>
      <c r="D29" s="24"/>
      <c r="E29" s="30">
        <f>SUBTOTAL(109,Capital201217[TOTAL])</f>
        <v>7700000</v>
      </c>
    </row>
    <row r="30" spans="2:7" ht="21" customHeight="1" x14ac:dyDescent="0.2">
      <c r="B30" s="23"/>
      <c r="C30" s="23"/>
      <c r="D30" s="23"/>
    </row>
    <row r="31" spans="2:7" ht="21" customHeight="1" x14ac:dyDescent="0.2">
      <c r="B31" s="4" t="s">
        <v>97</v>
      </c>
      <c r="C31" s="5" t="s">
        <v>78</v>
      </c>
      <c r="D31" s="7" t="s">
        <v>81</v>
      </c>
    </row>
    <row r="32" spans="2:7" ht="21" customHeight="1" x14ac:dyDescent="0.2">
      <c r="B32" s="2" t="s">
        <v>93</v>
      </c>
      <c r="D32" s="29">
        <f>2*20000*45</f>
        <v>1800000</v>
      </c>
    </row>
    <row r="33" spans="2:5" ht="21" customHeight="1" x14ac:dyDescent="0.2">
      <c r="B33" s="2" t="s">
        <v>94</v>
      </c>
      <c r="D33" s="29">
        <f>2*500000*2</f>
        <v>2000000</v>
      </c>
    </row>
    <row r="34" spans="2:5" ht="21" customHeight="1" x14ac:dyDescent="0.2">
      <c r="B34" s="2" t="s">
        <v>95</v>
      </c>
      <c r="D34" s="29">
        <f>2*120000*2</f>
        <v>480000</v>
      </c>
    </row>
    <row r="35" spans="2:5" ht="21" customHeight="1" x14ac:dyDescent="0.2">
      <c r="B35" s="2" t="s">
        <v>96</v>
      </c>
      <c r="D35" s="29">
        <v>2000000</v>
      </c>
    </row>
    <row r="36" spans="2:5" ht="21" customHeight="1" x14ac:dyDescent="0.2">
      <c r="B36" s="2" t="s">
        <v>107</v>
      </c>
      <c r="D36" s="29">
        <f>336*4400*2</f>
        <v>2956800</v>
      </c>
      <c r="E36" s="31" t="s">
        <v>106</v>
      </c>
    </row>
    <row r="37" spans="2:5" ht="21" customHeight="1" x14ac:dyDescent="0.2">
      <c r="B37" s="2" t="s">
        <v>6</v>
      </c>
      <c r="D37" s="29">
        <v>300000</v>
      </c>
    </row>
    <row r="38" spans="2:5" ht="21" customHeight="1" x14ac:dyDescent="0.2">
      <c r="B38" s="2" t="s">
        <v>7</v>
      </c>
      <c r="D38" s="29">
        <f>SUBTOTAL(109,GastosAdministrativos21[CANTIDAD])</f>
        <v>9536800</v>
      </c>
    </row>
    <row r="39" spans="2:5" ht="33.75" customHeight="1" x14ac:dyDescent="0.2">
      <c r="B39" s="23"/>
      <c r="C39" s="23"/>
      <c r="D39" s="23"/>
    </row>
    <row r="40" spans="2:5" ht="21" customHeight="1" x14ac:dyDescent="0.2">
      <c r="B40" s="4" t="s">
        <v>416</v>
      </c>
      <c r="C40" s="5" t="s">
        <v>78</v>
      </c>
      <c r="D40" s="7" t="s">
        <v>81</v>
      </c>
    </row>
    <row r="41" spans="2:5" ht="21" customHeight="1" x14ac:dyDescent="0.2">
      <c r="B41" s="2"/>
      <c r="D41" s="29"/>
    </row>
    <row r="42" spans="2:5" ht="21" customHeight="1" x14ac:dyDescent="0.2">
      <c r="B42" s="2"/>
      <c r="D42" s="29"/>
    </row>
    <row r="43" spans="2:5" ht="21" customHeight="1" x14ac:dyDescent="0.2">
      <c r="B43" s="2"/>
      <c r="D43" s="29"/>
    </row>
    <row r="44" spans="2:5" ht="21" customHeight="1" x14ac:dyDescent="0.2">
      <c r="B44" s="2"/>
      <c r="D44" s="29"/>
    </row>
    <row r="45" spans="2:5" ht="21" customHeight="1" x14ac:dyDescent="0.2">
      <c r="B45" s="2"/>
      <c r="D45" s="29"/>
      <c r="E45" s="31"/>
    </row>
    <row r="46" spans="2:5" ht="21" customHeight="1" x14ac:dyDescent="0.2">
      <c r="B46" s="2" t="s">
        <v>422</v>
      </c>
      <c r="D46" s="29">
        <f>3000000+1800000*3</f>
        <v>8400000</v>
      </c>
    </row>
    <row r="47" spans="2:5" ht="21" customHeight="1" x14ac:dyDescent="0.2">
      <c r="B47" s="2" t="s">
        <v>7</v>
      </c>
      <c r="D47" s="29">
        <f>SUBTOTAL(109,GastosAdministrativos2125[CANTIDAD])</f>
        <v>8400000</v>
      </c>
    </row>
    <row r="49" spans="2:5" ht="21" customHeight="1" x14ac:dyDescent="0.2">
      <c r="B49" s="4" t="s">
        <v>423</v>
      </c>
      <c r="C49" s="5" t="s">
        <v>78</v>
      </c>
      <c r="D49" s="7" t="s">
        <v>81</v>
      </c>
    </row>
    <row r="50" spans="2:5" ht="21" customHeight="1" x14ac:dyDescent="0.2">
      <c r="B50" s="2" t="s">
        <v>417</v>
      </c>
      <c r="D50" s="29">
        <v>1500000</v>
      </c>
    </row>
    <row r="51" spans="2:5" ht="21" customHeight="1" x14ac:dyDescent="0.2">
      <c r="B51" s="2" t="s">
        <v>418</v>
      </c>
      <c r="D51" s="29">
        <v>1000000</v>
      </c>
    </row>
    <row r="52" spans="2:5" ht="21" customHeight="1" x14ac:dyDescent="0.2">
      <c r="B52" s="2" t="s">
        <v>419</v>
      </c>
      <c r="D52" s="29">
        <v>1000000</v>
      </c>
    </row>
    <row r="53" spans="2:5" ht="21" customHeight="1" x14ac:dyDescent="0.2">
      <c r="B53" s="2" t="s">
        <v>420</v>
      </c>
      <c r="D53" s="29">
        <v>500000</v>
      </c>
    </row>
    <row r="54" spans="2:5" ht="21" customHeight="1" x14ac:dyDescent="0.2">
      <c r="B54" s="2" t="s">
        <v>421</v>
      </c>
      <c r="D54" s="29">
        <v>200000</v>
      </c>
      <c r="E54" s="31"/>
    </row>
    <row r="55" spans="2:5" ht="21" customHeight="1" x14ac:dyDescent="0.2">
      <c r="B55" s="2"/>
      <c r="D55" s="29"/>
    </row>
    <row r="56" spans="2:5" ht="21" customHeight="1" x14ac:dyDescent="0.2">
      <c r="B56" s="2" t="s">
        <v>7</v>
      </c>
      <c r="D56" s="29">
        <f>SUBTOTAL(109,GastosAdministrativos212526[CANTIDAD])</f>
        <v>4200000</v>
      </c>
    </row>
    <row r="70" spans="2:2" ht="21" customHeight="1" x14ac:dyDescent="0.2">
      <c r="B70" s="32" t="s">
        <v>104</v>
      </c>
    </row>
  </sheetData>
  <mergeCells count="1">
    <mergeCell ref="D1:E1"/>
  </mergeCells>
  <dataValidations count="10">
    <dataValidation allowBlank="1" showInputMessage="1" showErrorMessage="1" prompt="Escriba los detalles en la tabla siguiente Inventario inicial." sqref="B39:D39" xr:uid="{01F79DA5-E747-40AA-A931-FF5CCD1E8981}"/>
    <dataValidation allowBlank="1" showInputMessage="1" showErrorMessage="1" prompt="Escriba o modifique en los gastos administrativos y de ubicación en esta columna, debajo de este encabezado." sqref="B31 B40 B49" xr:uid="{08B37FE5-4326-4495-82D4-591E11984CC4}"/>
    <dataValidation allowBlank="1" showInputMessage="1" showErrorMessage="1" prompt="Escriba los detalles en la tabla siguiente Gastos de administración." sqref="B30:D30" xr:uid="{0BEB0E7A-78F8-41A9-BF93-69842E0CCC89}"/>
    <dataValidation allowBlank="1" showInputMessage="1" showErrorMessage="1" prompt="Escriba o modifique la lista de equipo de capital en esta columna, debajo de este encabezado." sqref="B10 B19 B25" xr:uid="{1D922A73-62D3-4040-AAEF-7AD3848C0424}"/>
    <dataValidation allowBlank="1" showInputMessage="1" showErrorMessage="1" prompt="Escriba los detalles en la tabla siguiente Mejora." sqref="B9:D9" xr:uid="{D9600D07-4F32-4F4F-94E9-7A5F3203BA18}"/>
    <dataValidation allowBlank="1" showInputMessage="1" showErrorMessage="1" prompt="Escriba el importe en esta columna, debajo de este encabezado." sqref="C3 D31 C10 C19 C25 D40 D49" xr:uid="{C116D86A-2988-4D9D-BBCB-DEDB22C5385A}"/>
    <dataValidation allowBlank="1" showInputMessage="1" showErrorMessage="1" prompt="Escriba o modifique el elemento Edificio o inmuebles en esta columna, debajo de este encabezado." sqref="B3:C3 C10 C19 C25" xr:uid="{01243600-B0B7-4D02-9C7D-C10037872904}"/>
    <dataValidation allowBlank="1" showInputMessage="1" showErrorMessage="1" prompt="Escriba el nombre de la empresa en esta celda." sqref="D1" xr:uid="{E5051B61-3E65-481B-B22B-5CE92934133E}"/>
    <dataValidation allowBlank="1" showInputMessage="1" showErrorMessage="1" prompt="El título de esta hoja de cálculo está en esta celda, y la sugerencia en la celda inferior." sqref="B1 B70" xr:uid="{78049DD0-8225-4392-A4DA-A07D9521959B}"/>
    <dataValidation allowBlank="1" showInputMessage="1" showErrorMessage="1" prompt="Cree los gastos iniciales en esta hoja de cálculo. Escriba el nombre de la empresa en la celda D1 y los detalles en las tablas a partir de la etiqueta Gastos iniciales en la celda B4. Las sugerencias se encuentran en las celdas B2, B61 y B83." sqref="A1" xr:uid="{0E029A30-5AE1-48C1-A739-2861C325E312}"/>
  </dataValidations>
  <hyperlinks>
    <hyperlink ref="E36" r:id="rId1" display="https://azure.microsoft.com/en-us/pricing/calculator/" xr:uid="{8E44B046-9B04-4396-A42D-D2DE861668F8}"/>
  </hyperlinks>
  <printOptions horizontalCentered="1"/>
  <pageMargins left="0.25" right="0.25" top="0.75" bottom="0.75" header="0.3" footer="0.3"/>
  <pageSetup paperSize="9" fitToHeight="0" orientation="portrait" r:id="rId2"/>
  <headerFooter differentFirst="1">
    <oddFooter>Page &amp;P of &amp;N</oddFooter>
  </headerFooter>
  <ignoredErrors>
    <ignoredError sqref="E4 E5:E6 D7:E7" calculatedColumn="1"/>
  </ignoredErrors>
  <tableParts count="7">
    <tablePart r:id="rId3"/>
    <tablePart r:id="rId4"/>
    <tablePart r:id="rId5"/>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F03AC-B33D-4739-9501-41937AA8B687}">
  <dimension ref="B3:B10"/>
  <sheetViews>
    <sheetView workbookViewId="0">
      <selection activeCell="B4" sqref="B4:B10"/>
    </sheetView>
  </sheetViews>
  <sheetFormatPr baseColWidth="10" defaultRowHeight="12.75" x14ac:dyDescent="0.2"/>
  <cols>
    <col min="2" max="2" width="31.7109375" bestFit="1" customWidth="1"/>
  </cols>
  <sheetData>
    <row r="3" spans="2:2" x14ac:dyDescent="0.2">
      <c r="B3" s="38" t="s">
        <v>121</v>
      </c>
    </row>
    <row r="4" spans="2:2" x14ac:dyDescent="0.2">
      <c r="B4" s="37" t="s">
        <v>124</v>
      </c>
    </row>
    <row r="5" spans="2:2" x14ac:dyDescent="0.2">
      <c r="B5" s="37" t="s">
        <v>143</v>
      </c>
    </row>
    <row r="6" spans="2:2" x14ac:dyDescent="0.2">
      <c r="B6" s="37" t="s">
        <v>122</v>
      </c>
    </row>
    <row r="7" spans="2:2" x14ac:dyDescent="0.2">
      <c r="B7" s="37" t="s">
        <v>123</v>
      </c>
    </row>
    <row r="8" spans="2:2" x14ac:dyDescent="0.2">
      <c r="B8" s="37" t="s">
        <v>125</v>
      </c>
    </row>
    <row r="9" spans="2:2" x14ac:dyDescent="0.2">
      <c r="B9" s="37" t="s">
        <v>126</v>
      </c>
    </row>
    <row r="10" spans="2:2" x14ac:dyDescent="0.2">
      <c r="B10" s="37" t="s">
        <v>127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9E9C9-B40F-4254-9EA9-C2606C47D449}">
  <dimension ref="A1:F20"/>
  <sheetViews>
    <sheetView showGridLines="0" workbookViewId="0">
      <selection activeCell="E17" activeCellId="1" sqref="E16 E17"/>
    </sheetView>
  </sheetViews>
  <sheetFormatPr baseColWidth="10" defaultRowHeight="12.75" x14ac:dyDescent="0.2"/>
  <cols>
    <col min="2" max="2" width="49.5703125" bestFit="1" customWidth="1"/>
    <col min="3" max="3" width="13.28515625" bestFit="1" customWidth="1"/>
    <col min="5" max="5" width="13.85546875" bestFit="1" customWidth="1"/>
    <col min="6" max="6" width="10.28515625" bestFit="1" customWidth="1"/>
  </cols>
  <sheetData>
    <row r="1" spans="1:6" x14ac:dyDescent="0.2">
      <c r="E1" s="38" t="s">
        <v>149</v>
      </c>
      <c r="F1" s="53">
        <v>4076</v>
      </c>
    </row>
    <row r="2" spans="1:6" x14ac:dyDescent="0.2">
      <c r="B2" s="38" t="s">
        <v>133</v>
      </c>
    </row>
    <row r="3" spans="1:6" ht="13.5" thickBot="1" x14ac:dyDescent="0.25">
      <c r="B3" s="38" t="s">
        <v>79</v>
      </c>
      <c r="C3" s="45" t="s">
        <v>130</v>
      </c>
      <c r="D3" s="45" t="s">
        <v>131</v>
      </c>
      <c r="E3" s="45" t="s">
        <v>132</v>
      </c>
      <c r="F3" s="38"/>
    </row>
    <row r="4" spans="1:6" x14ac:dyDescent="0.2">
      <c r="A4" s="42">
        <v>1</v>
      </c>
      <c r="B4" s="39" t="s">
        <v>137</v>
      </c>
      <c r="C4" s="46"/>
      <c r="D4" s="46"/>
      <c r="E4" s="49"/>
      <c r="F4" s="37"/>
    </row>
    <row r="5" spans="1:6" x14ac:dyDescent="0.2">
      <c r="A5" s="43">
        <v>1.1000000000000001</v>
      </c>
      <c r="B5" s="40" t="s">
        <v>111</v>
      </c>
      <c r="C5" s="47"/>
      <c r="D5" s="47"/>
      <c r="E5" s="50">
        <f>34*F1</f>
        <v>138584</v>
      </c>
      <c r="F5" s="37"/>
    </row>
    <row r="6" spans="1:6" x14ac:dyDescent="0.2">
      <c r="A6" s="44">
        <v>1.2</v>
      </c>
      <c r="B6" s="41" t="s">
        <v>118</v>
      </c>
      <c r="C6" s="48"/>
      <c r="D6" s="48"/>
      <c r="E6" s="51">
        <f>49*F1</f>
        <v>199724</v>
      </c>
      <c r="F6" s="37"/>
    </row>
    <row r="7" spans="1:6" x14ac:dyDescent="0.2">
      <c r="A7" s="43">
        <v>1.3</v>
      </c>
      <c r="B7" s="40" t="s">
        <v>138</v>
      </c>
      <c r="C7" s="47" t="s">
        <v>139</v>
      </c>
      <c r="D7" s="47"/>
      <c r="E7" s="50">
        <f>56*F1</f>
        <v>228256</v>
      </c>
      <c r="F7" s="37"/>
    </row>
    <row r="8" spans="1:6" x14ac:dyDescent="0.2">
      <c r="A8" s="44">
        <v>1.4</v>
      </c>
      <c r="B8" s="41" t="s">
        <v>140</v>
      </c>
      <c r="C8" s="48" t="s">
        <v>141</v>
      </c>
      <c r="D8" s="48"/>
      <c r="E8" s="51">
        <f>320*F1</f>
        <v>1304320</v>
      </c>
      <c r="F8" s="37"/>
    </row>
    <row r="9" spans="1:6" x14ac:dyDescent="0.2">
      <c r="A9" s="43">
        <v>1.5</v>
      </c>
      <c r="B9" s="40" t="s">
        <v>152</v>
      </c>
      <c r="C9" s="47"/>
      <c r="D9" s="47"/>
      <c r="E9" s="50">
        <f>250*F1</f>
        <v>1019000</v>
      </c>
      <c r="F9" s="37"/>
    </row>
    <row r="10" spans="1:6" ht="13.5" thickBot="1" x14ac:dyDescent="0.25">
      <c r="A10" s="44">
        <v>1.6</v>
      </c>
      <c r="B10" s="41" t="s">
        <v>134</v>
      </c>
      <c r="C10" s="48"/>
      <c r="D10" s="48"/>
      <c r="E10" s="51">
        <v>200000</v>
      </c>
      <c r="F10" s="37"/>
    </row>
    <row r="11" spans="1:6" x14ac:dyDescent="0.2">
      <c r="A11" s="42">
        <v>2</v>
      </c>
      <c r="B11" s="39" t="s">
        <v>142</v>
      </c>
      <c r="C11" s="46"/>
      <c r="D11" s="46"/>
      <c r="E11" s="49"/>
    </row>
    <row r="12" spans="1:6" x14ac:dyDescent="0.2">
      <c r="A12" s="43">
        <v>2.1</v>
      </c>
      <c r="B12" s="40" t="s">
        <v>135</v>
      </c>
      <c r="C12" s="47"/>
      <c r="D12" s="47"/>
      <c r="E12" s="50">
        <f>+SUM(E5:E8,E10)*1.3</f>
        <v>2692149.2</v>
      </c>
    </row>
    <row r="13" spans="1:6" x14ac:dyDescent="0.2">
      <c r="A13" s="44">
        <v>2.2000000000000002</v>
      </c>
      <c r="B13" s="41" t="s">
        <v>136</v>
      </c>
      <c r="C13" s="48"/>
      <c r="D13" s="48"/>
      <c r="E13" s="51">
        <f>+SUM(E5:E10)*1.3</f>
        <v>4016849.2</v>
      </c>
    </row>
    <row r="14" spans="1:6" ht="13.5" thickBot="1" x14ac:dyDescent="0.25">
      <c r="A14" s="43">
        <v>2.2999999999999998</v>
      </c>
      <c r="B14" s="40" t="s">
        <v>129</v>
      </c>
      <c r="C14" s="47"/>
      <c r="D14" s="47"/>
      <c r="E14" s="50">
        <v>300000</v>
      </c>
    </row>
    <row r="15" spans="1:6" x14ac:dyDescent="0.2">
      <c r="A15" s="42">
        <v>3</v>
      </c>
      <c r="B15" s="39" t="s">
        <v>145</v>
      </c>
      <c r="C15" s="46"/>
      <c r="D15" s="46"/>
      <c r="E15" s="49"/>
    </row>
    <row r="16" spans="1:6" x14ac:dyDescent="0.2">
      <c r="A16" s="43">
        <v>3.1</v>
      </c>
      <c r="B16" s="40" t="s">
        <v>144</v>
      </c>
      <c r="C16" s="47" t="s">
        <v>151</v>
      </c>
      <c r="D16" s="47"/>
      <c r="E16" s="50">
        <v>20000</v>
      </c>
    </row>
    <row r="17" spans="1:5" x14ac:dyDescent="0.2">
      <c r="A17" s="44">
        <v>3.2</v>
      </c>
      <c r="B17" s="41" t="s">
        <v>147</v>
      </c>
      <c r="C17" s="48"/>
      <c r="D17" s="48"/>
      <c r="E17" s="51">
        <v>100000</v>
      </c>
    </row>
    <row r="18" spans="1:5" x14ac:dyDescent="0.2">
      <c r="A18" s="43">
        <v>3.3</v>
      </c>
      <c r="B18" s="40" t="s">
        <v>148</v>
      </c>
      <c r="C18" s="47"/>
      <c r="D18" s="47"/>
      <c r="E18" s="50">
        <v>120000</v>
      </c>
    </row>
    <row r="19" spans="1:5" x14ac:dyDescent="0.2">
      <c r="A19" s="44">
        <v>3.4</v>
      </c>
      <c r="B19" s="41" t="s">
        <v>146</v>
      </c>
      <c r="C19" s="48"/>
      <c r="D19" s="48"/>
      <c r="E19" s="51">
        <v>200000</v>
      </c>
    </row>
    <row r="20" spans="1:5" x14ac:dyDescent="0.2">
      <c r="A20" s="43">
        <v>3.5</v>
      </c>
      <c r="B20" s="40" t="s">
        <v>150</v>
      </c>
      <c r="C20" s="40"/>
      <c r="D20" s="40"/>
      <c r="E20" s="52">
        <v>100000</v>
      </c>
    </row>
  </sheetData>
  <phoneticPr fontId="4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EB76A-9EBA-4CC3-A58F-4B2F221B46F0}">
  <dimension ref="A1:V44"/>
  <sheetViews>
    <sheetView topLeftCell="C7" zoomScale="90" zoomScaleNormal="90" workbookViewId="0">
      <selection activeCell="M43" sqref="M43"/>
    </sheetView>
  </sheetViews>
  <sheetFormatPr baseColWidth="10" defaultRowHeight="14.25" x14ac:dyDescent="0.2"/>
  <cols>
    <col min="1" max="1" width="40.140625" style="54" bestFit="1" customWidth="1"/>
    <col min="2" max="2" width="12.85546875" style="54" bestFit="1" customWidth="1"/>
    <col min="3" max="3" width="11.42578125" style="54"/>
    <col min="4" max="4" width="13.28515625" style="54" bestFit="1" customWidth="1"/>
    <col min="5" max="5" width="14.42578125" style="54" bestFit="1" customWidth="1"/>
    <col min="6" max="6" width="14.5703125" style="54" bestFit="1" customWidth="1"/>
    <col min="7" max="7" width="11.42578125" style="54"/>
    <col min="8" max="8" width="33" style="54" bestFit="1" customWidth="1"/>
    <col min="9" max="9" width="15.28515625" style="54" bestFit="1" customWidth="1"/>
    <col min="10" max="10" width="24.140625" style="54" bestFit="1" customWidth="1"/>
    <col min="11" max="11" width="21" style="54" bestFit="1" customWidth="1"/>
    <col min="12" max="12" width="14" style="54" bestFit="1" customWidth="1"/>
    <col min="13" max="13" width="21" style="54" bestFit="1" customWidth="1"/>
    <col min="14" max="14" width="13.85546875" style="54" bestFit="1" customWidth="1"/>
    <col min="15" max="15" width="10.7109375" style="54" bestFit="1" customWidth="1"/>
    <col min="16" max="16" width="13.85546875" style="54" customWidth="1"/>
    <col min="17" max="17" width="11.42578125" style="54"/>
    <col min="18" max="18" width="37.7109375" style="54" bestFit="1" customWidth="1"/>
    <col min="19" max="19" width="12.7109375" style="54" bestFit="1" customWidth="1"/>
    <col min="20" max="20" width="40.7109375" style="54" bestFit="1" customWidth="1"/>
    <col min="21" max="21" width="15.85546875" style="54" bestFit="1" customWidth="1"/>
    <col min="22" max="22" width="14.140625" style="54" bestFit="1" customWidth="1"/>
    <col min="23" max="16384" width="11.42578125" style="54"/>
  </cols>
  <sheetData>
    <row r="1" spans="1:22" x14ac:dyDescent="0.2">
      <c r="A1" s="54" t="s">
        <v>153</v>
      </c>
      <c r="B1" s="54">
        <v>17</v>
      </c>
      <c r="C1" s="54" t="s">
        <v>154</v>
      </c>
    </row>
    <row r="2" spans="1:22" ht="15" x14ac:dyDescent="0.25">
      <c r="A2" s="54" t="s">
        <v>155</v>
      </c>
      <c r="B2" s="54">
        <v>12</v>
      </c>
      <c r="C2" s="54" t="s">
        <v>156</v>
      </c>
      <c r="I2" s="54">
        <f>+B2*B1</f>
        <v>204</v>
      </c>
      <c r="J2" s="54" t="s">
        <v>157</v>
      </c>
      <c r="R2" s="65" t="s">
        <v>193</v>
      </c>
    </row>
    <row r="3" spans="1:22" x14ac:dyDescent="0.2">
      <c r="A3" s="54" t="s">
        <v>158</v>
      </c>
      <c r="B3" s="55">
        <v>32000</v>
      </c>
      <c r="C3" s="54" t="s">
        <v>159</v>
      </c>
      <c r="I3" s="55">
        <f>+I2*40000</f>
        <v>8160000</v>
      </c>
      <c r="R3" s="56" t="s">
        <v>160</v>
      </c>
      <c r="S3" s="62">
        <v>384000</v>
      </c>
    </row>
    <row r="4" spans="1:22" x14ac:dyDescent="0.2">
      <c r="A4" s="56" t="s">
        <v>160</v>
      </c>
      <c r="B4" s="57">
        <f>+B2*B3</f>
        <v>384000</v>
      </c>
      <c r="C4" s="56" t="s">
        <v>159</v>
      </c>
      <c r="I4" s="54">
        <f>+G13/40</f>
        <v>612</v>
      </c>
      <c r="J4" s="54" t="s">
        <v>157</v>
      </c>
      <c r="K4" s="54" t="s">
        <v>161</v>
      </c>
      <c r="R4" s="56" t="s">
        <v>170</v>
      </c>
      <c r="S4" s="62">
        <v>180000</v>
      </c>
    </row>
    <row r="5" spans="1:22" x14ac:dyDescent="0.2">
      <c r="A5" s="54" t="s">
        <v>162</v>
      </c>
      <c r="B5" s="55">
        <v>40000</v>
      </c>
      <c r="C5" s="54" t="s">
        <v>159</v>
      </c>
      <c r="I5" s="55">
        <f>+I4*40000</f>
        <v>24480000</v>
      </c>
      <c r="R5" s="56" t="s">
        <v>15</v>
      </c>
      <c r="S5" s="62">
        <v>230000</v>
      </c>
      <c r="T5" s="76">
        <f>+S6*12</f>
        <v>3690000</v>
      </c>
    </row>
    <row r="6" spans="1:22" x14ac:dyDescent="0.2">
      <c r="A6" s="54" t="s">
        <v>199</v>
      </c>
      <c r="B6" s="55">
        <f>+B5/40</f>
        <v>1000</v>
      </c>
      <c r="C6" s="54" t="s">
        <v>159</v>
      </c>
      <c r="R6" s="56" t="s">
        <v>183</v>
      </c>
      <c r="S6" s="62">
        <v>307500</v>
      </c>
      <c r="T6" s="76">
        <f>+S6*0.9*12</f>
        <v>3321000</v>
      </c>
      <c r="U6" s="76">
        <f>+T5-T6</f>
        <v>369000</v>
      </c>
      <c r="V6" s="76">
        <f>+U6*7</f>
        <v>2583000</v>
      </c>
    </row>
    <row r="7" spans="1:22" ht="15" x14ac:dyDescent="0.25">
      <c r="A7" s="58" t="s">
        <v>163</v>
      </c>
      <c r="B7" s="59">
        <f>+B2*B1*B5</f>
        <v>8160000</v>
      </c>
      <c r="C7" s="58" t="s">
        <v>159</v>
      </c>
      <c r="R7" s="56" t="s">
        <v>186</v>
      </c>
      <c r="S7" s="62">
        <v>175000</v>
      </c>
    </row>
    <row r="8" spans="1:22" ht="15" x14ac:dyDescent="0.25">
      <c r="A8" s="54" t="s">
        <v>164</v>
      </c>
      <c r="B8" s="60">
        <v>30000</v>
      </c>
      <c r="J8" s="61" t="s">
        <v>167</v>
      </c>
      <c r="K8" s="61" t="s">
        <v>168</v>
      </c>
      <c r="L8" s="61" t="s">
        <v>169</v>
      </c>
      <c r="R8" s="67" t="s">
        <v>194</v>
      </c>
      <c r="S8" s="68">
        <f>SUM(S3:S7)</f>
        <v>1276500</v>
      </c>
    </row>
    <row r="9" spans="1:22" ht="15" x14ac:dyDescent="0.25">
      <c r="A9" s="54" t="s">
        <v>165</v>
      </c>
      <c r="B9" s="60">
        <v>6</v>
      </c>
      <c r="C9" s="54" t="s">
        <v>166</v>
      </c>
      <c r="H9" s="61" t="s">
        <v>172</v>
      </c>
      <c r="I9" s="63" t="s">
        <v>173</v>
      </c>
      <c r="J9" s="63">
        <f>+J10/2</f>
        <v>102</v>
      </c>
      <c r="K9" s="64">
        <f>+J9*$B$5-$B$18</f>
        <v>2803500</v>
      </c>
      <c r="L9" s="63" t="s">
        <v>174</v>
      </c>
    </row>
    <row r="10" spans="1:22" ht="15" x14ac:dyDescent="0.25">
      <c r="A10" s="56" t="s">
        <v>170</v>
      </c>
      <c r="B10" s="62">
        <f>+B9*B8</f>
        <v>180000</v>
      </c>
      <c r="C10" s="56" t="s">
        <v>159</v>
      </c>
      <c r="D10" s="54" t="s">
        <v>171</v>
      </c>
      <c r="H10" s="61" t="s">
        <v>176</v>
      </c>
      <c r="I10" s="63" t="s">
        <v>177</v>
      </c>
      <c r="J10" s="63">
        <f>+B1*B2</f>
        <v>204</v>
      </c>
      <c r="K10" s="64">
        <f>+J10*$B$5-$B$18</f>
        <v>6883500</v>
      </c>
      <c r="L10" s="63" t="s">
        <v>178</v>
      </c>
      <c r="R10" s="65" t="s">
        <v>195</v>
      </c>
      <c r="U10" s="54" t="s">
        <v>198</v>
      </c>
      <c r="V10" s="54" t="s">
        <v>169</v>
      </c>
    </row>
    <row r="11" spans="1:22" x14ac:dyDescent="0.2">
      <c r="A11" s="56" t="s">
        <v>15</v>
      </c>
      <c r="B11" s="62">
        <v>230000</v>
      </c>
      <c r="C11" s="56" t="s">
        <v>159</v>
      </c>
      <c r="D11" s="54" t="s">
        <v>175</v>
      </c>
      <c r="R11" s="54" t="s">
        <v>172</v>
      </c>
      <c r="S11" s="54">
        <f>+S12/2</f>
        <v>4080</v>
      </c>
      <c r="T11" s="54" t="s">
        <v>197</v>
      </c>
      <c r="U11" s="54" t="s">
        <v>173</v>
      </c>
      <c r="V11" s="54" t="s">
        <v>174</v>
      </c>
    </row>
    <row r="12" spans="1:22" x14ac:dyDescent="0.2">
      <c r="A12" s="54" t="s">
        <v>179</v>
      </c>
      <c r="B12" s="54">
        <v>1.5</v>
      </c>
      <c r="C12" s="54" t="s">
        <v>180</v>
      </c>
      <c r="D12" s="54">
        <f>1.5*50</f>
        <v>75</v>
      </c>
      <c r="E12" s="77" t="s">
        <v>214</v>
      </c>
      <c r="G12" s="54">
        <f>+B1*B2*40</f>
        <v>8160</v>
      </c>
      <c r="H12" s="54" t="s">
        <v>182</v>
      </c>
      <c r="R12" s="54" t="s">
        <v>176</v>
      </c>
      <c r="S12" s="54">
        <f>+B1*B2*40</f>
        <v>8160</v>
      </c>
      <c r="T12" s="54" t="s">
        <v>196</v>
      </c>
      <c r="U12" s="54" t="s">
        <v>177</v>
      </c>
      <c r="V12" s="54" t="s">
        <v>178</v>
      </c>
    </row>
    <row r="13" spans="1:22" x14ac:dyDescent="0.2">
      <c r="A13" s="54" t="s">
        <v>181</v>
      </c>
      <c r="B13" s="60">
        <v>205000</v>
      </c>
      <c r="C13" s="54" t="s">
        <v>159</v>
      </c>
      <c r="G13" s="54">
        <f>+G12*3</f>
        <v>24480</v>
      </c>
      <c r="H13" s="54" t="s">
        <v>182</v>
      </c>
      <c r="I13" s="54" t="s">
        <v>184</v>
      </c>
    </row>
    <row r="14" spans="1:22" ht="15" x14ac:dyDescent="0.25">
      <c r="A14" s="56" t="s">
        <v>183</v>
      </c>
      <c r="B14" s="62">
        <f>+B12*B13</f>
        <v>307500</v>
      </c>
      <c r="C14" s="56" t="s">
        <v>159</v>
      </c>
      <c r="R14" s="65" t="s">
        <v>202</v>
      </c>
    </row>
    <row r="15" spans="1:22" ht="15" x14ac:dyDescent="0.25">
      <c r="A15" s="65" t="s">
        <v>185</v>
      </c>
      <c r="B15" s="66">
        <f>+B14+B11+B10+B4</f>
        <v>1101500</v>
      </c>
      <c r="C15" s="65" t="s">
        <v>159</v>
      </c>
      <c r="R15" s="54" t="s">
        <v>200</v>
      </c>
      <c r="S15" s="60">
        <f>+S11*B6</f>
        <v>4080000</v>
      </c>
    </row>
    <row r="16" spans="1:22" x14ac:dyDescent="0.2">
      <c r="A16" s="56" t="s">
        <v>186</v>
      </c>
      <c r="B16" s="62">
        <v>700000</v>
      </c>
      <c r="C16" s="56" t="s">
        <v>159</v>
      </c>
      <c r="D16" s="54" t="s">
        <v>187</v>
      </c>
      <c r="R16" s="54" t="s">
        <v>201</v>
      </c>
      <c r="S16" s="60">
        <f>+S12*B6</f>
        <v>8160000</v>
      </c>
    </row>
    <row r="17" spans="1:20" x14ac:dyDescent="0.2">
      <c r="A17" s="54" t="s">
        <v>192</v>
      </c>
      <c r="B17" s="60">
        <f>+B16/4</f>
        <v>175000</v>
      </c>
      <c r="C17" s="54" t="s">
        <v>159</v>
      </c>
    </row>
    <row r="18" spans="1:20" ht="15" x14ac:dyDescent="0.25">
      <c r="A18" s="67" t="s">
        <v>188</v>
      </c>
      <c r="B18" s="68">
        <f>+B15+B17</f>
        <v>1276500</v>
      </c>
      <c r="C18" s="67" t="s">
        <v>159</v>
      </c>
      <c r="R18" s="65" t="s">
        <v>168</v>
      </c>
    </row>
    <row r="19" spans="1:20" ht="15" x14ac:dyDescent="0.25">
      <c r="A19" s="58" t="s">
        <v>189</v>
      </c>
      <c r="B19" s="59">
        <f>+B7-B18</f>
        <v>6883500</v>
      </c>
      <c r="C19" s="58" t="s">
        <v>159</v>
      </c>
      <c r="D19" s="69"/>
      <c r="R19" s="73" t="s">
        <v>189</v>
      </c>
      <c r="S19" s="74">
        <f>+S15-S8</f>
        <v>2803500</v>
      </c>
      <c r="T19" s="73" t="s">
        <v>200</v>
      </c>
    </row>
    <row r="20" spans="1:20" ht="15" x14ac:dyDescent="0.25">
      <c r="A20" s="58" t="s">
        <v>190</v>
      </c>
      <c r="B20" s="59">
        <f>+B19/3</f>
        <v>2294500</v>
      </c>
      <c r="C20" s="58" t="s">
        <v>159</v>
      </c>
      <c r="D20" s="60">
        <f>5*B20</f>
        <v>11472500</v>
      </c>
      <c r="E20" s="60">
        <f>12*D20</f>
        <v>137670000</v>
      </c>
      <c r="J20" s="287" t="s">
        <v>453</v>
      </c>
      <c r="K20" s="288"/>
      <c r="L20" s="288"/>
      <c r="M20" s="288"/>
      <c r="N20" s="288"/>
      <c r="O20" s="289"/>
      <c r="R20" s="54" t="s">
        <v>190</v>
      </c>
      <c r="S20" s="60">
        <f>+S19/3</f>
        <v>934500</v>
      </c>
      <c r="T20" s="54" t="s">
        <v>200</v>
      </c>
    </row>
    <row r="21" spans="1:20" ht="15" x14ac:dyDescent="0.25">
      <c r="A21" s="65"/>
      <c r="B21" s="66"/>
      <c r="C21" s="65"/>
      <c r="D21" s="60"/>
      <c r="E21" s="60"/>
      <c r="I21" s="259" t="s">
        <v>219</v>
      </c>
      <c r="J21" s="280"/>
      <c r="K21" s="282" t="s">
        <v>217</v>
      </c>
      <c r="L21" s="283"/>
      <c r="M21" s="282" t="s">
        <v>218</v>
      </c>
      <c r="N21" s="283"/>
      <c r="R21" s="73" t="s">
        <v>189</v>
      </c>
      <c r="S21" s="74">
        <f>+S16-S8</f>
        <v>6883500</v>
      </c>
      <c r="T21" s="73" t="s">
        <v>201</v>
      </c>
    </row>
    <row r="22" spans="1:20" ht="15" x14ac:dyDescent="0.25">
      <c r="A22" s="70" t="s">
        <v>191</v>
      </c>
      <c r="B22" s="71">
        <f>+B19/B18</f>
        <v>5.3924794359576964</v>
      </c>
      <c r="I22" s="259"/>
      <c r="J22" s="281"/>
      <c r="K22" s="81" t="s">
        <v>215</v>
      </c>
      <c r="L22" s="81" t="s">
        <v>210</v>
      </c>
      <c r="M22" s="81" t="s">
        <v>215</v>
      </c>
      <c r="N22" s="81" t="s">
        <v>210</v>
      </c>
      <c r="O22" s="81" t="s">
        <v>216</v>
      </c>
      <c r="R22" s="54" t="s">
        <v>190</v>
      </c>
      <c r="S22" s="60">
        <f>+S21/3</f>
        <v>2294500</v>
      </c>
      <c r="T22" s="54" t="s">
        <v>201</v>
      </c>
    </row>
    <row r="23" spans="1:20" ht="15" x14ac:dyDescent="0.25">
      <c r="I23" s="259"/>
      <c r="J23" s="83" t="s">
        <v>206</v>
      </c>
      <c r="K23" s="78">
        <f>+S32</f>
        <v>4.08</v>
      </c>
      <c r="L23" s="79">
        <f>+$S$8</f>
        <v>1276500</v>
      </c>
      <c r="M23" s="78">
        <f>+K23*1.5</f>
        <v>6.12</v>
      </c>
      <c r="N23" s="79">
        <f>+L23+Maiz!$B$14*0.9+'Lista de Precios'!E13+'Lista de Precios'!$E$17+'Lista de Precios'!$E$20+'Lista de Precios'!$E$16</f>
        <v>5790099.2000000002</v>
      </c>
      <c r="O23" s="80">
        <f>1-L23/N23</f>
        <v>0.7795374559385787</v>
      </c>
    </row>
    <row r="24" spans="1:20" ht="15" x14ac:dyDescent="0.25">
      <c r="I24" s="259"/>
      <c r="J24" s="83" t="s">
        <v>207</v>
      </c>
      <c r="K24" s="78">
        <f>+S38</f>
        <v>8.16</v>
      </c>
      <c r="L24" s="79">
        <f t="shared" ref="L24:L26" si="0">+$S$8</f>
        <v>1276500</v>
      </c>
      <c r="M24" s="78">
        <f>+K24*1.5</f>
        <v>12.24</v>
      </c>
      <c r="N24" s="79">
        <f>+L24+$B$14*0.9+'Lista de Precios'!$E$17+'Lista de Precios'!$E$20+'Lista de Precios'!$E$16</f>
        <v>1773250</v>
      </c>
      <c r="O24" s="80">
        <f>1-L24/N24</f>
        <v>0.28013534470604817</v>
      </c>
      <c r="R24" s="65" t="s">
        <v>191</v>
      </c>
    </row>
    <row r="25" spans="1:20" ht="15" x14ac:dyDescent="0.25">
      <c r="I25" s="259"/>
      <c r="J25" s="83" t="s">
        <v>208</v>
      </c>
      <c r="K25" s="78">
        <f>+S38</f>
        <v>8.16</v>
      </c>
      <c r="L25" s="79">
        <f t="shared" si="0"/>
        <v>1276500</v>
      </c>
      <c r="M25" s="78">
        <f>+K25*1.5</f>
        <v>12.24</v>
      </c>
      <c r="N25" s="79">
        <f>+L25+$B$14*0.9+'Lista de Precios'!$E$17+'Lista de Precios'!$E$20+'Lista de Precios'!$E$16</f>
        <v>1773250</v>
      </c>
      <c r="O25" s="80">
        <f>1-L25/N25</f>
        <v>0.28013534470604817</v>
      </c>
      <c r="R25" s="54" t="s">
        <v>200</v>
      </c>
      <c r="S25" s="72">
        <f>+S19/S8</f>
        <v>2.1962397179788482</v>
      </c>
    </row>
    <row r="26" spans="1:20" ht="15" x14ac:dyDescent="0.25">
      <c r="I26" s="259"/>
      <c r="J26" s="83" t="s">
        <v>209</v>
      </c>
      <c r="K26" s="78">
        <f>+S32</f>
        <v>4.08</v>
      </c>
      <c r="L26" s="79">
        <f t="shared" si="0"/>
        <v>1276500</v>
      </c>
      <c r="M26" s="78">
        <f>+K26*1.5</f>
        <v>6.12</v>
      </c>
      <c r="N26" s="79">
        <f>+L26+$B$14*0.9+'Lista de Precios'!$E$17+'Lista de Precios'!$E$20+'Lista de Precios'!$E$16</f>
        <v>1773250</v>
      </c>
      <c r="O26" s="80">
        <f>1-L26/N26</f>
        <v>0.28013534470604817</v>
      </c>
      <c r="R26" s="54" t="s">
        <v>201</v>
      </c>
      <c r="S26" s="72">
        <f>+S21/S8</f>
        <v>5.3924794359576964</v>
      </c>
    </row>
    <row r="27" spans="1:20" x14ac:dyDescent="0.2">
      <c r="I27" s="259"/>
      <c r="J27" s="84" t="s">
        <v>211</v>
      </c>
      <c r="K27" s="78">
        <f>SUM(K23:K26)</f>
        <v>24.479999999999997</v>
      </c>
      <c r="L27" s="79">
        <f>SUM(L23:L26)</f>
        <v>5106000</v>
      </c>
      <c r="M27" s="78">
        <f>SUM(M23:M26)</f>
        <v>36.72</v>
      </c>
      <c r="N27" s="79">
        <f>SUM(N23:N26)</f>
        <v>11109849.199999999</v>
      </c>
      <c r="O27" s="80">
        <f>1-L27/N27</f>
        <v>0.54040780319502446</v>
      </c>
    </row>
    <row r="28" spans="1:20" ht="15" x14ac:dyDescent="0.25">
      <c r="I28" s="259"/>
      <c r="J28" s="84" t="s">
        <v>213</v>
      </c>
      <c r="K28" s="79">
        <f>+$K$27*1000*$B$6</f>
        <v>24479999.999999996</v>
      </c>
      <c r="L28" s="284"/>
      <c r="M28" s="79">
        <f>+$M$27*$B$6*1000</f>
        <v>36720000</v>
      </c>
      <c r="N28" s="285"/>
      <c r="O28" s="80">
        <f>1-K28/M28</f>
        <v>0.33333333333333348</v>
      </c>
      <c r="R28" s="261" t="s">
        <v>172</v>
      </c>
      <c r="S28" s="261"/>
      <c r="T28" s="261"/>
    </row>
    <row r="29" spans="1:20" ht="15" x14ac:dyDescent="0.25">
      <c r="I29" s="259"/>
      <c r="J29" s="84" t="s">
        <v>212</v>
      </c>
      <c r="K29" s="79">
        <f>+K28-L27</f>
        <v>19373999.999999996</v>
      </c>
      <c r="L29" s="280"/>
      <c r="M29" s="79">
        <f>+M28-N27</f>
        <v>25610150.800000001</v>
      </c>
      <c r="N29" s="286"/>
      <c r="O29" s="80">
        <f>1-K29/M29</f>
        <v>0.24350308784593355</v>
      </c>
      <c r="S29" s="65" t="s">
        <v>128</v>
      </c>
      <c r="T29" s="65" t="s">
        <v>205</v>
      </c>
    </row>
    <row r="30" spans="1:20" x14ac:dyDescent="0.2">
      <c r="I30" s="259"/>
      <c r="J30" s="84" t="s">
        <v>190</v>
      </c>
      <c r="K30" s="82">
        <f>+K29/12</f>
        <v>1614499.9999999998</v>
      </c>
      <c r="L30" s="280"/>
      <c r="M30" s="82">
        <f>+M29/12</f>
        <v>2134179.2333333334</v>
      </c>
      <c r="N30" s="286"/>
      <c r="R30" s="54" t="s">
        <v>203</v>
      </c>
      <c r="S30" s="60">
        <f>+S8</f>
        <v>1276500</v>
      </c>
      <c r="T30" s="54" t="s">
        <v>159</v>
      </c>
    </row>
    <row r="31" spans="1:20" ht="15" x14ac:dyDescent="0.25">
      <c r="L31" s="76"/>
      <c r="M31" s="85">
        <f>+M30-K30</f>
        <v>519679.23333333363</v>
      </c>
      <c r="R31" s="54" t="s">
        <v>168</v>
      </c>
      <c r="S31" s="60">
        <f>+S19</f>
        <v>2803500</v>
      </c>
      <c r="T31" s="54" t="s">
        <v>159</v>
      </c>
    </row>
    <row r="32" spans="1:20" ht="15" x14ac:dyDescent="0.25">
      <c r="L32" s="76"/>
      <c r="M32" s="279"/>
      <c r="R32" s="54" t="s">
        <v>195</v>
      </c>
      <c r="S32" s="75">
        <f>+S11/1000</f>
        <v>4.08</v>
      </c>
      <c r="T32" s="54" t="s">
        <v>204</v>
      </c>
    </row>
    <row r="33" spans="9:20" ht="15" x14ac:dyDescent="0.25">
      <c r="J33" s="261" t="s">
        <v>454</v>
      </c>
      <c r="K33" s="261"/>
      <c r="L33" s="261"/>
      <c r="M33" s="261"/>
      <c r="N33" s="261"/>
      <c r="O33" s="261"/>
    </row>
    <row r="34" spans="9:20" ht="15" x14ac:dyDescent="0.25">
      <c r="I34" s="259" t="s">
        <v>220</v>
      </c>
      <c r="J34" s="260"/>
      <c r="K34" s="262" t="s">
        <v>217</v>
      </c>
      <c r="L34" s="262"/>
      <c r="M34" s="262" t="s">
        <v>218</v>
      </c>
      <c r="N34" s="262"/>
      <c r="R34" s="251" t="s">
        <v>176</v>
      </c>
      <c r="S34" s="251"/>
      <c r="T34" s="251"/>
    </row>
    <row r="35" spans="9:20" ht="15" x14ac:dyDescent="0.25">
      <c r="I35" s="259"/>
      <c r="J35" s="260"/>
      <c r="K35" s="81" t="s">
        <v>215</v>
      </c>
      <c r="L35" s="81" t="s">
        <v>210</v>
      </c>
      <c r="M35" s="81" t="s">
        <v>215</v>
      </c>
      <c r="N35" s="81" t="s">
        <v>210</v>
      </c>
      <c r="O35" s="81" t="s">
        <v>216</v>
      </c>
      <c r="S35" s="65" t="s">
        <v>128</v>
      </c>
      <c r="T35" s="65" t="s">
        <v>205</v>
      </c>
    </row>
    <row r="36" spans="9:20" ht="15" x14ac:dyDescent="0.25">
      <c r="I36" s="259"/>
      <c r="J36" s="83" t="s">
        <v>206</v>
      </c>
      <c r="K36" s="78">
        <v>4.08</v>
      </c>
      <c r="L36" s="79">
        <f>+$S$8</f>
        <v>1276500</v>
      </c>
      <c r="M36" s="78">
        <f>+K36*1.5</f>
        <v>6.12</v>
      </c>
      <c r="N36" s="79">
        <f>+L36+$B$14*0.9+'Lista de Precios'!$E$17+'Lista de Precios'!$E$20+'Lista de Precios'!$E$16</f>
        <v>1773250</v>
      </c>
      <c r="O36" s="80">
        <f>1-L36/N36</f>
        <v>0.28013534470604817</v>
      </c>
      <c r="P36" s="252"/>
      <c r="R36" s="54" t="s">
        <v>203</v>
      </c>
      <c r="S36" s="60">
        <f>+S8</f>
        <v>1276500</v>
      </c>
      <c r="T36" s="54" t="s">
        <v>159</v>
      </c>
    </row>
    <row r="37" spans="9:20" ht="15" x14ac:dyDescent="0.25">
      <c r="I37" s="259"/>
      <c r="J37" s="83" t="s">
        <v>207</v>
      </c>
      <c r="K37" s="78">
        <v>8.16</v>
      </c>
      <c r="L37" s="79">
        <f t="shared" ref="L37:L39" si="1">+$S$8</f>
        <v>1276500</v>
      </c>
      <c r="M37" s="78">
        <f>+K37*1.5</f>
        <v>12.24</v>
      </c>
      <c r="N37" s="79">
        <f>+L37+$B$14*0.9+'Lista de Precios'!$E$17+'Lista de Precios'!$E$20+'Lista de Precios'!$E$16</f>
        <v>1773250</v>
      </c>
      <c r="O37" s="80">
        <f t="shared" ref="O37:O40" si="2">1-L37/N37</f>
        <v>0.28013534470604817</v>
      </c>
      <c r="P37" s="252"/>
      <c r="R37" s="54" t="s">
        <v>168</v>
      </c>
      <c r="S37" s="60">
        <f>+S21</f>
        <v>6883500</v>
      </c>
      <c r="T37" s="54" t="s">
        <v>159</v>
      </c>
    </row>
    <row r="38" spans="9:20" ht="15" x14ac:dyDescent="0.25">
      <c r="I38" s="259"/>
      <c r="J38" s="83" t="s">
        <v>208</v>
      </c>
      <c r="K38" s="78">
        <v>8.16</v>
      </c>
      <c r="L38" s="79">
        <f t="shared" si="1"/>
        <v>1276500</v>
      </c>
      <c r="M38" s="78">
        <f>+K38*1.5</f>
        <v>12.24</v>
      </c>
      <c r="N38" s="79">
        <f>+L38+$B$14*0.9+'Lista de Precios'!$E$17+'Lista de Precios'!$E$20+'Lista de Precios'!$E$16</f>
        <v>1773250</v>
      </c>
      <c r="O38" s="80">
        <f t="shared" si="2"/>
        <v>0.28013534470604817</v>
      </c>
      <c r="P38" s="252"/>
      <c r="R38" s="54" t="s">
        <v>195</v>
      </c>
      <c r="S38" s="75">
        <f>+S12/1000</f>
        <v>8.16</v>
      </c>
      <c r="T38" s="54" t="s">
        <v>204</v>
      </c>
    </row>
    <row r="39" spans="9:20" ht="15" x14ac:dyDescent="0.25">
      <c r="I39" s="259"/>
      <c r="J39" s="83" t="s">
        <v>209</v>
      </c>
      <c r="K39" s="78">
        <v>4.08</v>
      </c>
      <c r="L39" s="79">
        <f t="shared" si="1"/>
        <v>1276500</v>
      </c>
      <c r="M39" s="78">
        <f>+K39*1.5</f>
        <v>6.12</v>
      </c>
      <c r="N39" s="79">
        <f>+L39+$B$14*0.9+'Lista de Precios'!$E$17+'Lista de Precios'!$E$20+'Lista de Precios'!$E$16</f>
        <v>1773250</v>
      </c>
      <c r="O39" s="80">
        <f t="shared" si="2"/>
        <v>0.28013534470604817</v>
      </c>
      <c r="P39" s="252"/>
    </row>
    <row r="40" spans="9:20" x14ac:dyDescent="0.2">
      <c r="I40" s="259"/>
      <c r="J40" s="84" t="s">
        <v>211</v>
      </c>
      <c r="K40" s="78">
        <f>SUM(K36:K39)</f>
        <v>24.479999999999997</v>
      </c>
      <c r="L40" s="79">
        <f>SUM(L36:L39)</f>
        <v>5106000</v>
      </c>
      <c r="M40" s="78">
        <f>SUM(M36:M39)</f>
        <v>36.72</v>
      </c>
      <c r="N40" s="79">
        <f>SUM(N36:N39)</f>
        <v>7093000</v>
      </c>
      <c r="O40" s="80">
        <f t="shared" si="2"/>
        <v>0.28013534470604817</v>
      </c>
      <c r="P40" s="252"/>
    </row>
    <row r="41" spans="9:20" x14ac:dyDescent="0.2">
      <c r="I41" s="259"/>
      <c r="J41" s="84" t="s">
        <v>213</v>
      </c>
      <c r="K41" s="79">
        <f>+$K$27*1000*$B$6</f>
        <v>24479999.999999996</v>
      </c>
      <c r="M41" s="79">
        <f>+$M$27*$B$6*1000</f>
        <v>36720000</v>
      </c>
      <c r="O41" s="80">
        <f>1-K41/M41</f>
        <v>0.33333333333333348</v>
      </c>
    </row>
    <row r="42" spans="9:20" x14ac:dyDescent="0.2">
      <c r="I42" s="259"/>
      <c r="J42" s="84" t="s">
        <v>212</v>
      </c>
      <c r="K42" s="79">
        <f>+K41-L40</f>
        <v>19373999.999999996</v>
      </c>
      <c r="M42" s="79">
        <f>+M41-N40</f>
        <v>29627000</v>
      </c>
      <c r="O42" s="80">
        <f>1-K42/M42</f>
        <v>0.34606946366490043</v>
      </c>
    </row>
    <row r="43" spans="9:20" x14ac:dyDescent="0.2">
      <c r="I43" s="259"/>
      <c r="J43" s="84" t="s">
        <v>190</v>
      </c>
      <c r="K43" s="82">
        <f>+K42/12</f>
        <v>1614499.9999999998</v>
      </c>
      <c r="M43" s="82">
        <f>+M42/12</f>
        <v>2468916.6666666665</v>
      </c>
      <c r="N43" s="72"/>
    </row>
    <row r="44" spans="9:20" ht="15" x14ac:dyDescent="0.25">
      <c r="L44" s="76"/>
      <c r="M44" s="85">
        <f>+M43-K43</f>
        <v>854416.66666666674</v>
      </c>
    </row>
  </sheetData>
  <mergeCells count="13">
    <mergeCell ref="J20:O20"/>
    <mergeCell ref="J33:O33"/>
    <mergeCell ref="L28:L30"/>
    <mergeCell ref="N28:N30"/>
    <mergeCell ref="I21:I30"/>
    <mergeCell ref="I34:I43"/>
    <mergeCell ref="J34:J35"/>
    <mergeCell ref="R28:T28"/>
    <mergeCell ref="K21:L21"/>
    <mergeCell ref="M21:N21"/>
    <mergeCell ref="J21:J22"/>
    <mergeCell ref="K34:L34"/>
    <mergeCell ref="M34:N34"/>
  </mergeCells>
  <phoneticPr fontId="40" type="noConversion"/>
  <pageMargins left="0.7" right="0.7" top="0.75" bottom="0.75" header="0.3" footer="0.3"/>
  <pageSetup orientation="portrait" r:id="rId1"/>
  <ignoredErrors>
    <ignoredError sqref="S21" formula="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C9A80-CDF5-4795-863B-A8F82DE14159}">
  <dimension ref="A1:BJ275"/>
  <sheetViews>
    <sheetView showGridLines="0" topLeftCell="A168" zoomScale="80" zoomScaleNormal="80" workbookViewId="0">
      <selection activeCell="S178" sqref="S178"/>
    </sheetView>
  </sheetViews>
  <sheetFormatPr baseColWidth="10" defaultColWidth="11.42578125" defaultRowHeight="14.25" x14ac:dyDescent="0.2"/>
  <cols>
    <col min="1" max="1" width="54.28515625" style="86" bestFit="1" customWidth="1"/>
    <col min="2" max="2" width="15.7109375" style="86" customWidth="1"/>
    <col min="3" max="3" width="15.85546875" style="86" customWidth="1"/>
    <col min="4" max="6" width="15.7109375" style="86" customWidth="1"/>
    <col min="7" max="7" width="15" style="86" bestFit="1" customWidth="1"/>
    <col min="8" max="8" width="20" style="86" bestFit="1" customWidth="1"/>
    <col min="9" max="9" width="16.85546875" style="86" bestFit="1" customWidth="1"/>
    <col min="10" max="33" width="15.5703125" style="86" bestFit="1" customWidth="1"/>
    <col min="34" max="35" width="16.85546875" style="86" bestFit="1" customWidth="1"/>
    <col min="36" max="37" width="15.5703125" style="86" bestFit="1" customWidth="1"/>
    <col min="38" max="61" width="16.85546875" style="86" bestFit="1" customWidth="1"/>
    <col min="62" max="62" width="15" style="86" bestFit="1" customWidth="1"/>
    <col min="63" max="16384" width="11.42578125" style="86"/>
  </cols>
  <sheetData>
    <row r="1" spans="1:14" x14ac:dyDescent="0.2">
      <c r="A1" s="276" t="s">
        <v>415</v>
      </c>
      <c r="B1" s="276"/>
      <c r="C1" s="276"/>
      <c r="D1" s="276"/>
      <c r="E1" s="276"/>
      <c r="F1" s="276"/>
      <c r="G1" s="276"/>
      <c r="H1" s="276"/>
    </row>
    <row r="3" spans="1:14" x14ac:dyDescent="0.2">
      <c r="A3" s="264" t="s">
        <v>221</v>
      </c>
      <c r="B3" s="264"/>
      <c r="C3" s="264"/>
      <c r="D3" s="264"/>
      <c r="E3" s="264"/>
    </row>
    <row r="4" spans="1:14" x14ac:dyDescent="0.2">
      <c r="A4" s="179" t="s">
        <v>222</v>
      </c>
      <c r="B4" s="180">
        <v>7.0000000000000007E-2</v>
      </c>
    </row>
    <row r="5" spans="1:14" x14ac:dyDescent="0.2">
      <c r="A5" s="179" t="s">
        <v>223</v>
      </c>
      <c r="B5" s="180">
        <v>0.08</v>
      </c>
    </row>
    <row r="6" spans="1:14" x14ac:dyDescent="0.2">
      <c r="A6" s="179" t="s">
        <v>224</v>
      </c>
      <c r="B6" s="180">
        <v>0.35</v>
      </c>
    </row>
    <row r="7" spans="1:14" x14ac:dyDescent="0.2">
      <c r="A7" s="179" t="s">
        <v>427</v>
      </c>
      <c r="B7" s="180">
        <v>0.15</v>
      </c>
    </row>
    <row r="8" spans="1:14" x14ac:dyDescent="0.2">
      <c r="A8" s="179" t="s">
        <v>426</v>
      </c>
      <c r="B8" s="194">
        <v>2024</v>
      </c>
    </row>
    <row r="9" spans="1:14" x14ac:dyDescent="0.2">
      <c r="A9" s="179" t="s">
        <v>225</v>
      </c>
      <c r="B9" s="173">
        <v>48</v>
      </c>
      <c r="C9" s="87" t="s">
        <v>226</v>
      </c>
      <c r="D9" s="167">
        <v>6.5000000000000002E-2</v>
      </c>
    </row>
    <row r="10" spans="1:14" x14ac:dyDescent="0.2">
      <c r="A10" s="182" t="s">
        <v>227</v>
      </c>
      <c r="B10" s="174">
        <v>5000000</v>
      </c>
      <c r="C10" s="174">
        <v>5200000</v>
      </c>
      <c r="D10" s="168"/>
    </row>
    <row r="11" spans="1:14" x14ac:dyDescent="0.2">
      <c r="A11" s="183" t="s">
        <v>428</v>
      </c>
      <c r="B11" s="184">
        <v>0.7</v>
      </c>
    </row>
    <row r="12" spans="1:14" x14ac:dyDescent="0.2">
      <c r="A12" s="183" t="s">
        <v>228</v>
      </c>
      <c r="B12" s="184">
        <v>0.55000000000000004</v>
      </c>
    </row>
    <row r="13" spans="1:14" x14ac:dyDescent="0.2">
      <c r="A13" s="185" t="s">
        <v>229</v>
      </c>
      <c r="B13" s="186">
        <f>+B14+B15+B16</f>
        <v>500000</v>
      </c>
      <c r="N13" s="86">
        <f>10*12</f>
        <v>120</v>
      </c>
    </row>
    <row r="14" spans="1:14" x14ac:dyDescent="0.2">
      <c r="A14" s="187" t="s">
        <v>230</v>
      </c>
      <c r="B14" s="170">
        <f>+'Lista de Precios'!E14</f>
        <v>300000</v>
      </c>
    </row>
    <row r="15" spans="1:14" x14ac:dyDescent="0.2">
      <c r="A15" s="187" t="s">
        <v>231</v>
      </c>
      <c r="B15" s="170">
        <v>150000</v>
      </c>
    </row>
    <row r="16" spans="1:14" x14ac:dyDescent="0.2">
      <c r="A16" s="187" t="s">
        <v>232</v>
      </c>
      <c r="B16" s="170">
        <v>50000</v>
      </c>
    </row>
    <row r="17" spans="1:6" x14ac:dyDescent="0.2">
      <c r="A17" s="188" t="s">
        <v>233</v>
      </c>
      <c r="B17" s="171">
        <f>+GastosAdministrativos2125[[#Totals],[CANTIDAD]]*12</f>
        <v>100800000</v>
      </c>
    </row>
    <row r="18" spans="1:6" x14ac:dyDescent="0.2">
      <c r="A18" s="188" t="s">
        <v>234</v>
      </c>
      <c r="B18" s="171">
        <f>+GastosAdministrativos212526[[#Totals],[CANTIDAD]]*12</f>
        <v>50400000</v>
      </c>
      <c r="C18" s="102"/>
    </row>
    <row r="19" spans="1:6" x14ac:dyDescent="0.2">
      <c r="A19" s="189" t="s">
        <v>235</v>
      </c>
      <c r="B19" s="172">
        <v>10000000</v>
      </c>
      <c r="C19" s="169" t="s">
        <v>236</v>
      </c>
      <c r="D19" s="169">
        <v>5</v>
      </c>
      <c r="E19" s="169" t="s">
        <v>240</v>
      </c>
      <c r="F19" s="169" t="s">
        <v>238</v>
      </c>
    </row>
    <row r="20" spans="1:6" x14ac:dyDescent="0.2">
      <c r="A20" s="189" t="s">
        <v>239</v>
      </c>
      <c r="B20" s="172">
        <v>5000000</v>
      </c>
      <c r="C20" s="169" t="s">
        <v>236</v>
      </c>
      <c r="D20" s="169">
        <v>5</v>
      </c>
      <c r="E20" s="169" t="s">
        <v>240</v>
      </c>
      <c r="F20" s="169" t="s">
        <v>241</v>
      </c>
    </row>
    <row r="21" spans="1:6" x14ac:dyDescent="0.2">
      <c r="A21" s="195" t="s">
        <v>242</v>
      </c>
      <c r="B21" s="196">
        <v>10000000</v>
      </c>
    </row>
    <row r="22" spans="1:6" x14ac:dyDescent="0.2">
      <c r="A22" s="195" t="s">
        <v>243</v>
      </c>
      <c r="B22" s="196">
        <v>15000000</v>
      </c>
    </row>
    <row r="23" spans="1:6" x14ac:dyDescent="0.2">
      <c r="A23" s="195" t="s">
        <v>244</v>
      </c>
      <c r="B23" s="196">
        <v>20000000</v>
      </c>
    </row>
    <row r="24" spans="1:6" x14ac:dyDescent="0.2">
      <c r="A24" s="195" t="s">
        <v>245</v>
      </c>
      <c r="B24" s="196">
        <v>15000000</v>
      </c>
    </row>
    <row r="25" spans="1:6" x14ac:dyDescent="0.2">
      <c r="A25" s="190" t="s">
        <v>246</v>
      </c>
      <c r="B25" s="175">
        <v>0.6</v>
      </c>
    </row>
    <row r="26" spans="1:6" x14ac:dyDescent="0.2">
      <c r="A26" s="190" t="s">
        <v>247</v>
      </c>
      <c r="B26" s="175">
        <v>0.4</v>
      </c>
    </row>
    <row r="27" spans="1:6" x14ac:dyDescent="0.2">
      <c r="A27" s="190" t="s">
        <v>429</v>
      </c>
      <c r="B27" s="190">
        <v>60</v>
      </c>
      <c r="C27" s="86" t="s">
        <v>248</v>
      </c>
    </row>
    <row r="28" spans="1:6" x14ac:dyDescent="0.2">
      <c r="A28" s="191" t="s">
        <v>249</v>
      </c>
      <c r="B28" s="176">
        <v>30000000</v>
      </c>
    </row>
    <row r="29" spans="1:6" x14ac:dyDescent="0.2">
      <c r="A29" s="197" t="s">
        <v>250</v>
      </c>
      <c r="B29" s="192">
        <v>5</v>
      </c>
    </row>
    <row r="30" spans="1:6" x14ac:dyDescent="0.2">
      <c r="A30" s="197" t="s">
        <v>251</v>
      </c>
      <c r="B30" s="192">
        <v>12</v>
      </c>
    </row>
    <row r="31" spans="1:6" x14ac:dyDescent="0.2">
      <c r="A31" s="197" t="s">
        <v>430</v>
      </c>
      <c r="B31" s="193">
        <v>0.14000000000000001</v>
      </c>
      <c r="C31" s="86" t="s">
        <v>253</v>
      </c>
    </row>
    <row r="34" spans="1:5" x14ac:dyDescent="0.2">
      <c r="A34" s="277" t="s">
        <v>254</v>
      </c>
      <c r="B34" s="277"/>
      <c r="C34" s="277"/>
    </row>
    <row r="35" spans="1:5" x14ac:dyDescent="0.2">
      <c r="A35" s="277" t="s">
        <v>255</v>
      </c>
      <c r="B35" s="277"/>
      <c r="C35" s="277"/>
    </row>
    <row r="37" spans="1:5" x14ac:dyDescent="0.2">
      <c r="A37" s="264" t="s">
        <v>424</v>
      </c>
      <c r="B37" s="264"/>
      <c r="C37" s="264"/>
      <c r="D37" s="264"/>
    </row>
    <row r="39" spans="1:5" x14ac:dyDescent="0.2">
      <c r="A39" s="275" t="s">
        <v>256</v>
      </c>
      <c r="B39" s="275"/>
      <c r="C39" s="275" t="s">
        <v>257</v>
      </c>
      <c r="D39" s="275"/>
      <c r="E39" s="200" t="s">
        <v>258</v>
      </c>
    </row>
    <row r="40" spans="1:5" x14ac:dyDescent="0.2">
      <c r="A40" s="201" t="s">
        <v>259</v>
      </c>
      <c r="B40" s="202">
        <f>+B21+B22+B23+B24</f>
        <v>60000000</v>
      </c>
      <c r="C40" s="179" t="s">
        <v>260</v>
      </c>
      <c r="D40" s="203">
        <f>+B28</f>
        <v>30000000</v>
      </c>
      <c r="E40" s="198">
        <f>+D40/$D$44</f>
        <v>0.4</v>
      </c>
    </row>
    <row r="41" spans="1:5" x14ac:dyDescent="0.2">
      <c r="A41" s="204" t="s">
        <v>261</v>
      </c>
      <c r="B41" s="205">
        <f>+B40</f>
        <v>60000000</v>
      </c>
      <c r="C41" s="204" t="s">
        <v>262</v>
      </c>
      <c r="D41" s="206">
        <f>+D40</f>
        <v>30000000</v>
      </c>
      <c r="E41" s="198">
        <f t="shared" ref="E41:E44" si="0">+D41/$D$44</f>
        <v>0.4</v>
      </c>
    </row>
    <row r="42" spans="1:5" x14ac:dyDescent="0.2">
      <c r="A42" s="179" t="s">
        <v>263</v>
      </c>
      <c r="B42" s="203">
        <f>+B19+B20</f>
        <v>15000000</v>
      </c>
      <c r="C42" s="179" t="s">
        <v>425</v>
      </c>
      <c r="D42" s="203">
        <f>+B44-D41</f>
        <v>45000000</v>
      </c>
      <c r="E42" s="198">
        <f t="shared" si="0"/>
        <v>0.6</v>
      </c>
    </row>
    <row r="43" spans="1:5" x14ac:dyDescent="0.2">
      <c r="A43" s="204" t="s">
        <v>264</v>
      </c>
      <c r="B43" s="205">
        <f>+B42</f>
        <v>15000000</v>
      </c>
      <c r="C43" s="204" t="s">
        <v>265</v>
      </c>
      <c r="D43" s="205">
        <f>+D42</f>
        <v>45000000</v>
      </c>
      <c r="E43" s="198">
        <f t="shared" si="0"/>
        <v>0.6</v>
      </c>
    </row>
    <row r="44" spans="1:5" x14ac:dyDescent="0.2">
      <c r="A44" s="199" t="s">
        <v>266</v>
      </c>
      <c r="B44" s="207">
        <f>+B41+B43</f>
        <v>75000000</v>
      </c>
      <c r="C44" s="208" t="s">
        <v>267</v>
      </c>
      <c r="D44" s="207">
        <f>+D41+D43</f>
        <v>75000000</v>
      </c>
      <c r="E44" s="198">
        <f t="shared" si="0"/>
        <v>1</v>
      </c>
    </row>
    <row r="45" spans="1:5" x14ac:dyDescent="0.2">
      <c r="A45" s="181"/>
      <c r="B45" s="181"/>
      <c r="C45" s="209" t="s">
        <v>268</v>
      </c>
      <c r="D45" s="210">
        <f>+B44-D44</f>
        <v>0</v>
      </c>
      <c r="E45" s="181"/>
    </row>
    <row r="46" spans="1:5" x14ac:dyDescent="0.2">
      <c r="A46" s="101" t="s">
        <v>269</v>
      </c>
      <c r="B46" s="86" t="s">
        <v>270</v>
      </c>
      <c r="C46" s="86" t="s">
        <v>271</v>
      </c>
      <c r="D46" s="86" t="s">
        <v>272</v>
      </c>
    </row>
    <row r="51" spans="1:5" x14ac:dyDescent="0.2">
      <c r="A51" s="102">
        <f>+D42</f>
        <v>45000000</v>
      </c>
    </row>
    <row r="53" spans="1:5" x14ac:dyDescent="0.2">
      <c r="A53" s="264" t="s">
        <v>273</v>
      </c>
      <c r="B53" s="264"/>
      <c r="C53" s="264"/>
      <c r="D53" s="264"/>
    </row>
    <row r="55" spans="1:5" x14ac:dyDescent="0.2">
      <c r="A55" s="88" t="s">
        <v>227</v>
      </c>
      <c r="B55" s="89">
        <f>+B10</f>
        <v>5000000</v>
      </c>
      <c r="C55" s="89">
        <f>+C10</f>
        <v>5200000</v>
      </c>
    </row>
    <row r="56" spans="1:5" x14ac:dyDescent="0.2">
      <c r="A56" s="90" t="s">
        <v>428</v>
      </c>
      <c r="B56" s="103">
        <f>+B11</f>
        <v>0.7</v>
      </c>
    </row>
    <row r="57" spans="1:5" x14ac:dyDescent="0.2">
      <c r="A57" s="90" t="s">
        <v>228</v>
      </c>
      <c r="B57" s="103">
        <f>+B12</f>
        <v>0.55000000000000004</v>
      </c>
      <c r="C57" s="104"/>
      <c r="E57" s="105" t="s">
        <v>274</v>
      </c>
    </row>
    <row r="58" spans="1:5" x14ac:dyDescent="0.2">
      <c r="A58" s="91" t="s">
        <v>229</v>
      </c>
      <c r="B58" s="89">
        <f>+B13</f>
        <v>500000</v>
      </c>
    </row>
    <row r="59" spans="1:5" x14ac:dyDescent="0.2">
      <c r="A59" s="106" t="s">
        <v>275</v>
      </c>
      <c r="B59" s="107">
        <f>+B58*(1+B56)</f>
        <v>850000</v>
      </c>
      <c r="C59" s="177" t="s">
        <v>276</v>
      </c>
      <c r="E59" s="105" t="s">
        <v>277</v>
      </c>
    </row>
    <row r="60" spans="1:5" x14ac:dyDescent="0.2">
      <c r="A60" s="87" t="s">
        <v>278</v>
      </c>
      <c r="B60" s="108">
        <f>+B58/(1-B57)</f>
        <v>1111111.1111111112</v>
      </c>
      <c r="C60" s="177" t="s">
        <v>279</v>
      </c>
    </row>
    <row r="61" spans="1:5" x14ac:dyDescent="0.2">
      <c r="A61" s="109" t="s">
        <v>280</v>
      </c>
      <c r="B61" s="110">
        <f>+B59-B58</f>
        <v>350000</v>
      </c>
    </row>
    <row r="62" spans="1:5" x14ac:dyDescent="0.2">
      <c r="A62" s="109" t="s">
        <v>281</v>
      </c>
      <c r="B62" s="111">
        <f>+B61/B59</f>
        <v>0.41176470588235292</v>
      </c>
    </row>
    <row r="63" spans="1:5" x14ac:dyDescent="0.2">
      <c r="A63" s="112" t="s">
        <v>282</v>
      </c>
      <c r="B63" s="113">
        <v>6.2E-2</v>
      </c>
    </row>
    <row r="65" spans="1:8" x14ac:dyDescent="0.2">
      <c r="A65" s="264" t="s">
        <v>283</v>
      </c>
      <c r="B65" s="264"/>
      <c r="C65" s="264"/>
      <c r="D65" s="264"/>
    </row>
    <row r="67" spans="1:8" x14ac:dyDescent="0.2">
      <c r="A67" s="114" t="s">
        <v>237</v>
      </c>
      <c r="B67" s="114">
        <v>2024</v>
      </c>
      <c r="C67" s="114">
        <v>2025</v>
      </c>
      <c r="D67" s="114">
        <v>2026</v>
      </c>
      <c r="E67" s="114">
        <v>2027</v>
      </c>
      <c r="F67" s="114">
        <v>2028</v>
      </c>
      <c r="G67" s="114">
        <v>2029</v>
      </c>
    </row>
    <row r="68" spans="1:8" x14ac:dyDescent="0.2">
      <c r="A68" s="87" t="s">
        <v>284</v>
      </c>
      <c r="B68" s="108">
        <f>+B9/2</f>
        <v>24</v>
      </c>
      <c r="C68" s="108">
        <f>+B9*(1+D9)</f>
        <v>51.12</v>
      </c>
      <c r="D68" s="108">
        <f>+C68*(1+$D$9)</f>
        <v>54.442799999999991</v>
      </c>
      <c r="E68" s="108">
        <f t="shared" ref="E68:G68" si="1">+D68*(1+$D$9)</f>
        <v>57.981581999999989</v>
      </c>
      <c r="F68" s="108">
        <f t="shared" si="1"/>
        <v>61.750384829999987</v>
      </c>
      <c r="G68" s="108">
        <f t="shared" si="1"/>
        <v>65.764159843949983</v>
      </c>
    </row>
    <row r="69" spans="1:8" x14ac:dyDescent="0.2">
      <c r="A69" s="87" t="s">
        <v>285</v>
      </c>
      <c r="B69" s="108">
        <f>+'Lista de Precios'!E13+'Lista de Precios'!E16+'Lista de Precios'!E18+'Lista de Precios'!E20</f>
        <v>4256849.2</v>
      </c>
      <c r="C69" s="108">
        <f>+B69*(1+$B$63)</f>
        <v>4520773.8504000008</v>
      </c>
      <c r="D69" s="108">
        <f>+C69*(1+$B$63)</f>
        <v>4801061.8291248009</v>
      </c>
      <c r="E69" s="108">
        <f t="shared" ref="E69:G69" si="2">+D69*(1+$B$63)</f>
        <v>5098727.6625305386</v>
      </c>
      <c r="F69" s="108">
        <f t="shared" si="2"/>
        <v>5414848.7776074326</v>
      </c>
      <c r="G69" s="108">
        <f t="shared" si="2"/>
        <v>5750569.4018190941</v>
      </c>
    </row>
    <row r="70" spans="1:8" x14ac:dyDescent="0.2">
      <c r="A70" s="91" t="s">
        <v>229</v>
      </c>
      <c r="B70" s="115">
        <f>+B71+B72+B73</f>
        <v>500000</v>
      </c>
      <c r="C70" s="115">
        <f t="shared" ref="C70:F70" si="3">+C71+C72+C73</f>
        <v>538000</v>
      </c>
      <c r="D70" s="115">
        <f t="shared" si="3"/>
        <v>578900</v>
      </c>
      <c r="E70" s="115">
        <f t="shared" si="3"/>
        <v>622922.20000000007</v>
      </c>
      <c r="F70" s="115">
        <f t="shared" si="3"/>
        <v>670305.89000000013</v>
      </c>
      <c r="G70" s="115">
        <f t="shared" ref="G70" si="4">+G71+G72+G73</f>
        <v>721308.76918000018</v>
      </c>
    </row>
    <row r="71" spans="1:8" x14ac:dyDescent="0.2">
      <c r="A71" s="92" t="s">
        <v>230</v>
      </c>
      <c r="B71" s="93">
        <f>+B14</f>
        <v>300000</v>
      </c>
      <c r="C71" s="93">
        <f>+B71*(1+$B$5)</f>
        <v>324000</v>
      </c>
      <c r="D71" s="93">
        <f>+C71*(1+$B$5)</f>
        <v>349920</v>
      </c>
      <c r="E71" s="93">
        <f t="shared" ref="E71:G71" si="5">+D71*(1+$B$5)</f>
        <v>377913.60000000003</v>
      </c>
      <c r="F71" s="93">
        <f t="shared" si="5"/>
        <v>408146.68800000008</v>
      </c>
      <c r="G71" s="93">
        <f t="shared" si="5"/>
        <v>440798.42304000014</v>
      </c>
    </row>
    <row r="72" spans="1:8" x14ac:dyDescent="0.2">
      <c r="A72" s="92" t="s">
        <v>231</v>
      </c>
      <c r="B72" s="93">
        <f>+B15</f>
        <v>150000</v>
      </c>
      <c r="C72" s="93">
        <f>+B72*(1+$B$4)</f>
        <v>160500</v>
      </c>
      <c r="D72" s="93">
        <f>+C72*(1+$B$4)</f>
        <v>171735</v>
      </c>
      <c r="E72" s="93">
        <f t="shared" ref="E72:G73" si="6">+D72*(1+$B$4)</f>
        <v>183756.45</v>
      </c>
      <c r="F72" s="93">
        <f t="shared" si="6"/>
        <v>196619.40150000004</v>
      </c>
      <c r="G72" s="93">
        <f t="shared" si="6"/>
        <v>210382.75960500006</v>
      </c>
    </row>
    <row r="73" spans="1:8" x14ac:dyDescent="0.2">
      <c r="A73" s="92" t="s">
        <v>232</v>
      </c>
      <c r="B73" s="93">
        <f>+B16</f>
        <v>50000</v>
      </c>
      <c r="C73" s="93">
        <f>+B73*(1+$B$4)</f>
        <v>53500</v>
      </c>
      <c r="D73" s="93">
        <f>+C73*(1+$B$4)</f>
        <v>57245</v>
      </c>
      <c r="E73" s="93">
        <f t="shared" si="6"/>
        <v>61252.15</v>
      </c>
      <c r="F73" s="93">
        <f t="shared" si="6"/>
        <v>65539.800500000012</v>
      </c>
      <c r="G73" s="93">
        <f t="shared" si="6"/>
        <v>70127.586535000024</v>
      </c>
    </row>
    <row r="74" spans="1:8" x14ac:dyDescent="0.2">
      <c r="A74" s="116" t="s">
        <v>233</v>
      </c>
      <c r="B74" s="108">
        <f>+B17/2</f>
        <v>50400000</v>
      </c>
      <c r="C74" s="108">
        <f>+B17*(1+B5)</f>
        <v>108864000</v>
      </c>
      <c r="D74" s="108">
        <f>+C74*(1+$B$5)</f>
        <v>117573120.00000001</v>
      </c>
      <c r="E74" s="108">
        <f t="shared" ref="E74:G75" si="7">+D74*(1+$B$5)</f>
        <v>126978969.60000002</v>
      </c>
      <c r="F74" s="108">
        <f t="shared" si="7"/>
        <v>137137287.16800004</v>
      </c>
      <c r="G74" s="108">
        <f t="shared" si="7"/>
        <v>148108270.14144006</v>
      </c>
    </row>
    <row r="75" spans="1:8" x14ac:dyDescent="0.2">
      <c r="A75" s="117" t="s">
        <v>234</v>
      </c>
      <c r="B75" s="118">
        <f>+B18/2</f>
        <v>25200000</v>
      </c>
      <c r="C75" s="118">
        <f>+B18*(1+B5)</f>
        <v>54432000</v>
      </c>
      <c r="D75" s="118">
        <f>+C75*(1+$B$5)</f>
        <v>58786560.000000007</v>
      </c>
      <c r="E75" s="118">
        <f t="shared" si="7"/>
        <v>63489484.800000012</v>
      </c>
      <c r="F75" s="118">
        <f t="shared" si="7"/>
        <v>68568643.584000021</v>
      </c>
      <c r="G75" s="108">
        <f t="shared" si="7"/>
        <v>74054135.070720032</v>
      </c>
    </row>
    <row r="76" spans="1:8" x14ac:dyDescent="0.2">
      <c r="A76" s="119" t="s">
        <v>286</v>
      </c>
      <c r="B76" s="119">
        <v>6</v>
      </c>
      <c r="C76" s="119">
        <v>5</v>
      </c>
      <c r="D76" s="119">
        <v>4</v>
      </c>
      <c r="E76" s="119">
        <v>3</v>
      </c>
      <c r="F76" s="119">
        <v>2</v>
      </c>
      <c r="G76" s="119">
        <v>1</v>
      </c>
      <c r="H76" s="120">
        <f>SUM(B76:G76)</f>
        <v>21</v>
      </c>
    </row>
    <row r="77" spans="1:8" x14ac:dyDescent="0.2">
      <c r="A77" s="87" t="s">
        <v>287</v>
      </c>
      <c r="B77" s="108">
        <f t="shared" ref="B77:G77" si="8">+$B$19*B76/$H$76</f>
        <v>2857142.8571428573</v>
      </c>
      <c r="C77" s="108">
        <f t="shared" si="8"/>
        <v>2380952.3809523811</v>
      </c>
      <c r="D77" s="108">
        <f t="shared" si="8"/>
        <v>1904761.9047619049</v>
      </c>
      <c r="E77" s="108">
        <f t="shared" si="8"/>
        <v>1428571.4285714286</v>
      </c>
      <c r="F77" s="108">
        <f t="shared" si="8"/>
        <v>952380.95238095243</v>
      </c>
      <c r="G77" s="108">
        <f t="shared" si="8"/>
        <v>476190.47619047621</v>
      </c>
      <c r="H77" s="121">
        <f>SUM(C77:G77)</f>
        <v>7142857.1428571437</v>
      </c>
    </row>
    <row r="78" spans="1:8" x14ac:dyDescent="0.2">
      <c r="A78" s="87" t="s">
        <v>288</v>
      </c>
      <c r="B78" s="97">
        <f>+B68</f>
        <v>24</v>
      </c>
      <c r="C78" s="97">
        <f>+C68</f>
        <v>51.12</v>
      </c>
      <c r="D78" s="97">
        <f>+D68</f>
        <v>54.442799999999991</v>
      </c>
      <c r="E78" s="108">
        <f>+D78*(1+$D$9)</f>
        <v>57.981581999999989</v>
      </c>
      <c r="F78" s="108">
        <f>+E78*(1+$D$9)</f>
        <v>61.750384829999987</v>
      </c>
      <c r="G78" s="108">
        <f>+F78*(1+$D$9)</f>
        <v>65.764159843949983</v>
      </c>
      <c r="H78" s="121">
        <f>SUM(B78:F78)</f>
        <v>249.29476682999996</v>
      </c>
    </row>
    <row r="79" spans="1:8" x14ac:dyDescent="0.2">
      <c r="A79" s="87" t="s">
        <v>289</v>
      </c>
      <c r="B79" s="108">
        <f>+$B$20/$D$20</f>
        <v>1000000</v>
      </c>
      <c r="C79" s="108">
        <f>+$B$20/$D$20</f>
        <v>1000000</v>
      </c>
      <c r="D79" s="108">
        <f t="shared" ref="D79:G79" si="9">+$B$20/$D$20</f>
        <v>1000000</v>
      </c>
      <c r="E79" s="108">
        <f t="shared" si="9"/>
        <v>1000000</v>
      </c>
      <c r="F79" s="108">
        <f t="shared" si="9"/>
        <v>1000000</v>
      </c>
      <c r="G79" s="108">
        <f t="shared" si="9"/>
        <v>1000000</v>
      </c>
      <c r="H79" s="121">
        <f>SUM(C79:G79)</f>
        <v>5000000</v>
      </c>
    </row>
    <row r="81" spans="1:7" ht="15" x14ac:dyDescent="0.25">
      <c r="A81" s="263" t="s">
        <v>290</v>
      </c>
      <c r="B81" s="263"/>
      <c r="C81" s="263"/>
      <c r="D81" s="263"/>
    </row>
    <row r="82" spans="1:7" x14ac:dyDescent="0.2">
      <c r="A82" s="87" t="str">
        <f>+A25</f>
        <v>VENTAS CONTADO</v>
      </c>
      <c r="B82" s="122">
        <v>0.6</v>
      </c>
    </row>
    <row r="83" spans="1:7" x14ac:dyDescent="0.2">
      <c r="A83" s="87" t="str">
        <f>+A26</f>
        <v>VENTAS CRÉDITO</v>
      </c>
      <c r="B83" s="122">
        <v>0.4</v>
      </c>
    </row>
    <row r="84" spans="1:7" x14ac:dyDescent="0.2">
      <c r="A84" s="87" t="str">
        <f>+A27</f>
        <v>PERIODO COBRO (Días)</v>
      </c>
      <c r="B84" s="87">
        <f>+B27</f>
        <v>60</v>
      </c>
      <c r="C84" s="86" t="s">
        <v>291</v>
      </c>
    </row>
    <row r="86" spans="1:7" x14ac:dyDescent="0.2">
      <c r="A86" s="114" t="s">
        <v>237</v>
      </c>
      <c r="B86" s="114">
        <v>2024</v>
      </c>
      <c r="C86" s="114">
        <v>2025</v>
      </c>
      <c r="D86" s="114">
        <v>2026</v>
      </c>
      <c r="E86" s="114">
        <v>2027</v>
      </c>
      <c r="F86" s="114">
        <v>2028</v>
      </c>
      <c r="G86" s="114">
        <v>2029</v>
      </c>
    </row>
    <row r="87" spans="1:7" x14ac:dyDescent="0.2">
      <c r="A87" s="87" t="s">
        <v>292</v>
      </c>
      <c r="B87" s="95">
        <v>180</v>
      </c>
      <c r="C87" s="95">
        <v>360</v>
      </c>
      <c r="D87" s="95">
        <v>360</v>
      </c>
      <c r="E87" s="95">
        <v>360</v>
      </c>
      <c r="F87" s="95">
        <v>360</v>
      </c>
      <c r="G87" s="95">
        <v>180</v>
      </c>
    </row>
    <row r="88" spans="1:7" x14ac:dyDescent="0.2">
      <c r="A88" s="87" t="s">
        <v>293</v>
      </c>
      <c r="B88" s="98">
        <f t="shared" ref="B88:G88" si="10">+(B87-$B$84)/B87</f>
        <v>0.66666666666666663</v>
      </c>
      <c r="C88" s="98">
        <f t="shared" si="10"/>
        <v>0.83333333333333337</v>
      </c>
      <c r="D88" s="98">
        <f t="shared" si="10"/>
        <v>0.83333333333333337</v>
      </c>
      <c r="E88" s="98">
        <f t="shared" si="10"/>
        <v>0.83333333333333337</v>
      </c>
      <c r="F88" s="98">
        <f t="shared" si="10"/>
        <v>0.83333333333333337</v>
      </c>
      <c r="G88" s="98">
        <f t="shared" si="10"/>
        <v>0.66666666666666663</v>
      </c>
    </row>
    <row r="89" spans="1:7" x14ac:dyDescent="0.2">
      <c r="A89" s="87" t="s">
        <v>294</v>
      </c>
      <c r="B89" s="97">
        <f t="shared" ref="B89:G89" si="11">+B68*B69</f>
        <v>102164380.80000001</v>
      </c>
      <c r="C89" s="97">
        <f t="shared" si="11"/>
        <v>231101959.23244804</v>
      </c>
      <c r="D89" s="97">
        <f t="shared" si="11"/>
        <v>261383248.95067567</v>
      </c>
      <c r="E89" s="97">
        <f t="shared" si="11"/>
        <v>295632296.06068271</v>
      </c>
      <c r="F89" s="97">
        <f t="shared" si="11"/>
        <v>334368995.81351399</v>
      </c>
      <c r="G89" s="97">
        <f t="shared" si="11"/>
        <v>378181365.33495873</v>
      </c>
    </row>
    <row r="90" spans="1:7" x14ac:dyDescent="0.2">
      <c r="A90" s="87" t="s">
        <v>295</v>
      </c>
      <c r="B90" s="108">
        <f>+B89*$B$82</f>
        <v>61298628.480000004</v>
      </c>
      <c r="C90" s="108">
        <f t="shared" ref="C90:F90" si="12">+C89*$B$82</f>
        <v>138661175.53946882</v>
      </c>
      <c r="D90" s="108">
        <f t="shared" si="12"/>
        <v>156829949.37040541</v>
      </c>
      <c r="E90" s="108">
        <f t="shared" si="12"/>
        <v>177379377.63640961</v>
      </c>
      <c r="F90" s="108">
        <f t="shared" si="12"/>
        <v>200621397.4881084</v>
      </c>
      <c r="G90" s="108">
        <f t="shared" ref="G90" si="13">+G89*$B$82</f>
        <v>226908819.20097524</v>
      </c>
    </row>
    <row r="91" spans="1:7" x14ac:dyDescent="0.2">
      <c r="A91" s="87" t="s">
        <v>296</v>
      </c>
      <c r="B91" s="108">
        <f>+B89*$B$83</f>
        <v>40865752.320000008</v>
      </c>
      <c r="C91" s="108">
        <f t="shared" ref="C91:F91" si="14">+C89*$B$83</f>
        <v>92440783.692979217</v>
      </c>
      <c r="D91" s="108">
        <f t="shared" si="14"/>
        <v>104553299.58027028</v>
      </c>
      <c r="E91" s="108">
        <f t="shared" si="14"/>
        <v>118252918.42427309</v>
      </c>
      <c r="F91" s="108">
        <f t="shared" si="14"/>
        <v>133747598.3254056</v>
      </c>
      <c r="G91" s="108">
        <f t="shared" ref="G91" si="15">+G89*$B$83</f>
        <v>151272546.13398349</v>
      </c>
    </row>
    <row r="92" spans="1:7" x14ac:dyDescent="0.2">
      <c r="A92" s="87" t="s">
        <v>297</v>
      </c>
      <c r="B92" s="108">
        <f>+B91*B88</f>
        <v>27243834.880000003</v>
      </c>
      <c r="C92" s="108">
        <f>+C91*C88</f>
        <v>77033986.410816014</v>
      </c>
      <c r="D92" s="108">
        <f t="shared" ref="D92:F92" si="16">+D91*D88</f>
        <v>87127749.650225237</v>
      </c>
      <c r="E92" s="108">
        <f t="shared" si="16"/>
        <v>98544098.686894238</v>
      </c>
      <c r="F92" s="108">
        <f t="shared" si="16"/>
        <v>111456331.937838</v>
      </c>
      <c r="G92" s="108">
        <f>+G91*G88</f>
        <v>100848364.08932233</v>
      </c>
    </row>
    <row r="93" spans="1:7" x14ac:dyDescent="0.2">
      <c r="A93" s="87" t="s">
        <v>298</v>
      </c>
      <c r="B93" s="97">
        <f>+B91-B92</f>
        <v>13621917.440000005</v>
      </c>
      <c r="C93" s="97">
        <f>+C91-C92</f>
        <v>15406797.282163203</v>
      </c>
      <c r="D93" s="97">
        <f t="shared" ref="D93:F93" si="17">+D91-D92</f>
        <v>17425549.930045038</v>
      </c>
      <c r="E93" s="97">
        <f t="shared" si="17"/>
        <v>19708819.737378851</v>
      </c>
      <c r="F93" s="97">
        <f t="shared" si="17"/>
        <v>22291266.387567595</v>
      </c>
      <c r="G93" s="97">
        <f t="shared" ref="G93" si="18">+G91-G92</f>
        <v>50424182.044661164</v>
      </c>
    </row>
    <row r="95" spans="1:7" ht="15" x14ac:dyDescent="0.25">
      <c r="A95" s="263" t="s">
        <v>299</v>
      </c>
      <c r="B95" s="263"/>
      <c r="C95" s="263"/>
      <c r="D95" s="263"/>
    </row>
    <row r="97" spans="1:62" x14ac:dyDescent="0.2">
      <c r="A97" s="90" t="s">
        <v>249</v>
      </c>
      <c r="B97" s="94">
        <f>+B28</f>
        <v>30000000</v>
      </c>
    </row>
    <row r="98" spans="1:62" x14ac:dyDescent="0.2">
      <c r="A98" s="95" t="s">
        <v>250</v>
      </c>
      <c r="B98" s="95">
        <f>+B29</f>
        <v>5</v>
      </c>
    </row>
    <row r="99" spans="1:62" x14ac:dyDescent="0.2">
      <c r="A99" s="95" t="s">
        <v>251</v>
      </c>
      <c r="B99" s="95">
        <f>+B30</f>
        <v>12</v>
      </c>
    </row>
    <row r="100" spans="1:62" x14ac:dyDescent="0.2">
      <c r="A100" s="123" t="s">
        <v>300</v>
      </c>
      <c r="B100" s="123">
        <f>+B98*B99</f>
        <v>60</v>
      </c>
    </row>
    <row r="101" spans="1:62" x14ac:dyDescent="0.2">
      <c r="A101" s="95" t="s">
        <v>252</v>
      </c>
      <c r="B101" s="124">
        <f>+B31</f>
        <v>0.14000000000000001</v>
      </c>
    </row>
    <row r="102" spans="1:62" x14ac:dyDescent="0.2">
      <c r="A102" s="95" t="s">
        <v>301</v>
      </c>
      <c r="B102" s="124">
        <f>+NOMINAL(B101,B99)</f>
        <v>0.13174622340208142</v>
      </c>
      <c r="C102" s="86" t="s">
        <v>302</v>
      </c>
    </row>
    <row r="103" spans="1:62" x14ac:dyDescent="0.2">
      <c r="A103" s="123" t="s">
        <v>303</v>
      </c>
      <c r="B103" s="125">
        <f>+B102/B99</f>
        <v>1.0978851950173452E-2</v>
      </c>
      <c r="C103" s="86" t="s">
        <v>304</v>
      </c>
    </row>
    <row r="104" spans="1:62" x14ac:dyDescent="0.2">
      <c r="A104" s="126" t="s">
        <v>305</v>
      </c>
      <c r="B104" s="127">
        <f>+PMT(B103,B100,-B97)</f>
        <v>685276.91409571061</v>
      </c>
    </row>
    <row r="105" spans="1:62" ht="15" x14ac:dyDescent="0.25">
      <c r="A105" s="274" t="s">
        <v>306</v>
      </c>
      <c r="B105" s="274"/>
    </row>
    <row r="106" spans="1:62" x14ac:dyDescent="0.2">
      <c r="A106" s="95" t="s">
        <v>307</v>
      </c>
      <c r="B106" s="128">
        <v>45444</v>
      </c>
      <c r="C106" s="128">
        <v>45474</v>
      </c>
      <c r="D106" s="128">
        <v>45505</v>
      </c>
      <c r="E106" s="128">
        <v>45536</v>
      </c>
      <c r="F106" s="128">
        <v>45566</v>
      </c>
      <c r="G106" s="128">
        <v>45597</v>
      </c>
      <c r="H106" s="128">
        <v>45627</v>
      </c>
      <c r="I106" s="128">
        <v>45658</v>
      </c>
      <c r="J106" s="128">
        <v>45689</v>
      </c>
      <c r="K106" s="128">
        <v>45717</v>
      </c>
      <c r="L106" s="128">
        <v>45748</v>
      </c>
      <c r="M106" s="128">
        <v>45778</v>
      </c>
      <c r="N106" s="128">
        <v>45809</v>
      </c>
      <c r="O106" s="128">
        <v>45839</v>
      </c>
      <c r="P106" s="128">
        <v>45870</v>
      </c>
      <c r="Q106" s="128">
        <v>45901</v>
      </c>
      <c r="R106" s="128">
        <v>45931</v>
      </c>
      <c r="S106" s="128">
        <v>45962</v>
      </c>
      <c r="T106" s="128">
        <v>45992</v>
      </c>
      <c r="U106" s="128">
        <v>46023</v>
      </c>
      <c r="V106" s="128">
        <v>46054</v>
      </c>
      <c r="W106" s="128">
        <v>46082</v>
      </c>
      <c r="X106" s="128">
        <v>46113</v>
      </c>
      <c r="Y106" s="128">
        <v>46143</v>
      </c>
      <c r="Z106" s="128">
        <v>46174</v>
      </c>
      <c r="AA106" s="128">
        <v>46204</v>
      </c>
      <c r="AB106" s="128">
        <v>46235</v>
      </c>
      <c r="AC106" s="128">
        <v>46266</v>
      </c>
      <c r="AD106" s="128">
        <v>46296</v>
      </c>
      <c r="AE106" s="128">
        <v>46327</v>
      </c>
      <c r="AF106" s="128">
        <v>46357</v>
      </c>
      <c r="AG106" s="128">
        <v>46388</v>
      </c>
      <c r="AH106" s="128">
        <v>46419</v>
      </c>
      <c r="AI106" s="128">
        <v>46447</v>
      </c>
      <c r="AJ106" s="128">
        <v>46478</v>
      </c>
      <c r="AK106" s="128">
        <v>46508</v>
      </c>
      <c r="AL106" s="128">
        <v>46539</v>
      </c>
      <c r="AM106" s="128">
        <v>46569</v>
      </c>
      <c r="AN106" s="128">
        <v>46600</v>
      </c>
      <c r="AO106" s="128">
        <v>46631</v>
      </c>
      <c r="AP106" s="128">
        <v>46661</v>
      </c>
      <c r="AQ106" s="128">
        <v>46692</v>
      </c>
      <c r="AR106" s="128">
        <v>46722</v>
      </c>
      <c r="AS106" s="128">
        <v>46753</v>
      </c>
      <c r="AT106" s="128">
        <v>46784</v>
      </c>
      <c r="AU106" s="128">
        <v>46813</v>
      </c>
      <c r="AV106" s="128">
        <v>46844</v>
      </c>
      <c r="AW106" s="128">
        <v>46874</v>
      </c>
      <c r="AX106" s="128">
        <v>46905</v>
      </c>
      <c r="AY106" s="128">
        <v>46935</v>
      </c>
      <c r="AZ106" s="128">
        <v>46966</v>
      </c>
      <c r="BA106" s="128">
        <v>46997</v>
      </c>
      <c r="BB106" s="128">
        <v>47027</v>
      </c>
      <c r="BC106" s="128">
        <v>47058</v>
      </c>
      <c r="BD106" s="128">
        <v>47088</v>
      </c>
      <c r="BE106" s="128">
        <v>47119</v>
      </c>
      <c r="BF106" s="128">
        <v>47150</v>
      </c>
      <c r="BG106" s="128">
        <v>47178</v>
      </c>
      <c r="BH106" s="128">
        <v>47209</v>
      </c>
      <c r="BI106" s="128">
        <v>47239</v>
      </c>
      <c r="BJ106" s="128">
        <v>47270</v>
      </c>
    </row>
    <row r="107" spans="1:62" x14ac:dyDescent="0.2">
      <c r="A107" s="95" t="s">
        <v>308</v>
      </c>
      <c r="B107" s="129">
        <f>+B97</f>
        <v>30000000</v>
      </c>
      <c r="C107" s="130">
        <f>+B111</f>
        <v>30000000</v>
      </c>
      <c r="D107" s="130">
        <f t="shared" ref="D107:BJ107" si="19">+C111</f>
        <v>29644088.644409493</v>
      </c>
      <c r="E107" s="130">
        <f t="shared" si="19"/>
        <v>29284269.790738571</v>
      </c>
      <c r="F107" s="130">
        <f t="shared" si="19"/>
        <v>28920500.539144315</v>
      </c>
      <c r="G107" s="130">
        <f t="shared" si="19"/>
        <v>28552737.518792782</v>
      </c>
      <c r="H107" s="130">
        <f t="shared" si="19"/>
        <v>28180936.88268806</v>
      </c>
      <c r="I107" s="130">
        <f t="shared" si="19"/>
        <v>27805054.302444566</v>
      </c>
      <c r="J107" s="130">
        <f t="shared" si="19"/>
        <v>27425044.963001929</v>
      </c>
      <c r="K107" s="130">
        <f t="shared" si="19"/>
        <v>27040863.557281867</v>
      </c>
      <c r="L107" s="130">
        <f t="shared" si="19"/>
        <v>26652464.280786395</v>
      </c>
      <c r="M107" s="130">
        <f t="shared" si="19"/>
        <v>26259800.826136723</v>
      </c>
      <c r="N107" s="130">
        <f t="shared" si="19"/>
        <v>25862826.377552211</v>
      </c>
      <c r="O107" s="130">
        <f t="shared" si="19"/>
        <v>25461493.605268687</v>
      </c>
      <c r="P107" s="130">
        <f t="shared" si="19"/>
        <v>25055754.659895509</v>
      </c>
      <c r="Q107" s="130">
        <f t="shared" si="19"/>
        <v>24645561.16671066</v>
      </c>
      <c r="R107" s="130">
        <f t="shared" si="19"/>
        <v>24230864.21989321</v>
      </c>
      <c r="S107" s="130">
        <f t="shared" si="19"/>
        <v>23811614.376692463</v>
      </c>
      <c r="T107" s="130">
        <f t="shared" si="19"/>
        <v>23387761.651533082</v>
      </c>
      <c r="U107" s="130">
        <f t="shared" si="19"/>
        <v>22959255.510055497</v>
      </c>
      <c r="V107" s="130">
        <f t="shared" si="19"/>
        <v>22526044.863090891</v>
      </c>
      <c r="W107" s="130">
        <f t="shared" si="19"/>
        <v>22088078.06057002</v>
      </c>
      <c r="X107" s="130">
        <f t="shared" si="19"/>
        <v>21645302.885365181</v>
      </c>
      <c r="Y107" s="130">
        <f t="shared" si="19"/>
        <v>21197666.547064558</v>
      </c>
      <c r="Z107" s="130">
        <f t="shared" si="19"/>
        <v>20745115.675678212</v>
      </c>
      <c r="AA107" s="130">
        <f t="shared" si="19"/>
        <v>20287596.315274995</v>
      </c>
      <c r="AB107" s="130">
        <f t="shared" si="19"/>
        <v>19825053.917549573</v>
      </c>
      <c r="AC107" s="130">
        <f t="shared" si="19"/>
        <v>19357433.335318845</v>
      </c>
      <c r="AD107" s="130">
        <f t="shared" si="19"/>
        <v>18884678.815946952</v>
      </c>
      <c r="AE107" s="130">
        <f t="shared" si="19"/>
        <v>18406733.9946981</v>
      </c>
      <c r="AF107" s="130">
        <f t="shared" si="19"/>
        <v>17923541.888016403</v>
      </c>
      <c r="AG107" s="130">
        <f t="shared" si="19"/>
        <v>17435044.886731956</v>
      </c>
      <c r="AH107" s="130">
        <f t="shared" si="19"/>
        <v>16941184.749192305</v>
      </c>
      <c r="AI107" s="130">
        <f t="shared" si="19"/>
        <v>16441902.594318513</v>
      </c>
      <c r="AJ107" s="130">
        <f t="shared" si="19"/>
        <v>15937138.894584998</v>
      </c>
      <c r="AK107" s="130">
        <f t="shared" si="19"/>
        <v>15426833.468922287</v>
      </c>
      <c r="AL107" s="130">
        <f t="shared" si="19"/>
        <v>14910925.475541854</v>
      </c>
      <c r="AM107" s="130">
        <f t="shared" si="19"/>
        <v>14389353.404682187</v>
      </c>
      <c r="AN107" s="130">
        <f t="shared" si="19"/>
        <v>13862055.071275206</v>
      </c>
      <c r="AO107" s="130">
        <f t="shared" si="19"/>
        <v>13328967.607532177</v>
      </c>
      <c r="AP107" s="130">
        <f t="shared" si="19"/>
        <v>12790027.45544822</v>
      </c>
      <c r="AQ107" s="130">
        <f t="shared" si="19"/>
        <v>12245170.359224528</v>
      </c>
      <c r="AR107" s="130">
        <f t="shared" si="19"/>
        <v>11694331.357607396</v>
      </c>
      <c r="AS107" s="130">
        <f t="shared" si="19"/>
        <v>11137444.776143128</v>
      </c>
      <c r="AT107" s="130">
        <f t="shared" si="19"/>
        <v>10574444.219347926</v>
      </c>
      <c r="AU107" s="130">
        <f t="shared" si="19"/>
        <v>10005262.562791804</v>
      </c>
      <c r="AV107" s="130">
        <f t="shared" si="19"/>
        <v>9429831.9450955968</v>
      </c>
      <c r="AW107" s="130">
        <f t="shared" si="19"/>
        <v>8848083.7598401066</v>
      </c>
      <c r="AX107" s="130">
        <f t="shared" si="19"/>
        <v>8259948.6473864149</v>
      </c>
      <c r="AY107" s="130">
        <f t="shared" si="19"/>
        <v>7665356.4866063949</v>
      </c>
      <c r="AZ107" s="130">
        <f t="shared" si="19"/>
        <v>7064236.3865224374</v>
      </c>
      <c r="BA107" s="130">
        <f t="shared" si="19"/>
        <v>6456516.6778553855</v>
      </c>
      <c r="BB107" s="130">
        <f t="shared" si="19"/>
        <v>5842124.904479675</v>
      </c>
      <c r="BC107" s="130">
        <f t="shared" si="19"/>
        <v>5220987.8147846684</v>
      </c>
      <c r="BD107" s="130">
        <f t="shared" si="19"/>
        <v>4593031.3529411387</v>
      </c>
      <c r="BE107" s="130">
        <f t="shared" si="19"/>
        <v>3958180.6500718738</v>
      </c>
      <c r="BF107" s="130">
        <f t="shared" si="19"/>
        <v>3316360.0153253437</v>
      </c>
      <c r="BG107" s="130">
        <f t="shared" si="19"/>
        <v>2667492.9268513648</v>
      </c>
      <c r="BH107" s="130">
        <f t="shared" si="19"/>
        <v>2011502.0226776903</v>
      </c>
      <c r="BI107" s="130">
        <f t="shared" si="19"/>
        <v>1348309.0914864326</v>
      </c>
      <c r="BJ107" s="130">
        <f t="shared" si="19"/>
        <v>677835.0632892244</v>
      </c>
    </row>
    <row r="108" spans="1:62" x14ac:dyDescent="0.2">
      <c r="A108" s="95" t="s">
        <v>309</v>
      </c>
      <c r="B108" s="95"/>
      <c r="C108" s="131">
        <f>+$B$104</f>
        <v>685276.91409571061</v>
      </c>
      <c r="D108" s="131">
        <f t="shared" ref="D108:BJ108" si="20">+$B$104</f>
        <v>685276.91409571061</v>
      </c>
      <c r="E108" s="131">
        <f t="shared" si="20"/>
        <v>685276.91409571061</v>
      </c>
      <c r="F108" s="131">
        <f t="shared" si="20"/>
        <v>685276.91409571061</v>
      </c>
      <c r="G108" s="131">
        <f t="shared" si="20"/>
        <v>685276.91409571061</v>
      </c>
      <c r="H108" s="131">
        <f t="shared" si="20"/>
        <v>685276.91409571061</v>
      </c>
      <c r="I108" s="131">
        <f t="shared" si="20"/>
        <v>685276.91409571061</v>
      </c>
      <c r="J108" s="131">
        <f t="shared" si="20"/>
        <v>685276.91409571061</v>
      </c>
      <c r="K108" s="131">
        <f t="shared" si="20"/>
        <v>685276.91409571061</v>
      </c>
      <c r="L108" s="131">
        <f t="shared" si="20"/>
        <v>685276.91409571061</v>
      </c>
      <c r="M108" s="131">
        <f t="shared" si="20"/>
        <v>685276.91409571061</v>
      </c>
      <c r="N108" s="131">
        <f t="shared" si="20"/>
        <v>685276.91409571061</v>
      </c>
      <c r="O108" s="131">
        <f t="shared" si="20"/>
        <v>685276.91409571061</v>
      </c>
      <c r="P108" s="131">
        <f t="shared" si="20"/>
        <v>685276.91409571061</v>
      </c>
      <c r="Q108" s="131">
        <f t="shared" si="20"/>
        <v>685276.91409571061</v>
      </c>
      <c r="R108" s="131">
        <f t="shared" si="20"/>
        <v>685276.91409571061</v>
      </c>
      <c r="S108" s="131">
        <f t="shared" si="20"/>
        <v>685276.91409571061</v>
      </c>
      <c r="T108" s="131">
        <f t="shared" si="20"/>
        <v>685276.91409571061</v>
      </c>
      <c r="U108" s="131">
        <f t="shared" si="20"/>
        <v>685276.91409571061</v>
      </c>
      <c r="V108" s="131">
        <f t="shared" si="20"/>
        <v>685276.91409571061</v>
      </c>
      <c r="W108" s="131">
        <f t="shared" si="20"/>
        <v>685276.91409571061</v>
      </c>
      <c r="X108" s="131">
        <f t="shared" si="20"/>
        <v>685276.91409571061</v>
      </c>
      <c r="Y108" s="131">
        <f t="shared" si="20"/>
        <v>685276.91409571061</v>
      </c>
      <c r="Z108" s="131">
        <f t="shared" si="20"/>
        <v>685276.91409571061</v>
      </c>
      <c r="AA108" s="131">
        <f t="shared" si="20"/>
        <v>685276.91409571061</v>
      </c>
      <c r="AB108" s="131">
        <f t="shared" si="20"/>
        <v>685276.91409571061</v>
      </c>
      <c r="AC108" s="131">
        <f t="shared" si="20"/>
        <v>685276.91409571061</v>
      </c>
      <c r="AD108" s="131">
        <f t="shared" si="20"/>
        <v>685276.91409571061</v>
      </c>
      <c r="AE108" s="131">
        <f t="shared" si="20"/>
        <v>685276.91409571061</v>
      </c>
      <c r="AF108" s="131">
        <f t="shared" si="20"/>
        <v>685276.91409571061</v>
      </c>
      <c r="AG108" s="131">
        <f t="shared" si="20"/>
        <v>685276.91409571061</v>
      </c>
      <c r="AH108" s="131">
        <f t="shared" si="20"/>
        <v>685276.91409571061</v>
      </c>
      <c r="AI108" s="131">
        <f t="shared" si="20"/>
        <v>685276.91409571061</v>
      </c>
      <c r="AJ108" s="131">
        <f t="shared" si="20"/>
        <v>685276.91409571061</v>
      </c>
      <c r="AK108" s="131">
        <f t="shared" si="20"/>
        <v>685276.91409571061</v>
      </c>
      <c r="AL108" s="131">
        <f t="shared" si="20"/>
        <v>685276.91409571061</v>
      </c>
      <c r="AM108" s="131">
        <f t="shared" si="20"/>
        <v>685276.91409571061</v>
      </c>
      <c r="AN108" s="131">
        <f t="shared" si="20"/>
        <v>685276.91409571061</v>
      </c>
      <c r="AO108" s="131">
        <f t="shared" si="20"/>
        <v>685276.91409571061</v>
      </c>
      <c r="AP108" s="131">
        <f t="shared" si="20"/>
        <v>685276.91409571061</v>
      </c>
      <c r="AQ108" s="131">
        <f t="shared" si="20"/>
        <v>685276.91409571061</v>
      </c>
      <c r="AR108" s="131">
        <f t="shared" si="20"/>
        <v>685276.91409571061</v>
      </c>
      <c r="AS108" s="131">
        <f t="shared" si="20"/>
        <v>685276.91409571061</v>
      </c>
      <c r="AT108" s="131">
        <f t="shared" si="20"/>
        <v>685276.91409571061</v>
      </c>
      <c r="AU108" s="131">
        <f t="shared" si="20"/>
        <v>685276.91409571061</v>
      </c>
      <c r="AV108" s="131">
        <f t="shared" si="20"/>
        <v>685276.91409571061</v>
      </c>
      <c r="AW108" s="131">
        <f t="shared" si="20"/>
        <v>685276.91409571061</v>
      </c>
      <c r="AX108" s="131">
        <f t="shared" si="20"/>
        <v>685276.91409571061</v>
      </c>
      <c r="AY108" s="131">
        <f t="shared" si="20"/>
        <v>685276.91409571061</v>
      </c>
      <c r="AZ108" s="131">
        <f t="shared" si="20"/>
        <v>685276.91409571061</v>
      </c>
      <c r="BA108" s="131">
        <f t="shared" si="20"/>
        <v>685276.91409571061</v>
      </c>
      <c r="BB108" s="131">
        <f t="shared" si="20"/>
        <v>685276.91409571061</v>
      </c>
      <c r="BC108" s="131">
        <f t="shared" si="20"/>
        <v>685276.91409571061</v>
      </c>
      <c r="BD108" s="131">
        <f t="shared" si="20"/>
        <v>685276.91409571061</v>
      </c>
      <c r="BE108" s="131">
        <f t="shared" si="20"/>
        <v>685276.91409571061</v>
      </c>
      <c r="BF108" s="131">
        <f t="shared" si="20"/>
        <v>685276.91409571061</v>
      </c>
      <c r="BG108" s="131">
        <f t="shared" si="20"/>
        <v>685276.91409571061</v>
      </c>
      <c r="BH108" s="131">
        <f t="shared" si="20"/>
        <v>685276.91409571061</v>
      </c>
      <c r="BI108" s="131">
        <f t="shared" si="20"/>
        <v>685276.91409571061</v>
      </c>
      <c r="BJ108" s="131">
        <f t="shared" si="20"/>
        <v>685276.91409571061</v>
      </c>
    </row>
    <row r="109" spans="1:62" x14ac:dyDescent="0.2">
      <c r="A109" s="95" t="s">
        <v>310</v>
      </c>
      <c r="B109" s="95"/>
      <c r="C109" s="129">
        <f>+C107*$B$103</f>
        <v>329365.55850520357</v>
      </c>
      <c r="D109" s="129">
        <f t="shared" ref="D109:BJ109" si="21">+D107*$B$103</f>
        <v>325458.06042478984</v>
      </c>
      <c r="E109" s="129">
        <f t="shared" si="21"/>
        <v>321507.66250145563</v>
      </c>
      <c r="F109" s="129">
        <f t="shared" si="21"/>
        <v>317513.89374417689</v>
      </c>
      <c r="G109" s="129">
        <f t="shared" si="21"/>
        <v>313476.2779909888</v>
      </c>
      <c r="H109" s="129">
        <f t="shared" si="21"/>
        <v>309394.33385221474</v>
      </c>
      <c r="I109" s="129">
        <f t="shared" si="21"/>
        <v>305267.57465307222</v>
      </c>
      <c r="J109" s="129">
        <f t="shared" si="21"/>
        <v>301095.50837564835</v>
      </c>
      <c r="K109" s="129">
        <f t="shared" si="21"/>
        <v>296877.63760023826</v>
      </c>
      <c r="L109" s="129">
        <f t="shared" si="21"/>
        <v>292613.45944603998</v>
      </c>
      <c r="M109" s="129">
        <f t="shared" si="21"/>
        <v>288302.46551119757</v>
      </c>
      <c r="N109" s="129">
        <f t="shared" si="21"/>
        <v>283944.14181218646</v>
      </c>
      <c r="O109" s="129">
        <f t="shared" si="21"/>
        <v>279537.96872253297</v>
      </c>
      <c r="P109" s="129">
        <f t="shared" si="21"/>
        <v>275083.42091086134</v>
      </c>
      <c r="Q109" s="129">
        <f t="shared" si="21"/>
        <v>270579.96727826039</v>
      </c>
      <c r="R109" s="129">
        <f t="shared" si="21"/>
        <v>266027.0708949627</v>
      </c>
      <c r="S109" s="129">
        <f t="shared" si="21"/>
        <v>261424.18893632825</v>
      </c>
      <c r="T109" s="129">
        <f t="shared" si="21"/>
        <v>256770.77261812583</v>
      </c>
      <c r="U109" s="129">
        <f t="shared" si="21"/>
        <v>252066.26713110335</v>
      </c>
      <c r="V109" s="129">
        <f t="shared" si="21"/>
        <v>247310.11157484009</v>
      </c>
      <c r="W109" s="129">
        <f t="shared" si="21"/>
        <v>242501.7388908726</v>
      </c>
      <c r="X109" s="129">
        <f t="shared" si="21"/>
        <v>237640.57579508657</v>
      </c>
      <c r="Y109" s="129">
        <f t="shared" si="21"/>
        <v>232726.04270936624</v>
      </c>
      <c r="Z109" s="129">
        <f t="shared" si="21"/>
        <v>227757.55369249359</v>
      </c>
      <c r="AA109" s="129">
        <f t="shared" si="21"/>
        <v>222734.51637028862</v>
      </c>
      <c r="AB109" s="129">
        <f t="shared" si="21"/>
        <v>217656.33186498296</v>
      </c>
      <c r="AC109" s="129">
        <f t="shared" si="21"/>
        <v>212522.39472381788</v>
      </c>
      <c r="AD109" s="129">
        <f t="shared" si="21"/>
        <v>207332.09284685846</v>
      </c>
      <c r="AE109" s="129">
        <f t="shared" si="21"/>
        <v>202084.8074140152</v>
      </c>
      <c r="AF109" s="129">
        <f t="shared" si="21"/>
        <v>196779.91281126442</v>
      </c>
      <c r="AG109" s="129">
        <f t="shared" si="21"/>
        <v>191416.77655605882</v>
      </c>
      <c r="AH109" s="129">
        <f t="shared" si="21"/>
        <v>185994.75922191868</v>
      </c>
      <c r="AI109" s="129">
        <f t="shared" si="21"/>
        <v>180513.21436219575</v>
      </c>
      <c r="AJ109" s="129">
        <f t="shared" si="21"/>
        <v>174971.48843299967</v>
      </c>
      <c r="AK109" s="129">
        <f t="shared" si="21"/>
        <v>169368.92071527854</v>
      </c>
      <c r="AL109" s="129">
        <f t="shared" si="21"/>
        <v>163704.8432360437</v>
      </c>
      <c r="AM109" s="129">
        <f t="shared" si="21"/>
        <v>157978.58068873003</v>
      </c>
      <c r="AN109" s="129">
        <f t="shared" si="21"/>
        <v>152189.4503526816</v>
      </c>
      <c r="AO109" s="129">
        <f t="shared" si="21"/>
        <v>146336.7620117534</v>
      </c>
      <c r="AP109" s="129">
        <f t="shared" si="21"/>
        <v>140419.81787201969</v>
      </c>
      <c r="AQ109" s="129">
        <f t="shared" si="21"/>
        <v>134437.91247857836</v>
      </c>
      <c r="AR109" s="129">
        <f t="shared" si="21"/>
        <v>128390.33263144251</v>
      </c>
      <c r="AS109" s="129">
        <f t="shared" si="21"/>
        <v>122276.3573005081</v>
      </c>
      <c r="AT109" s="129">
        <f t="shared" si="21"/>
        <v>116095.25753958836</v>
      </c>
      <c r="AU109" s="129">
        <f t="shared" si="21"/>
        <v>109846.29639950422</v>
      </c>
      <c r="AV109" s="129">
        <f t="shared" si="21"/>
        <v>103528.72884022071</v>
      </c>
      <c r="AW109" s="129">
        <f t="shared" si="21"/>
        <v>97141.801642018603</v>
      </c>
      <c r="AX109" s="129">
        <f t="shared" si="21"/>
        <v>90684.753315690905</v>
      </c>
      <c r="AY109" s="129">
        <f t="shared" si="21"/>
        <v>84156.814011753333</v>
      </c>
      <c r="AZ109" s="129">
        <f t="shared" si="21"/>
        <v>77557.205428658126</v>
      </c>
      <c r="BA109" s="129">
        <f t="shared" si="21"/>
        <v>70885.14072000001</v>
      </c>
      <c r="BB109" s="129">
        <f t="shared" si="21"/>
        <v>64139.824400703568</v>
      </c>
      <c r="BC109" s="129">
        <f t="shared" si="21"/>
        <v>57320.452252180483</v>
      </c>
      <c r="BD109" s="129">
        <f t="shared" si="21"/>
        <v>50426.21122644563</v>
      </c>
      <c r="BE109" s="129">
        <f t="shared" si="21"/>
        <v>43456.279349180411</v>
      </c>
      <c r="BF109" s="129">
        <f t="shared" si="21"/>
        <v>36409.825621731907</v>
      </c>
      <c r="BG109" s="129">
        <f t="shared" si="21"/>
        <v>29286.009922035995</v>
      </c>
      <c r="BH109" s="129">
        <f t="shared" si="21"/>
        <v>22083.982904452801</v>
      </c>
      <c r="BI109" s="129">
        <f t="shared" si="21"/>
        <v>14802.885898502414</v>
      </c>
      <c r="BJ109" s="129">
        <f t="shared" si="21"/>
        <v>7441.8508064888465</v>
      </c>
    </row>
    <row r="110" spans="1:62" x14ac:dyDescent="0.2">
      <c r="A110" s="95" t="s">
        <v>311</v>
      </c>
      <c r="B110" s="95"/>
      <c r="C110" s="130">
        <f>+C108-C109</f>
        <v>355911.35559050704</v>
      </c>
      <c r="D110" s="130">
        <f t="shared" ref="D110:BJ110" si="22">+D108-D109</f>
        <v>359818.85367092077</v>
      </c>
      <c r="E110" s="130">
        <f t="shared" si="22"/>
        <v>363769.25159425498</v>
      </c>
      <c r="F110" s="130">
        <f t="shared" si="22"/>
        <v>367763.02035153372</v>
      </c>
      <c r="G110" s="130">
        <f t="shared" si="22"/>
        <v>371800.63610472181</v>
      </c>
      <c r="H110" s="130">
        <f t="shared" si="22"/>
        <v>375882.58024349588</v>
      </c>
      <c r="I110" s="130">
        <f t="shared" si="22"/>
        <v>380009.33944263839</v>
      </c>
      <c r="J110" s="130">
        <f t="shared" si="22"/>
        <v>384181.40572006226</v>
      </c>
      <c r="K110" s="130">
        <f t="shared" si="22"/>
        <v>388399.27649547235</v>
      </c>
      <c r="L110" s="130">
        <f t="shared" si="22"/>
        <v>392663.45464967063</v>
      </c>
      <c r="M110" s="130">
        <f t="shared" si="22"/>
        <v>396974.44858451304</v>
      </c>
      <c r="N110" s="130">
        <f t="shared" si="22"/>
        <v>401332.77228352416</v>
      </c>
      <c r="O110" s="130">
        <f t="shared" si="22"/>
        <v>405738.94537317764</v>
      </c>
      <c r="P110" s="130">
        <f t="shared" si="22"/>
        <v>410193.49318484927</v>
      </c>
      <c r="Q110" s="130">
        <f t="shared" si="22"/>
        <v>414696.94681745023</v>
      </c>
      <c r="R110" s="130">
        <f t="shared" si="22"/>
        <v>419249.84320074791</v>
      </c>
      <c r="S110" s="130">
        <f t="shared" si="22"/>
        <v>423852.72515938233</v>
      </c>
      <c r="T110" s="130">
        <f t="shared" si="22"/>
        <v>428506.14147758478</v>
      </c>
      <c r="U110" s="130">
        <f t="shared" si="22"/>
        <v>433210.64696460729</v>
      </c>
      <c r="V110" s="130">
        <f t="shared" si="22"/>
        <v>437966.80252087052</v>
      </c>
      <c r="W110" s="130">
        <f t="shared" si="22"/>
        <v>442775.17520483804</v>
      </c>
      <c r="X110" s="130">
        <f t="shared" si="22"/>
        <v>447636.33830062405</v>
      </c>
      <c r="Y110" s="130">
        <f t="shared" si="22"/>
        <v>452550.87138634437</v>
      </c>
      <c r="Z110" s="130">
        <f t="shared" si="22"/>
        <v>457519.36040321703</v>
      </c>
      <c r="AA110" s="130">
        <f t="shared" si="22"/>
        <v>462542.39772542199</v>
      </c>
      <c r="AB110" s="130">
        <f t="shared" si="22"/>
        <v>467620.58223072765</v>
      </c>
      <c r="AC110" s="130">
        <f t="shared" si="22"/>
        <v>472754.51937189273</v>
      </c>
      <c r="AD110" s="130">
        <f t="shared" si="22"/>
        <v>477944.82124885218</v>
      </c>
      <c r="AE110" s="130">
        <f t="shared" si="22"/>
        <v>483192.10668169544</v>
      </c>
      <c r="AF110" s="130">
        <f t="shared" si="22"/>
        <v>488497.00128444622</v>
      </c>
      <c r="AG110" s="130">
        <f t="shared" si="22"/>
        <v>493860.13753965183</v>
      </c>
      <c r="AH110" s="130">
        <f t="shared" si="22"/>
        <v>499282.15487379197</v>
      </c>
      <c r="AI110" s="130">
        <f t="shared" si="22"/>
        <v>504763.69973351486</v>
      </c>
      <c r="AJ110" s="130">
        <f t="shared" si="22"/>
        <v>510305.42566271091</v>
      </c>
      <c r="AK110" s="130">
        <f t="shared" si="22"/>
        <v>515907.99338043208</v>
      </c>
      <c r="AL110" s="130">
        <f t="shared" si="22"/>
        <v>521572.07085966691</v>
      </c>
      <c r="AM110" s="130">
        <f t="shared" si="22"/>
        <v>527298.33340698062</v>
      </c>
      <c r="AN110" s="130">
        <f t="shared" si="22"/>
        <v>533087.46374302905</v>
      </c>
      <c r="AO110" s="130">
        <f t="shared" si="22"/>
        <v>538940.15208395722</v>
      </c>
      <c r="AP110" s="130">
        <f t="shared" si="22"/>
        <v>544857.0962236909</v>
      </c>
      <c r="AQ110" s="130">
        <f t="shared" si="22"/>
        <v>550839.00161713222</v>
      </c>
      <c r="AR110" s="130">
        <f t="shared" si="22"/>
        <v>556886.58146426815</v>
      </c>
      <c r="AS110" s="130">
        <f t="shared" si="22"/>
        <v>563000.55679520254</v>
      </c>
      <c r="AT110" s="130">
        <f t="shared" si="22"/>
        <v>569181.65655612224</v>
      </c>
      <c r="AU110" s="130">
        <f t="shared" si="22"/>
        <v>575430.61769620643</v>
      </c>
      <c r="AV110" s="130">
        <f t="shared" si="22"/>
        <v>581748.18525548989</v>
      </c>
      <c r="AW110" s="130">
        <f t="shared" si="22"/>
        <v>588135.11245369201</v>
      </c>
      <c r="AX110" s="130">
        <f t="shared" si="22"/>
        <v>594592.16078001971</v>
      </c>
      <c r="AY110" s="130">
        <f t="shared" si="22"/>
        <v>601120.10008395731</v>
      </c>
      <c r="AZ110" s="130">
        <f t="shared" si="22"/>
        <v>607719.70866705244</v>
      </c>
      <c r="BA110" s="130">
        <f t="shared" si="22"/>
        <v>614391.77337571059</v>
      </c>
      <c r="BB110" s="130">
        <f t="shared" si="22"/>
        <v>621137.08969500707</v>
      </c>
      <c r="BC110" s="130">
        <f t="shared" si="22"/>
        <v>627956.46184353018</v>
      </c>
      <c r="BD110" s="130">
        <f t="shared" si="22"/>
        <v>634850.70286926499</v>
      </c>
      <c r="BE110" s="130">
        <f t="shared" si="22"/>
        <v>641820.63474653021</v>
      </c>
      <c r="BF110" s="130">
        <f t="shared" si="22"/>
        <v>648867.08847397869</v>
      </c>
      <c r="BG110" s="130">
        <f t="shared" si="22"/>
        <v>655990.90417367464</v>
      </c>
      <c r="BH110" s="130">
        <f t="shared" si="22"/>
        <v>663192.93119125778</v>
      </c>
      <c r="BI110" s="130">
        <f t="shared" si="22"/>
        <v>670474.02819720819</v>
      </c>
      <c r="BJ110" s="130">
        <f t="shared" si="22"/>
        <v>677835.06328922173</v>
      </c>
    </row>
    <row r="111" spans="1:62" x14ac:dyDescent="0.2">
      <c r="A111" s="95" t="s">
        <v>312</v>
      </c>
      <c r="B111" s="129">
        <f>+B107</f>
        <v>30000000</v>
      </c>
      <c r="C111" s="130">
        <f>+C107-C110</f>
        <v>29644088.644409493</v>
      </c>
      <c r="D111" s="130">
        <f t="shared" ref="D111:BJ111" si="23">+D107-D110</f>
        <v>29284269.790738571</v>
      </c>
      <c r="E111" s="130">
        <f t="shared" si="23"/>
        <v>28920500.539144315</v>
      </c>
      <c r="F111" s="130">
        <f t="shared" si="23"/>
        <v>28552737.518792782</v>
      </c>
      <c r="G111" s="130">
        <f t="shared" si="23"/>
        <v>28180936.88268806</v>
      </c>
      <c r="H111" s="130">
        <f t="shared" si="23"/>
        <v>27805054.302444566</v>
      </c>
      <c r="I111" s="130">
        <f t="shared" si="23"/>
        <v>27425044.963001929</v>
      </c>
      <c r="J111" s="130">
        <f t="shared" si="23"/>
        <v>27040863.557281867</v>
      </c>
      <c r="K111" s="130">
        <f t="shared" si="23"/>
        <v>26652464.280786395</v>
      </c>
      <c r="L111" s="130">
        <f t="shared" si="23"/>
        <v>26259800.826136723</v>
      </c>
      <c r="M111" s="130">
        <f t="shared" si="23"/>
        <v>25862826.377552211</v>
      </c>
      <c r="N111" s="130">
        <f t="shared" si="23"/>
        <v>25461493.605268687</v>
      </c>
      <c r="O111" s="130">
        <f t="shared" si="23"/>
        <v>25055754.659895509</v>
      </c>
      <c r="P111" s="130">
        <f t="shared" si="23"/>
        <v>24645561.16671066</v>
      </c>
      <c r="Q111" s="130">
        <f t="shared" si="23"/>
        <v>24230864.21989321</v>
      </c>
      <c r="R111" s="130">
        <f t="shared" si="23"/>
        <v>23811614.376692463</v>
      </c>
      <c r="S111" s="130">
        <f t="shared" si="23"/>
        <v>23387761.651533082</v>
      </c>
      <c r="T111" s="130">
        <f t="shared" si="23"/>
        <v>22959255.510055497</v>
      </c>
      <c r="U111" s="130">
        <f t="shared" si="23"/>
        <v>22526044.863090891</v>
      </c>
      <c r="V111" s="130">
        <f t="shared" si="23"/>
        <v>22088078.06057002</v>
      </c>
      <c r="W111" s="130">
        <f t="shared" si="23"/>
        <v>21645302.885365181</v>
      </c>
      <c r="X111" s="130">
        <f t="shared" si="23"/>
        <v>21197666.547064558</v>
      </c>
      <c r="Y111" s="130">
        <f t="shared" si="23"/>
        <v>20745115.675678212</v>
      </c>
      <c r="Z111" s="130">
        <f t="shared" si="23"/>
        <v>20287596.315274995</v>
      </c>
      <c r="AA111" s="130">
        <f t="shared" si="23"/>
        <v>19825053.917549573</v>
      </c>
      <c r="AB111" s="130">
        <f t="shared" si="23"/>
        <v>19357433.335318845</v>
      </c>
      <c r="AC111" s="130">
        <f t="shared" si="23"/>
        <v>18884678.815946952</v>
      </c>
      <c r="AD111" s="130">
        <f t="shared" si="23"/>
        <v>18406733.9946981</v>
      </c>
      <c r="AE111" s="130">
        <f t="shared" si="23"/>
        <v>17923541.888016403</v>
      </c>
      <c r="AF111" s="130">
        <f t="shared" si="23"/>
        <v>17435044.886731956</v>
      </c>
      <c r="AG111" s="130">
        <f t="shared" si="23"/>
        <v>16941184.749192305</v>
      </c>
      <c r="AH111" s="130">
        <f t="shared" si="23"/>
        <v>16441902.594318513</v>
      </c>
      <c r="AI111" s="130">
        <f t="shared" si="23"/>
        <v>15937138.894584998</v>
      </c>
      <c r="AJ111" s="130">
        <f t="shared" si="23"/>
        <v>15426833.468922287</v>
      </c>
      <c r="AK111" s="130">
        <f t="shared" si="23"/>
        <v>14910925.475541854</v>
      </c>
      <c r="AL111" s="130">
        <f t="shared" si="23"/>
        <v>14389353.404682187</v>
      </c>
      <c r="AM111" s="130">
        <f t="shared" si="23"/>
        <v>13862055.071275206</v>
      </c>
      <c r="AN111" s="130">
        <f t="shared" si="23"/>
        <v>13328967.607532177</v>
      </c>
      <c r="AO111" s="130">
        <f t="shared" si="23"/>
        <v>12790027.45544822</v>
      </c>
      <c r="AP111" s="130">
        <f t="shared" si="23"/>
        <v>12245170.359224528</v>
      </c>
      <c r="AQ111" s="130">
        <f t="shared" si="23"/>
        <v>11694331.357607396</v>
      </c>
      <c r="AR111" s="130">
        <f t="shared" si="23"/>
        <v>11137444.776143128</v>
      </c>
      <c r="AS111" s="130">
        <f t="shared" si="23"/>
        <v>10574444.219347926</v>
      </c>
      <c r="AT111" s="130">
        <f t="shared" si="23"/>
        <v>10005262.562791804</v>
      </c>
      <c r="AU111" s="130">
        <f t="shared" si="23"/>
        <v>9429831.9450955968</v>
      </c>
      <c r="AV111" s="130">
        <f t="shared" si="23"/>
        <v>8848083.7598401066</v>
      </c>
      <c r="AW111" s="130">
        <f t="shared" si="23"/>
        <v>8259948.6473864149</v>
      </c>
      <c r="AX111" s="130">
        <f t="shared" si="23"/>
        <v>7665356.4866063949</v>
      </c>
      <c r="AY111" s="130">
        <f t="shared" si="23"/>
        <v>7064236.3865224374</v>
      </c>
      <c r="AZ111" s="130">
        <f t="shared" si="23"/>
        <v>6456516.6778553855</v>
      </c>
      <c r="BA111" s="130">
        <f t="shared" si="23"/>
        <v>5842124.904479675</v>
      </c>
      <c r="BB111" s="130">
        <f t="shared" si="23"/>
        <v>5220987.8147846684</v>
      </c>
      <c r="BC111" s="130">
        <f t="shared" si="23"/>
        <v>4593031.3529411387</v>
      </c>
      <c r="BD111" s="130">
        <f t="shared" si="23"/>
        <v>3958180.6500718738</v>
      </c>
      <c r="BE111" s="130">
        <f t="shared" si="23"/>
        <v>3316360.0153253437</v>
      </c>
      <c r="BF111" s="130">
        <f t="shared" si="23"/>
        <v>2667492.9268513648</v>
      </c>
      <c r="BG111" s="130">
        <f t="shared" si="23"/>
        <v>2011502.0226776903</v>
      </c>
      <c r="BH111" s="130">
        <f t="shared" si="23"/>
        <v>1348309.0914864326</v>
      </c>
      <c r="BI111" s="130">
        <f t="shared" si="23"/>
        <v>677835.0632892244</v>
      </c>
      <c r="BJ111" s="130">
        <f t="shared" si="23"/>
        <v>2.6775524020195007E-9</v>
      </c>
    </row>
    <row r="112" spans="1:62" x14ac:dyDescent="0.2">
      <c r="A112" s="213" t="s">
        <v>313</v>
      </c>
      <c r="B112" s="214">
        <v>2024</v>
      </c>
      <c r="C112" s="214">
        <v>2025</v>
      </c>
      <c r="D112" s="214">
        <v>2026</v>
      </c>
      <c r="E112" s="214">
        <v>2027</v>
      </c>
      <c r="F112" s="214">
        <v>2028</v>
      </c>
      <c r="G112" s="214">
        <v>2029</v>
      </c>
      <c r="H112" s="132"/>
      <c r="I112" s="132"/>
      <c r="J112" s="132"/>
      <c r="K112" s="132"/>
      <c r="L112" s="132"/>
      <c r="M112" s="132"/>
      <c r="N112" s="132"/>
      <c r="O112" s="132"/>
      <c r="P112" s="132"/>
      <c r="Q112" s="132"/>
      <c r="R112" s="132"/>
      <c r="S112" s="132"/>
      <c r="T112" s="132"/>
      <c r="U112" s="132"/>
      <c r="V112" s="132"/>
      <c r="W112" s="132"/>
      <c r="X112" s="132"/>
      <c r="Y112" s="132"/>
      <c r="Z112" s="132"/>
      <c r="AA112" s="132"/>
      <c r="AB112" s="132"/>
      <c r="AC112" s="132"/>
      <c r="AD112" s="132"/>
      <c r="AE112" s="132"/>
      <c r="AF112" s="132"/>
      <c r="AG112" s="132"/>
      <c r="AH112" s="132"/>
      <c r="AI112" s="132"/>
      <c r="AJ112" s="132"/>
      <c r="AK112" s="132"/>
      <c r="AL112" s="132"/>
      <c r="AM112" s="132"/>
      <c r="AN112" s="132"/>
      <c r="AO112" s="132"/>
      <c r="AP112" s="132"/>
      <c r="AQ112" s="132"/>
      <c r="AR112" s="132"/>
      <c r="AS112" s="132"/>
      <c r="AT112" s="132"/>
      <c r="AU112" s="132"/>
      <c r="AV112" s="132"/>
      <c r="AW112" s="132"/>
      <c r="AX112" s="132"/>
      <c r="AY112" s="132"/>
      <c r="AZ112" s="132"/>
      <c r="BA112" s="132"/>
      <c r="BB112" s="132"/>
      <c r="BC112" s="132"/>
      <c r="BD112" s="132"/>
      <c r="BE112" s="132"/>
      <c r="BF112" s="132"/>
      <c r="BG112" s="132"/>
      <c r="BH112" s="132"/>
      <c r="BI112" s="132"/>
      <c r="BJ112" s="132"/>
    </row>
    <row r="113" spans="1:62" x14ac:dyDescent="0.2">
      <c r="A113" s="215" t="s">
        <v>314</v>
      </c>
      <c r="B113" s="211">
        <f>+SUM(C109:H109)</f>
        <v>1916715.7870188295</v>
      </c>
      <c r="C113" s="212">
        <f>+SUM(I109:T109)</f>
        <v>3377524.1767594535</v>
      </c>
      <c r="D113" s="212">
        <f>+SUM(U109:AF109)</f>
        <v>2699112.34582499</v>
      </c>
      <c r="E113" s="212">
        <f>+SUM(AG109:AR109)</f>
        <v>1925722.8585597007</v>
      </c>
      <c r="F113" s="212">
        <f>+SUM(AS109:BD109)</f>
        <v>1044058.8430772721</v>
      </c>
      <c r="G113" s="212">
        <f>+SUM(BE109:BJ109)</f>
        <v>153480.83450239242</v>
      </c>
      <c r="H113" s="132"/>
      <c r="I113" s="132"/>
      <c r="J113" s="132"/>
      <c r="K113" s="132"/>
      <c r="L113" s="132"/>
      <c r="M113" s="132"/>
      <c r="N113" s="132"/>
      <c r="O113" s="132"/>
      <c r="P113" s="132"/>
      <c r="Q113" s="132"/>
      <c r="R113" s="132"/>
      <c r="S113" s="132"/>
      <c r="T113" s="132"/>
      <c r="U113" s="132"/>
      <c r="V113" s="132"/>
      <c r="W113" s="132"/>
      <c r="X113" s="132"/>
      <c r="Y113" s="132"/>
      <c r="Z113" s="132"/>
      <c r="AA113" s="132"/>
      <c r="AB113" s="132"/>
      <c r="AC113" s="132"/>
      <c r="AD113" s="132"/>
      <c r="AE113" s="132"/>
      <c r="AF113" s="132"/>
      <c r="AG113" s="132"/>
      <c r="AH113" s="132"/>
      <c r="AI113" s="132"/>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c r="BG113" s="132"/>
      <c r="BH113" s="132"/>
      <c r="BI113" s="132"/>
      <c r="BJ113" s="132"/>
    </row>
    <row r="114" spans="1:62" x14ac:dyDescent="0.2">
      <c r="A114" s="215" t="s">
        <v>315</v>
      </c>
      <c r="B114" s="211">
        <f>+SUM(C110:H110)</f>
        <v>2194945.6975554344</v>
      </c>
      <c r="C114" s="212">
        <f>+SUM(I110:T110)</f>
        <v>4845798.7923890725</v>
      </c>
      <c r="D114" s="212">
        <f>+SUM(U110:AF110)</f>
        <v>5524210.6233235374</v>
      </c>
      <c r="E114" s="212">
        <f>+SUM(AG110:AR110)</f>
        <v>6297600.1105888262</v>
      </c>
      <c r="F114" s="212">
        <f>+SUM(AS110:BD110)</f>
        <v>7179264.1260712547</v>
      </c>
      <c r="G114" s="212">
        <f>+SUM(BE110:BJ110)</f>
        <v>3958180.650071871</v>
      </c>
      <c r="H114" s="132">
        <f>+SUM(B114:G114)</f>
        <v>29999999.999999996</v>
      </c>
      <c r="I114" s="132"/>
      <c r="J114" s="132"/>
      <c r="K114" s="132"/>
      <c r="L114" s="132"/>
      <c r="M114" s="132"/>
      <c r="N114" s="132"/>
      <c r="O114" s="132"/>
      <c r="P114" s="132"/>
      <c r="Q114" s="132"/>
      <c r="R114" s="132"/>
      <c r="S114" s="132"/>
      <c r="T114" s="132"/>
      <c r="U114" s="132"/>
      <c r="V114" s="132"/>
      <c r="W114" s="132"/>
      <c r="X114" s="132"/>
      <c r="Y114" s="132"/>
      <c r="Z114" s="132"/>
      <c r="AA114" s="132"/>
      <c r="AB114" s="132"/>
      <c r="AC114" s="132"/>
      <c r="AD114" s="132"/>
      <c r="AE114" s="132"/>
      <c r="AF114" s="132"/>
      <c r="AG114" s="132"/>
      <c r="AH114" s="132"/>
      <c r="AI114" s="132"/>
      <c r="AJ114" s="132"/>
      <c r="AK114" s="132"/>
      <c r="AL114" s="132"/>
      <c r="AM114" s="132"/>
      <c r="AN114" s="132"/>
      <c r="AO114" s="132"/>
      <c r="AP114" s="132"/>
      <c r="AQ114" s="132"/>
      <c r="AR114" s="132"/>
      <c r="AS114" s="132"/>
      <c r="AT114" s="132"/>
      <c r="AU114" s="132"/>
      <c r="AV114" s="132"/>
      <c r="AW114" s="132"/>
      <c r="AX114" s="132"/>
      <c r="AY114" s="132"/>
      <c r="AZ114" s="132"/>
      <c r="BA114" s="132"/>
      <c r="BB114" s="132"/>
      <c r="BC114" s="132"/>
      <c r="BD114" s="132"/>
      <c r="BE114" s="132"/>
      <c r="BF114" s="132"/>
      <c r="BG114" s="132"/>
      <c r="BH114" s="132"/>
      <c r="BI114" s="132"/>
      <c r="BJ114" s="132"/>
    </row>
    <row r="115" spans="1:62" x14ac:dyDescent="0.2">
      <c r="A115" s="215" t="s">
        <v>316</v>
      </c>
      <c r="B115" s="211">
        <f>+B113+B114</f>
        <v>4111661.4845742639</v>
      </c>
      <c r="C115" s="211">
        <f t="shared" ref="C115:G115" si="24">+C113+C114</f>
        <v>8223322.969148526</v>
      </c>
      <c r="D115" s="211">
        <f t="shared" si="24"/>
        <v>8223322.9691485278</v>
      </c>
      <c r="E115" s="211">
        <f t="shared" si="24"/>
        <v>8223322.9691485269</v>
      </c>
      <c r="F115" s="211">
        <f t="shared" si="24"/>
        <v>8223322.9691485269</v>
      </c>
      <c r="G115" s="211">
        <f t="shared" si="24"/>
        <v>4111661.4845742634</v>
      </c>
      <c r="H115" s="132"/>
      <c r="I115" s="132"/>
      <c r="J115" s="132"/>
      <c r="K115" s="132"/>
      <c r="L115" s="132"/>
      <c r="M115" s="132"/>
      <c r="N115" s="132"/>
      <c r="O115" s="132"/>
      <c r="P115" s="132"/>
      <c r="Q115" s="132"/>
      <c r="R115" s="132"/>
      <c r="S115" s="132"/>
      <c r="T115" s="132"/>
      <c r="U115" s="132"/>
      <c r="V115" s="132"/>
      <c r="W115" s="132"/>
      <c r="X115" s="132"/>
      <c r="Y115" s="132"/>
      <c r="Z115" s="132"/>
      <c r="AA115" s="132"/>
      <c r="AB115" s="132"/>
      <c r="AC115" s="132"/>
      <c r="AD115" s="132"/>
      <c r="AE115" s="132"/>
      <c r="AF115" s="132"/>
      <c r="AG115" s="132"/>
      <c r="AH115" s="132"/>
      <c r="AI115" s="132"/>
      <c r="AJ115" s="132"/>
      <c r="AK115" s="132"/>
      <c r="AL115" s="132"/>
      <c r="AM115" s="132"/>
      <c r="AN115" s="132"/>
      <c r="AO115" s="132"/>
      <c r="AP115" s="132"/>
      <c r="AQ115" s="132"/>
      <c r="AR115" s="132"/>
      <c r="AS115" s="132"/>
      <c r="AT115" s="132"/>
      <c r="AU115" s="132"/>
      <c r="AV115" s="132"/>
      <c r="AW115" s="132"/>
      <c r="AX115" s="132"/>
      <c r="AY115" s="132"/>
      <c r="AZ115" s="132"/>
      <c r="BA115" s="132"/>
      <c r="BB115" s="132"/>
      <c r="BC115" s="132"/>
      <c r="BD115" s="132"/>
      <c r="BE115" s="132"/>
      <c r="BF115" s="132"/>
      <c r="BG115" s="132"/>
      <c r="BH115" s="132"/>
      <c r="BI115" s="132"/>
      <c r="BJ115" s="132"/>
    </row>
    <row r="116" spans="1:62" x14ac:dyDescent="0.2">
      <c r="A116" s="215" t="s">
        <v>317</v>
      </c>
      <c r="B116" s="211">
        <f>+H111</f>
        <v>27805054.302444566</v>
      </c>
      <c r="C116" s="212">
        <f>+T111</f>
        <v>22959255.510055497</v>
      </c>
      <c r="D116" s="212">
        <f>+AF111</f>
        <v>17435044.886731956</v>
      </c>
      <c r="E116" s="212">
        <f>+AR111</f>
        <v>11137444.776143128</v>
      </c>
      <c r="F116" s="212">
        <f>+BD111</f>
        <v>3958180.6500718738</v>
      </c>
      <c r="G116" s="212">
        <f>+BJ111</f>
        <v>2.6775524020195007E-9</v>
      </c>
      <c r="H116" s="132"/>
      <c r="I116" s="132"/>
      <c r="J116" s="132"/>
      <c r="K116" s="132"/>
      <c r="L116" s="132"/>
      <c r="M116" s="132"/>
      <c r="N116" s="132"/>
      <c r="O116" s="132"/>
      <c r="P116" s="132"/>
      <c r="Q116" s="132"/>
      <c r="R116" s="132"/>
      <c r="S116" s="132"/>
      <c r="T116" s="132"/>
      <c r="U116" s="132"/>
      <c r="V116" s="132"/>
      <c r="W116" s="132"/>
      <c r="X116" s="132"/>
      <c r="Y116" s="132"/>
      <c r="Z116" s="132"/>
      <c r="AA116" s="132"/>
      <c r="AB116" s="132"/>
      <c r="AC116" s="132"/>
      <c r="AD116" s="132"/>
      <c r="AE116" s="132"/>
      <c r="AF116" s="132"/>
      <c r="AG116" s="132"/>
      <c r="AH116" s="132"/>
      <c r="AI116" s="132"/>
      <c r="AJ116" s="132"/>
      <c r="AK116" s="132"/>
      <c r="AL116" s="132"/>
      <c r="AM116" s="132"/>
      <c r="AN116" s="132"/>
      <c r="AO116" s="132"/>
      <c r="AP116" s="132"/>
      <c r="AQ116" s="132"/>
      <c r="AR116" s="132"/>
      <c r="AS116" s="132"/>
      <c r="AT116" s="132"/>
      <c r="AU116" s="132"/>
      <c r="AV116" s="132"/>
      <c r="AW116" s="132"/>
      <c r="AX116" s="132"/>
      <c r="AY116" s="132"/>
      <c r="AZ116" s="132"/>
      <c r="BA116" s="132"/>
      <c r="BB116" s="132"/>
      <c r="BC116" s="132"/>
      <c r="BD116" s="132"/>
      <c r="BE116" s="132"/>
      <c r="BF116" s="132"/>
      <c r="BG116" s="132"/>
      <c r="BH116" s="132"/>
      <c r="BI116" s="132"/>
      <c r="BJ116" s="132"/>
    </row>
    <row r="119" spans="1:62" ht="15" x14ac:dyDescent="0.25">
      <c r="A119" s="263" t="s">
        <v>414</v>
      </c>
      <c r="B119" s="263"/>
      <c r="C119" s="263"/>
      <c r="D119" s="263"/>
    </row>
    <row r="121" spans="1:62" x14ac:dyDescent="0.2">
      <c r="A121" s="114" t="s">
        <v>237</v>
      </c>
      <c r="B121" s="114">
        <v>2024</v>
      </c>
      <c r="C121" s="114">
        <v>2025</v>
      </c>
      <c r="D121" s="114">
        <v>2026</v>
      </c>
      <c r="E121" s="114">
        <v>2027</v>
      </c>
      <c r="F121" s="114">
        <v>2028</v>
      </c>
      <c r="G121" s="114">
        <v>2029</v>
      </c>
    </row>
    <row r="123" spans="1:62" ht="15" x14ac:dyDescent="0.25">
      <c r="A123" s="133" t="s">
        <v>318</v>
      </c>
      <c r="B123" s="134">
        <f t="shared" ref="B123:G123" si="25">+B68*B69</f>
        <v>102164380.80000001</v>
      </c>
      <c r="C123" s="134">
        <f t="shared" si="25"/>
        <v>231101959.23244804</v>
      </c>
      <c r="D123" s="134">
        <f t="shared" si="25"/>
        <v>261383248.95067567</v>
      </c>
      <c r="E123" s="134">
        <f t="shared" si="25"/>
        <v>295632296.06068271</v>
      </c>
      <c r="F123" s="134">
        <f t="shared" si="25"/>
        <v>334368995.81351399</v>
      </c>
      <c r="G123" s="134">
        <f t="shared" si="25"/>
        <v>378181365.33495873</v>
      </c>
    </row>
    <row r="124" spans="1:62" x14ac:dyDescent="0.2">
      <c r="A124" s="135" t="s">
        <v>319</v>
      </c>
      <c r="B124" s="136">
        <f>+B125+B126+B127</f>
        <v>64780952.380952381</v>
      </c>
      <c r="C124" s="136">
        <f t="shared" ref="C124:F124" si="26">+C125+C126+C127</f>
        <v>138271321.90476191</v>
      </c>
      <c r="D124" s="136">
        <f t="shared" si="26"/>
        <v>150518628.34857145</v>
      </c>
      <c r="E124" s="136">
        <f t="shared" si="26"/>
        <v>164049365.17130136</v>
      </c>
      <c r="F124" s="136">
        <f t="shared" si="26"/>
        <v>179005124.30550617</v>
      </c>
      <c r="G124" s="136">
        <f>+G125+G126+G127</f>
        <v>202687392.47749355</v>
      </c>
    </row>
    <row r="125" spans="1:62" x14ac:dyDescent="0.2">
      <c r="A125" s="87" t="s">
        <v>320</v>
      </c>
      <c r="B125" s="97">
        <f t="shared" ref="B125:G125" si="27">+B68*B70</f>
        <v>12000000</v>
      </c>
      <c r="C125" s="97">
        <f t="shared" si="27"/>
        <v>27502560</v>
      </c>
      <c r="D125" s="97">
        <f t="shared" si="27"/>
        <v>31516936.919999994</v>
      </c>
      <c r="E125" s="97">
        <f t="shared" si="27"/>
        <v>36118014.618920401</v>
      </c>
      <c r="F125" s="97">
        <f t="shared" si="27"/>
        <v>41391646.66131565</v>
      </c>
      <c r="G125" s="97">
        <f t="shared" si="27"/>
        <v>47436265.193196356</v>
      </c>
    </row>
    <row r="126" spans="1:62" x14ac:dyDescent="0.2">
      <c r="A126" s="87" t="s">
        <v>321</v>
      </c>
      <c r="B126" s="97">
        <f t="shared" ref="B126:G126" si="28">+B74</f>
        <v>50400000</v>
      </c>
      <c r="C126" s="97">
        <f t="shared" si="28"/>
        <v>108864000</v>
      </c>
      <c r="D126" s="97">
        <f t="shared" si="28"/>
        <v>117573120.00000001</v>
      </c>
      <c r="E126" s="97">
        <f t="shared" si="28"/>
        <v>126978969.60000002</v>
      </c>
      <c r="F126" s="97">
        <f t="shared" si="28"/>
        <v>137137287.16800004</v>
      </c>
      <c r="G126" s="97">
        <f t="shared" si="28"/>
        <v>148108270.14144006</v>
      </c>
    </row>
    <row r="127" spans="1:62" x14ac:dyDescent="0.2">
      <c r="A127" s="87" t="s">
        <v>287</v>
      </c>
      <c r="B127" s="97">
        <f t="shared" ref="B127:G127" si="29">+C77</f>
        <v>2380952.3809523811</v>
      </c>
      <c r="C127" s="97">
        <f t="shared" si="29"/>
        <v>1904761.9047619049</v>
      </c>
      <c r="D127" s="97">
        <f t="shared" si="29"/>
        <v>1428571.4285714286</v>
      </c>
      <c r="E127" s="97">
        <f t="shared" si="29"/>
        <v>952380.95238095243</v>
      </c>
      <c r="F127" s="97">
        <f t="shared" si="29"/>
        <v>476190.47619047621</v>
      </c>
      <c r="G127" s="97">
        <f t="shared" si="29"/>
        <v>7142857.1428571437</v>
      </c>
    </row>
    <row r="128" spans="1:62" ht="15" x14ac:dyDescent="0.25">
      <c r="A128" s="137" t="s">
        <v>322</v>
      </c>
      <c r="B128" s="138">
        <f t="shared" ref="B128:G128" si="30">+B123-B124</f>
        <v>37383428.419047631</v>
      </c>
      <c r="C128" s="138">
        <f t="shared" si="30"/>
        <v>92830637.327686131</v>
      </c>
      <c r="D128" s="138">
        <f t="shared" si="30"/>
        <v>110864620.60210422</v>
      </c>
      <c r="E128" s="138">
        <f t="shared" si="30"/>
        <v>131582930.88938135</v>
      </c>
      <c r="F128" s="138">
        <f t="shared" si="30"/>
        <v>155363871.50800782</v>
      </c>
      <c r="G128" s="138">
        <f t="shared" si="30"/>
        <v>175493972.85746518</v>
      </c>
    </row>
    <row r="129" spans="1:7" x14ac:dyDescent="0.2">
      <c r="A129" s="87" t="s">
        <v>234</v>
      </c>
      <c r="B129" s="97">
        <f t="shared" ref="B129:G129" si="31">+B75</f>
        <v>25200000</v>
      </c>
      <c r="C129" s="97">
        <f t="shared" si="31"/>
        <v>54432000</v>
      </c>
      <c r="D129" s="97">
        <f t="shared" si="31"/>
        <v>58786560.000000007</v>
      </c>
      <c r="E129" s="97">
        <f t="shared" si="31"/>
        <v>63489484.800000012</v>
      </c>
      <c r="F129" s="97">
        <f t="shared" si="31"/>
        <v>68568643.584000021</v>
      </c>
      <c r="G129" s="97">
        <f t="shared" si="31"/>
        <v>74054135.070720032</v>
      </c>
    </row>
    <row r="130" spans="1:7" x14ac:dyDescent="0.2">
      <c r="A130" s="87" t="s">
        <v>289</v>
      </c>
      <c r="B130" s="97">
        <f t="shared" ref="B130:G130" si="32">+C79</f>
        <v>1000000</v>
      </c>
      <c r="C130" s="97">
        <f t="shared" si="32"/>
        <v>1000000</v>
      </c>
      <c r="D130" s="97">
        <f t="shared" si="32"/>
        <v>1000000</v>
      </c>
      <c r="E130" s="97">
        <f t="shared" si="32"/>
        <v>1000000</v>
      </c>
      <c r="F130" s="97">
        <f t="shared" si="32"/>
        <v>1000000</v>
      </c>
      <c r="G130" s="97">
        <f t="shared" si="32"/>
        <v>5000000</v>
      </c>
    </row>
    <row r="131" spans="1:7" ht="15" x14ac:dyDescent="0.25">
      <c r="A131" s="137" t="s">
        <v>323</v>
      </c>
      <c r="B131" s="138">
        <f>+B128-B129-B130</f>
        <v>11183428.419047631</v>
      </c>
      <c r="C131" s="138">
        <f t="shared" ref="C131:F131" si="33">+C128-C129-C130</f>
        <v>37398637.327686131</v>
      </c>
      <c r="D131" s="138">
        <f t="shared" si="33"/>
        <v>51078060.602104209</v>
      </c>
      <c r="E131" s="138">
        <f t="shared" si="33"/>
        <v>67093446.089381337</v>
      </c>
      <c r="F131" s="138">
        <f t="shared" si="33"/>
        <v>85795227.924007803</v>
      </c>
      <c r="G131" s="138">
        <f t="shared" ref="G131" si="34">+G128-G129-G130</f>
        <v>96439837.786745146</v>
      </c>
    </row>
    <row r="132" spans="1:7" x14ac:dyDescent="0.2">
      <c r="A132" s="87" t="s">
        <v>324</v>
      </c>
      <c r="B132" s="97">
        <f t="shared" ref="B132:G132" si="35">+B113</f>
        <v>1916715.7870188295</v>
      </c>
      <c r="C132" s="97">
        <f t="shared" si="35"/>
        <v>3377524.1767594535</v>
      </c>
      <c r="D132" s="97">
        <f t="shared" si="35"/>
        <v>2699112.34582499</v>
      </c>
      <c r="E132" s="97">
        <f t="shared" si="35"/>
        <v>1925722.8585597007</v>
      </c>
      <c r="F132" s="97">
        <f t="shared" si="35"/>
        <v>1044058.8430772721</v>
      </c>
      <c r="G132" s="97">
        <f t="shared" si="35"/>
        <v>153480.83450239242</v>
      </c>
    </row>
    <row r="133" spans="1:7" ht="15" x14ac:dyDescent="0.25">
      <c r="A133" s="137" t="s">
        <v>325</v>
      </c>
      <c r="B133" s="138">
        <f>+B131-B132</f>
        <v>9266712.6320288014</v>
      </c>
      <c r="C133" s="138">
        <f t="shared" ref="C133:G133" si="36">+C131-C132</f>
        <v>34021113.150926679</v>
      </c>
      <c r="D133" s="138">
        <f t="shared" si="36"/>
        <v>48378948.256279223</v>
      </c>
      <c r="E133" s="138">
        <f t="shared" si="36"/>
        <v>65167723.230821639</v>
      </c>
      <c r="F133" s="138">
        <f t="shared" si="36"/>
        <v>84751169.080930531</v>
      </c>
      <c r="G133" s="138">
        <f t="shared" si="36"/>
        <v>96286356.952242747</v>
      </c>
    </row>
    <row r="134" spans="1:7" x14ac:dyDescent="0.2">
      <c r="A134" s="87" t="s">
        <v>326</v>
      </c>
      <c r="B134" s="108">
        <f>+B133*$B$6</f>
        <v>3243349.4212100804</v>
      </c>
      <c r="C134" s="108">
        <f t="shared" ref="C134:F134" si="37">+C133*$B$6</f>
        <v>11907389.602824338</v>
      </c>
      <c r="D134" s="108">
        <f t="shared" si="37"/>
        <v>16932631.889697727</v>
      </c>
      <c r="E134" s="108">
        <f t="shared" si="37"/>
        <v>22808703.130787574</v>
      </c>
      <c r="F134" s="108">
        <f t="shared" si="37"/>
        <v>29662909.178325683</v>
      </c>
      <c r="G134" s="108">
        <f t="shared" ref="G134" si="38">+G133*$B$6</f>
        <v>33700224.933284961</v>
      </c>
    </row>
    <row r="135" spans="1:7" ht="15" x14ac:dyDescent="0.25">
      <c r="A135" s="137" t="s">
        <v>327</v>
      </c>
      <c r="B135" s="138">
        <f>+B133-B134</f>
        <v>6023363.210818721</v>
      </c>
      <c r="C135" s="138">
        <f t="shared" ref="C135:F135" si="39">+C133-C134</f>
        <v>22113723.548102342</v>
      </c>
      <c r="D135" s="138">
        <f t="shared" si="39"/>
        <v>31446316.366581496</v>
      </c>
      <c r="E135" s="138">
        <f t="shared" si="39"/>
        <v>42359020.100034066</v>
      </c>
      <c r="F135" s="138">
        <f t="shared" si="39"/>
        <v>55088259.902604848</v>
      </c>
      <c r="G135" s="138">
        <f t="shared" ref="G135" si="40">+G133-G134</f>
        <v>62586132.018957786</v>
      </c>
    </row>
    <row r="137" spans="1:7" ht="15" x14ac:dyDescent="0.25">
      <c r="A137" s="270" t="s">
        <v>328</v>
      </c>
      <c r="B137" s="271"/>
      <c r="C137" s="271"/>
      <c r="D137" s="271"/>
      <c r="E137" s="271"/>
      <c r="F137" s="271"/>
    </row>
    <row r="138" spans="1:7" x14ac:dyDescent="0.2">
      <c r="A138" s="114" t="s">
        <v>237</v>
      </c>
      <c r="B138" s="114">
        <v>2024</v>
      </c>
      <c r="C138" s="114">
        <v>2025</v>
      </c>
      <c r="D138" s="114">
        <v>2026</v>
      </c>
      <c r="E138" s="114">
        <v>2027</v>
      </c>
      <c r="F138" s="114">
        <v>2028</v>
      </c>
    </row>
    <row r="139" spans="1:7" ht="15" x14ac:dyDescent="0.25">
      <c r="A139" s="272" t="s">
        <v>329</v>
      </c>
      <c r="B139" s="273"/>
      <c r="C139" s="273"/>
      <c r="D139" s="273"/>
      <c r="E139" s="273"/>
      <c r="F139" s="273"/>
    </row>
    <row r="140" spans="1:7" x14ac:dyDescent="0.2">
      <c r="A140" s="95" t="s">
        <v>330</v>
      </c>
      <c r="B140" s="97">
        <f t="shared" ref="B140:F141" si="41">+B69</f>
        <v>4256849.2</v>
      </c>
      <c r="C140" s="97">
        <f t="shared" si="41"/>
        <v>4520773.8504000008</v>
      </c>
      <c r="D140" s="97">
        <f t="shared" si="41"/>
        <v>4801061.8291248009</v>
      </c>
      <c r="E140" s="97">
        <f t="shared" si="41"/>
        <v>5098727.6625305386</v>
      </c>
      <c r="F140" s="97">
        <f t="shared" si="41"/>
        <v>5414848.7776074326</v>
      </c>
    </row>
    <row r="141" spans="1:7" x14ac:dyDescent="0.2">
      <c r="A141" s="95" t="s">
        <v>331</v>
      </c>
      <c r="B141" s="97">
        <f t="shared" si="41"/>
        <v>500000</v>
      </c>
      <c r="C141" s="97">
        <f t="shared" si="41"/>
        <v>538000</v>
      </c>
      <c r="D141" s="97">
        <f t="shared" si="41"/>
        <v>578900</v>
      </c>
      <c r="E141" s="97">
        <f t="shared" si="41"/>
        <v>622922.20000000007</v>
      </c>
      <c r="F141" s="97">
        <f t="shared" si="41"/>
        <v>670305.89000000013</v>
      </c>
    </row>
    <row r="142" spans="1:7" x14ac:dyDescent="0.2">
      <c r="A142" s="87" t="s">
        <v>332</v>
      </c>
      <c r="B142" s="97">
        <f>+B140-B141</f>
        <v>3756849.2</v>
      </c>
      <c r="C142" s="97">
        <f t="shared" ref="C142:F142" si="42">+C140-C141</f>
        <v>3982773.8504000008</v>
      </c>
      <c r="D142" s="97">
        <f t="shared" si="42"/>
        <v>4222161.8291248009</v>
      </c>
      <c r="E142" s="97">
        <f t="shared" si="42"/>
        <v>4475805.4625305384</v>
      </c>
      <c r="F142" s="97">
        <f t="shared" si="42"/>
        <v>4744542.8876074329</v>
      </c>
    </row>
    <row r="143" spans="1:7" x14ac:dyDescent="0.2">
      <c r="A143" s="87" t="s">
        <v>333</v>
      </c>
      <c r="B143" s="97">
        <f>+B123-B125</f>
        <v>90164380.800000012</v>
      </c>
      <c r="C143" s="97">
        <f>+C123-C125</f>
        <v>203599399.23244804</v>
      </c>
      <c r="D143" s="97">
        <f>+D123-D125</f>
        <v>229866312.03067568</v>
      </c>
      <c r="E143" s="97">
        <f>+E123-E125</f>
        <v>259514281.44176233</v>
      </c>
      <c r="F143" s="97">
        <f>+F123-F125</f>
        <v>292977349.15219831</v>
      </c>
    </row>
    <row r="144" spans="1:7" x14ac:dyDescent="0.2">
      <c r="A144" s="139" t="s">
        <v>334</v>
      </c>
      <c r="B144" s="140">
        <f>+B140/B141-1</f>
        <v>7.5136984000000009</v>
      </c>
      <c r="C144" s="140">
        <f t="shared" ref="C144:F144" si="43">+C140/C141-1</f>
        <v>7.4029253724907083</v>
      </c>
      <c r="D144" s="140">
        <f t="shared" si="43"/>
        <v>7.2934217120829175</v>
      </c>
      <c r="E144" s="140">
        <f t="shared" si="43"/>
        <v>7.1851757130032254</v>
      </c>
      <c r="F144" s="140">
        <f t="shared" si="43"/>
        <v>7.0781757379566379</v>
      </c>
    </row>
    <row r="145" spans="1:9" x14ac:dyDescent="0.2">
      <c r="A145" s="139" t="s">
        <v>335</v>
      </c>
      <c r="B145" s="140">
        <f>+B123/B125-1</f>
        <v>7.5136984000000009</v>
      </c>
      <c r="C145" s="140">
        <f>+C123/C125-1</f>
        <v>7.4029253724907083</v>
      </c>
      <c r="D145" s="140">
        <f>+D123/D125-1</f>
        <v>7.2934217120829175</v>
      </c>
      <c r="E145" s="140">
        <f>+E123/E125-1</f>
        <v>7.1851757130032254</v>
      </c>
      <c r="F145" s="140">
        <f>+F123/F125-1</f>
        <v>7.0781757379566397</v>
      </c>
    </row>
    <row r="146" spans="1:9" x14ac:dyDescent="0.2">
      <c r="A146" s="139" t="s">
        <v>336</v>
      </c>
      <c r="B146" s="140">
        <f>+B142/B140</f>
        <v>0.88254223334949244</v>
      </c>
      <c r="C146" s="140">
        <f t="shared" ref="C146:F146" si="44">+C142/C140</f>
        <v>0.88099382587952335</v>
      </c>
      <c r="D146" s="140">
        <f t="shared" si="44"/>
        <v>0.87942250681126322</v>
      </c>
      <c r="E146" s="140">
        <f t="shared" si="44"/>
        <v>0.87782791291683948</v>
      </c>
      <c r="F146" s="140">
        <f t="shared" si="44"/>
        <v>0.87620967500108538</v>
      </c>
    </row>
    <row r="147" spans="1:9" x14ac:dyDescent="0.2">
      <c r="A147" s="139" t="s">
        <v>337</v>
      </c>
      <c r="B147" s="140">
        <f>+B143/B123</f>
        <v>0.88254223334949244</v>
      </c>
      <c r="C147" s="140">
        <f>+C143/C123</f>
        <v>0.88099382587952335</v>
      </c>
      <c r="D147" s="140">
        <f>+D143/D123</f>
        <v>0.87942250681126322</v>
      </c>
      <c r="E147" s="140">
        <f>+E143/E123</f>
        <v>0.87782791291683959</v>
      </c>
      <c r="F147" s="140">
        <f>+F143/F123</f>
        <v>0.87620967500108515</v>
      </c>
    </row>
    <row r="148" spans="1:9" x14ac:dyDescent="0.2">
      <c r="A148" s="139" t="s">
        <v>338</v>
      </c>
      <c r="B148" s="140">
        <f>+B128/B123</f>
        <v>0.36591450098670425</v>
      </c>
      <c r="C148" s="140">
        <f>+C128/C123</f>
        <v>0.40168693349031626</v>
      </c>
      <c r="D148" s="140">
        <f>+D128/D123</f>
        <v>0.42414585114834552</v>
      </c>
      <c r="E148" s="140">
        <f>+E128/E123</f>
        <v>0.44508983843352518</v>
      </c>
      <c r="F148" s="140">
        <f>+F128/F123</f>
        <v>0.46464795915066887</v>
      </c>
    </row>
    <row r="149" spans="1:9" x14ac:dyDescent="0.2">
      <c r="A149" s="139" t="s">
        <v>339</v>
      </c>
      <c r="B149" s="140">
        <f>+B131/B123</f>
        <v>0.10946504379976264</v>
      </c>
      <c r="C149" s="140">
        <f>+C131/C123</f>
        <v>0.16182743518011311</v>
      </c>
      <c r="D149" s="140">
        <f>+D131/D123</f>
        <v>0.19541443763958607</v>
      </c>
      <c r="E149" s="140">
        <f>+E131/E123</f>
        <v>0.22694897338147879</v>
      </c>
      <c r="F149" s="140">
        <f>+F131/F123</f>
        <v>0.25658846662881973</v>
      </c>
    </row>
    <row r="150" spans="1:9" x14ac:dyDescent="0.2">
      <c r="A150" s="139" t="s">
        <v>340</v>
      </c>
      <c r="B150" s="140">
        <f>+B133/B123</f>
        <v>9.070394749584583E-2</v>
      </c>
      <c r="C150" s="140">
        <f>+C133/C123</f>
        <v>0.14721256913580472</v>
      </c>
      <c r="D150" s="140">
        <f>+D133/D123</f>
        <v>0.18508817397632307</v>
      </c>
      <c r="E150" s="140">
        <f>+E133/E123</f>
        <v>0.22043506105112765</v>
      </c>
      <c r="F150" s="140">
        <f>+F133/F123</f>
        <v>0.25346599159031596</v>
      </c>
    </row>
    <row r="151" spans="1:9" x14ac:dyDescent="0.2">
      <c r="A151" s="141" t="s">
        <v>341</v>
      </c>
      <c r="B151" s="142">
        <f>+B135/B123</f>
        <v>5.8957565872299791E-2</v>
      </c>
      <c r="C151" s="142">
        <f>+C135/C123</f>
        <v>9.568816993827306E-2</v>
      </c>
      <c r="D151" s="142">
        <f>+D135/D123</f>
        <v>0.12030731308461</v>
      </c>
      <c r="E151" s="142">
        <f>+E135/E123</f>
        <v>0.14328278968323296</v>
      </c>
      <c r="F151" s="142">
        <f>+F135/F123</f>
        <v>0.1647528945337054</v>
      </c>
      <c r="I151" s="143" t="s">
        <v>342</v>
      </c>
    </row>
    <row r="152" spans="1:9" x14ac:dyDescent="0.2">
      <c r="A152" s="144" t="s">
        <v>343</v>
      </c>
      <c r="B152" s="145">
        <f>+(B126+B129+B127+B130)/B142</f>
        <v>21.023189427180728</v>
      </c>
      <c r="C152" s="145">
        <f t="shared" ref="C152:F152" si="45">+(C126+C129+C127+C130)/C142</f>
        <v>41.729901859245643</v>
      </c>
      <c r="D152" s="145">
        <f t="shared" si="45"/>
        <v>42.345191554543504</v>
      </c>
      <c r="E152" s="145">
        <f t="shared" si="45"/>
        <v>42.991331272827431</v>
      </c>
      <c r="F152" s="145">
        <f t="shared" si="45"/>
        <v>43.667456725776979</v>
      </c>
      <c r="H152" s="265" t="s">
        <v>344</v>
      </c>
      <c r="I152" s="266" t="s">
        <v>345</v>
      </c>
    </row>
    <row r="153" spans="1:9" x14ac:dyDescent="0.2">
      <c r="A153" s="144" t="s">
        <v>346</v>
      </c>
      <c r="B153" s="145">
        <f>+B152*B140</f>
        <v>89492547.094542742</v>
      </c>
      <c r="C153" s="145">
        <f t="shared" ref="C153:F153" si="46">+C152*C140</f>
        <v>188651449.10503608</v>
      </c>
      <c r="D153" s="145">
        <f t="shared" si="46"/>
        <v>203301882.81949672</v>
      </c>
      <c r="E153" s="145">
        <f t="shared" si="46"/>
        <v>219201090.00977945</v>
      </c>
      <c r="F153" s="145">
        <f t="shared" si="46"/>
        <v>236452674.67279893</v>
      </c>
      <c r="H153" s="265"/>
      <c r="I153" s="265"/>
    </row>
    <row r="154" spans="1:9" x14ac:dyDescent="0.2">
      <c r="A154" s="139" t="s">
        <v>347</v>
      </c>
      <c r="B154" s="140">
        <f>+B153/B123</f>
        <v>0.87596622613253028</v>
      </c>
      <c r="C154" s="140">
        <f>+C153/C123</f>
        <v>0.81631263417929667</v>
      </c>
      <c r="D154" s="140">
        <f>+D153/D123</f>
        <v>0.77779231697384255</v>
      </c>
      <c r="E154" s="140">
        <f>+E153/E123</f>
        <v>0.74146530311690073</v>
      </c>
      <c r="F154" s="140">
        <f>+F153/F123</f>
        <v>0.70716088403326283</v>
      </c>
      <c r="H154" s="265"/>
      <c r="I154" s="265"/>
    </row>
    <row r="155" spans="1:9" ht="15" customHeight="1" x14ac:dyDescent="0.2">
      <c r="A155" s="144" t="s">
        <v>348</v>
      </c>
      <c r="B155" s="145">
        <f>+(B126+B127+B129+B130+B132)/B142</f>
        <v>21.533381794502482</v>
      </c>
      <c r="C155" s="145">
        <f t="shared" ref="C155:F155" si="47">+(C126+C127+C129+C130+C132)/C142</f>
        <v>42.577934989828798</v>
      </c>
      <c r="D155" s="145">
        <f t="shared" si="47"/>
        <v>42.984464148788064</v>
      </c>
      <c r="E155" s="145">
        <f t="shared" si="47"/>
        <v>43.42158296153039</v>
      </c>
      <c r="F155" s="145">
        <f t="shared" si="47"/>
        <v>43.887511400760388</v>
      </c>
      <c r="H155" s="265" t="s">
        <v>349</v>
      </c>
      <c r="I155" s="266" t="s">
        <v>350</v>
      </c>
    </row>
    <row r="156" spans="1:9" x14ac:dyDescent="0.2">
      <c r="A156" s="144" t="s">
        <v>351</v>
      </c>
      <c r="B156" s="145">
        <f>+B155*B140</f>
        <v>91664359.065222457</v>
      </c>
      <c r="C156" s="145">
        <f t="shared" ref="C156:F156" si="48">+C155*C140</f>
        <v>192485215.10604924</v>
      </c>
      <c r="D156" s="145">
        <f t="shared" si="48"/>
        <v>206371070.07012984</v>
      </c>
      <c r="E156" s="145">
        <f t="shared" si="48"/>
        <v>221394826.19681972</v>
      </c>
      <c r="F156" s="145">
        <f t="shared" si="48"/>
        <v>237644237.46063966</v>
      </c>
      <c r="H156" s="265"/>
      <c r="I156" s="266"/>
    </row>
    <row r="157" spans="1:9" x14ac:dyDescent="0.2">
      <c r="A157" s="139" t="s">
        <v>352</v>
      </c>
      <c r="B157" s="140">
        <f>+B156/B123</f>
        <v>0.89722424143760338</v>
      </c>
      <c r="C157" s="140">
        <f>+C156/C123</f>
        <v>0.83290170167896704</v>
      </c>
      <c r="D157" s="140">
        <f>+D156/D123</f>
        <v>0.78953441316001505</v>
      </c>
      <c r="E157" s="140">
        <f>+E156/E123</f>
        <v>0.74888579206980588</v>
      </c>
      <c r="F157" s="140">
        <f>+F156/F123</f>
        <v>0.71072450028584533</v>
      </c>
      <c r="H157" s="265"/>
      <c r="I157" s="266"/>
    </row>
    <row r="158" spans="1:9" x14ac:dyDescent="0.2">
      <c r="A158" s="139" t="s">
        <v>353</v>
      </c>
      <c r="B158" s="146">
        <f>+B135+B134+B132+B127+B130</f>
        <v>14564380.800000012</v>
      </c>
      <c r="C158" s="146">
        <f t="shared" ref="C158:F158" si="49">+C135+C134+C132+C127+C130</f>
        <v>40303399.232448034</v>
      </c>
      <c r="D158" s="146">
        <f t="shared" si="49"/>
        <v>53506632.030675635</v>
      </c>
      <c r="E158" s="146">
        <f t="shared" si="49"/>
        <v>69045827.041762292</v>
      </c>
      <c r="F158" s="146">
        <f t="shared" si="49"/>
        <v>87271418.400198281</v>
      </c>
    </row>
    <row r="159" spans="1:9" x14ac:dyDescent="0.2">
      <c r="A159" s="139" t="s">
        <v>354</v>
      </c>
      <c r="B159" s="146">
        <f>+B123-B125-B126-B129</f>
        <v>14564380.800000012</v>
      </c>
      <c r="C159" s="146">
        <f>+C123-C125-C126-C129</f>
        <v>40303399.232448041</v>
      </c>
      <c r="D159" s="146">
        <f>+D123-D125-D126-D129</f>
        <v>53506632.030675657</v>
      </c>
      <c r="E159" s="146">
        <f>+E123-E125-E126-E129</f>
        <v>69045827.041762292</v>
      </c>
      <c r="F159" s="146">
        <f>+F123-F125-F126-F129</f>
        <v>87271418.400198251</v>
      </c>
    </row>
    <row r="160" spans="1:9" x14ac:dyDescent="0.2">
      <c r="A160" s="139" t="s">
        <v>355</v>
      </c>
      <c r="B160" s="140">
        <f>+B158/B123</f>
        <v>0.14255830345129455</v>
      </c>
      <c r="C160" s="140">
        <f>+C158/C123</f>
        <v>0.17439661423168587</v>
      </c>
      <c r="D160" s="140">
        <f>+D158/D123</f>
        <v>0.20470566589664133</v>
      </c>
      <c r="E160" s="140">
        <f>+E158/E123</f>
        <v>0.23355305885656572</v>
      </c>
      <c r="F160" s="140">
        <f>+F158/F123</f>
        <v>0.26100332115981156</v>
      </c>
    </row>
    <row r="161" spans="1:9" x14ac:dyDescent="0.2">
      <c r="A161" s="139" t="s">
        <v>356</v>
      </c>
      <c r="B161" s="140">
        <f>+B131/B259</f>
        <v>0.1362640142495842</v>
      </c>
      <c r="C161" s="140">
        <f>+C131/C259</f>
        <v>0.34627171375964905</v>
      </c>
      <c r="D161" s="140">
        <f>+D131/D259</f>
        <v>0.36759743528552374</v>
      </c>
      <c r="E161" s="140">
        <f>+E131/E259</f>
        <v>0.37091036580883707</v>
      </c>
      <c r="F161" s="140">
        <f>+F131/F259</f>
        <v>0.36407630991951362</v>
      </c>
    </row>
    <row r="162" spans="1:9" x14ac:dyDescent="0.2">
      <c r="A162" s="139" t="s">
        <v>357</v>
      </c>
      <c r="B162" s="140">
        <f>+B135/B273</f>
        <v>0.11805108153947717</v>
      </c>
      <c r="C162" s="140">
        <f>+C135/C273</f>
        <v>0.30235991790314187</v>
      </c>
      <c r="D162" s="140">
        <f>+D135/D273</f>
        <v>0.30068170882568407</v>
      </c>
      <c r="E162" s="140">
        <f>+E135/E273</f>
        <v>0.28826950835715248</v>
      </c>
      <c r="F162" s="140">
        <f>+F135/F273</f>
        <v>0.27267273985142232</v>
      </c>
    </row>
    <row r="163" spans="1:9" x14ac:dyDescent="0.2">
      <c r="A163" s="147" t="s">
        <v>358</v>
      </c>
      <c r="B163" s="148">
        <f>+B135/B270</f>
        <v>0.13385251579597157</v>
      </c>
      <c r="C163" s="148">
        <f>+C135/C270</f>
        <v>0.49141607884671873</v>
      </c>
      <c r="D163" s="148">
        <f>+D135/D270</f>
        <v>0.69880703036847769</v>
      </c>
      <c r="E163" s="148">
        <f>+E135/E270</f>
        <v>0.94131155777853481</v>
      </c>
      <c r="F163" s="148">
        <f>+F135/F270</f>
        <v>1.2241835533912189</v>
      </c>
      <c r="H163" s="249" t="s">
        <v>359</v>
      </c>
    </row>
    <row r="164" spans="1:9" ht="15" x14ac:dyDescent="0.25">
      <c r="A164" s="267" t="s">
        <v>360</v>
      </c>
      <c r="B164" s="267"/>
      <c r="C164" s="267"/>
      <c r="D164" s="267"/>
      <c r="E164" s="267"/>
      <c r="F164" s="267"/>
    </row>
    <row r="165" spans="1:9" x14ac:dyDescent="0.2">
      <c r="A165" s="178" t="s">
        <v>361</v>
      </c>
      <c r="B165" s="150">
        <f>+B255/B265</f>
        <v>21.722210642706553</v>
      </c>
      <c r="C165" s="150">
        <f t="shared" ref="C165:F165" si="50">+C255/C265</f>
        <v>8.3384729541363569</v>
      </c>
      <c r="D165" s="150">
        <f t="shared" si="50"/>
        <v>7.8348933869480293</v>
      </c>
      <c r="E165" s="150">
        <f t="shared" si="50"/>
        <v>7.7406960311047595</v>
      </c>
      <c r="F165" s="150">
        <f t="shared" si="50"/>
        <v>7.848004007290573</v>
      </c>
    </row>
    <row r="166" spans="1:9" x14ac:dyDescent="0.2">
      <c r="A166" s="178" t="s">
        <v>362</v>
      </c>
      <c r="B166" s="151">
        <f>+B255-B265</f>
        <v>67209369.894215673</v>
      </c>
      <c r="C166" s="151">
        <f t="shared" ref="C166:F166" si="51">+C255-C265</f>
        <v>87382056.554690868</v>
      </c>
      <c r="D166" s="151">
        <f t="shared" si="51"/>
        <v>115732733.7265203</v>
      </c>
      <c r="E166" s="151">
        <f t="shared" si="51"/>
        <v>153746534.66834649</v>
      </c>
      <c r="F166" s="151">
        <f t="shared" si="51"/>
        <v>203131720.92107061</v>
      </c>
    </row>
    <row r="167" spans="1:9" ht="15" x14ac:dyDescent="0.25">
      <c r="A167" s="268" t="s">
        <v>363</v>
      </c>
      <c r="B167" s="267"/>
      <c r="C167" s="267"/>
      <c r="D167" s="267"/>
      <c r="E167" s="267"/>
      <c r="F167" s="269"/>
    </row>
    <row r="168" spans="1:9" x14ac:dyDescent="0.2">
      <c r="A168" s="149" t="s">
        <v>364</v>
      </c>
      <c r="B168" s="152">
        <f>+B268/B259</f>
        <v>0.37830797219759987</v>
      </c>
      <c r="C168" s="152">
        <f>+C268/C259</f>
        <v>0.32282815147782218</v>
      </c>
      <c r="D168" s="152">
        <f>+D268/D259</f>
        <v>0.24733652160663594</v>
      </c>
      <c r="E168" s="152">
        <f>+E268/E259</f>
        <v>0.1876633094861003</v>
      </c>
      <c r="F168" s="152">
        <f>+F268/F259</f>
        <v>0.14267276416629479</v>
      </c>
    </row>
    <row r="169" spans="1:9" ht="15" x14ac:dyDescent="0.25">
      <c r="A169" s="268" t="s">
        <v>365</v>
      </c>
      <c r="B169" s="267"/>
      <c r="C169" s="267"/>
      <c r="D169" s="267"/>
      <c r="E169" s="267"/>
      <c r="F169" s="269"/>
    </row>
    <row r="170" spans="1:9" x14ac:dyDescent="0.2">
      <c r="A170" s="149" t="s">
        <v>366</v>
      </c>
      <c r="B170" s="153">
        <f>120*B254/B123</f>
        <v>16.000000000000004</v>
      </c>
      <c r="C170" s="153">
        <f>360*C254/C123</f>
        <v>23.999999999999996</v>
      </c>
      <c r="D170" s="153">
        <f>360*D254/D123</f>
        <v>23.999999999999989</v>
      </c>
      <c r="E170" s="153">
        <f>360*E254/E123</f>
        <v>24.000000000000004</v>
      </c>
      <c r="F170" s="153">
        <f>360*F254/F123</f>
        <v>23.999999999999993</v>
      </c>
    </row>
    <row r="171" spans="1:9" x14ac:dyDescent="0.2">
      <c r="A171" s="149" t="s">
        <v>367</v>
      </c>
      <c r="B171" s="153">
        <f>+B123/B254</f>
        <v>7.4999999999999982</v>
      </c>
      <c r="C171" s="153">
        <f>+C123/C254</f>
        <v>15</v>
      </c>
      <c r="D171" s="153">
        <f>+D123/D254</f>
        <v>15.000000000000005</v>
      </c>
      <c r="E171" s="153">
        <f>+E123/E254</f>
        <v>14.999999999999998</v>
      </c>
      <c r="F171" s="153">
        <f>+F123/F254</f>
        <v>15.000000000000004</v>
      </c>
    </row>
    <row r="173" spans="1:9" ht="15" x14ac:dyDescent="0.25">
      <c r="A173" s="263" t="s">
        <v>368</v>
      </c>
      <c r="B173" s="263"/>
      <c r="C173" s="263"/>
      <c r="D173" s="263"/>
    </row>
    <row r="175" spans="1:9" ht="15" x14ac:dyDescent="0.25">
      <c r="A175" s="216" t="s">
        <v>237</v>
      </c>
      <c r="B175" s="217">
        <v>45383</v>
      </c>
      <c r="C175" s="216">
        <v>2024</v>
      </c>
      <c r="D175" s="216">
        <v>2025</v>
      </c>
      <c r="E175" s="216">
        <v>2026</v>
      </c>
      <c r="F175" s="216">
        <v>2027</v>
      </c>
      <c r="G175" s="216">
        <v>2028</v>
      </c>
      <c r="H175" s="216">
        <v>2029</v>
      </c>
      <c r="I175" s="99" t="s">
        <v>369</v>
      </c>
    </row>
    <row r="177" spans="1:9" x14ac:dyDescent="0.2">
      <c r="A177" s="95" t="s">
        <v>370</v>
      </c>
      <c r="B177" s="87"/>
      <c r="C177" s="87"/>
      <c r="D177" s="87"/>
      <c r="E177" s="87"/>
      <c r="F177" s="87"/>
      <c r="G177" s="87"/>
      <c r="H177" s="87"/>
    </row>
    <row r="178" spans="1:9" x14ac:dyDescent="0.2">
      <c r="A178" s="87" t="s">
        <v>371</v>
      </c>
      <c r="B178" s="97">
        <f>+D42</f>
        <v>45000000</v>
      </c>
      <c r="C178" s="87"/>
      <c r="D178" s="87"/>
      <c r="E178" s="87"/>
      <c r="F178" s="87"/>
      <c r="G178" s="87"/>
      <c r="H178" s="87"/>
    </row>
    <row r="179" spans="1:9" x14ac:dyDescent="0.2">
      <c r="A179" s="87" t="s">
        <v>372</v>
      </c>
      <c r="B179" s="97">
        <f>+B97</f>
        <v>30000000</v>
      </c>
      <c r="C179" s="87"/>
      <c r="D179" s="87"/>
      <c r="E179" s="87"/>
      <c r="F179" s="87"/>
      <c r="G179" s="87"/>
      <c r="H179" s="87"/>
    </row>
    <row r="180" spans="1:9" x14ac:dyDescent="0.2">
      <c r="A180" s="87" t="s">
        <v>246</v>
      </c>
      <c r="B180" s="87"/>
      <c r="C180" s="97">
        <f>+B90</f>
        <v>61298628.480000004</v>
      </c>
      <c r="D180" s="97">
        <f>+C90</f>
        <v>138661175.53946882</v>
      </c>
      <c r="E180" s="97">
        <f>+D90</f>
        <v>156829949.37040541</v>
      </c>
      <c r="F180" s="97">
        <f>+E90</f>
        <v>177379377.63640961</v>
      </c>
      <c r="G180" s="97">
        <f>+F90</f>
        <v>200621397.4881084</v>
      </c>
      <c r="H180" s="97"/>
    </row>
    <row r="181" spans="1:9" x14ac:dyDescent="0.2">
      <c r="A181" s="87" t="s">
        <v>373</v>
      </c>
      <c r="B181" s="87"/>
      <c r="C181" s="97">
        <f>+B92</f>
        <v>27243834.880000003</v>
      </c>
      <c r="D181" s="97">
        <f>+C92+B93</f>
        <v>90655903.850816011</v>
      </c>
      <c r="E181" s="97">
        <f>+D92+C93</f>
        <v>102534546.93238844</v>
      </c>
      <c r="F181" s="97">
        <f>+E92+D93</f>
        <v>115969648.61693928</v>
      </c>
      <c r="G181" s="97">
        <f>+F92+E93</f>
        <v>131165151.67521685</v>
      </c>
      <c r="H181" s="97">
        <f>+G92+F93</f>
        <v>123139630.47688992</v>
      </c>
    </row>
    <row r="182" spans="1:9" ht="15" x14ac:dyDescent="0.25">
      <c r="A182" s="137" t="s">
        <v>374</v>
      </c>
      <c r="B182" s="138">
        <f>SUM(B178:B181)</f>
        <v>75000000</v>
      </c>
      <c r="C182" s="138">
        <f>SUM(C178:C181)</f>
        <v>88542463.360000014</v>
      </c>
      <c r="D182" s="138">
        <f t="shared" ref="D182:G182" si="52">SUM(D178:D181)</f>
        <v>229317079.39028484</v>
      </c>
      <c r="E182" s="138">
        <f t="shared" si="52"/>
        <v>259364496.30279386</v>
      </c>
      <c r="F182" s="138">
        <f t="shared" si="52"/>
        <v>293349026.25334889</v>
      </c>
      <c r="G182" s="138">
        <f t="shared" si="52"/>
        <v>331786549.16332525</v>
      </c>
      <c r="H182" s="138">
        <f>SUM(H178:H181)</f>
        <v>123139630.47688992</v>
      </c>
      <c r="I182" s="155">
        <f>+NPV(B7,C182:H182)</f>
        <v>806842941.80591881</v>
      </c>
    </row>
    <row r="183" spans="1:9" x14ac:dyDescent="0.2">
      <c r="A183" s="95" t="s">
        <v>375</v>
      </c>
      <c r="B183" s="87"/>
      <c r="C183" s="87"/>
      <c r="D183" s="87"/>
      <c r="E183" s="87"/>
      <c r="F183" s="87"/>
      <c r="G183" s="87"/>
      <c r="H183" s="87"/>
    </row>
    <row r="184" spans="1:9" x14ac:dyDescent="0.2">
      <c r="A184" s="87" t="s">
        <v>376</v>
      </c>
      <c r="B184" s="97">
        <f>+B42</f>
        <v>15000000</v>
      </c>
      <c r="C184" s="87"/>
      <c r="D184" s="87"/>
      <c r="E184" s="87"/>
      <c r="F184" s="87"/>
      <c r="G184" s="87"/>
      <c r="H184" s="87"/>
    </row>
    <row r="185" spans="1:9" x14ac:dyDescent="0.2">
      <c r="A185" s="87" t="s">
        <v>377</v>
      </c>
      <c r="B185" s="87"/>
      <c r="C185" s="97">
        <f>+B68*B70</f>
        <v>12000000</v>
      </c>
      <c r="D185" s="97">
        <f>+C68*C70</f>
        <v>27502560</v>
      </c>
      <c r="E185" s="97">
        <f>+D68*D70</f>
        <v>31516936.919999994</v>
      </c>
      <c r="F185" s="97">
        <f>+E68*E70</f>
        <v>36118014.618920401</v>
      </c>
      <c r="G185" s="97">
        <f>+F68*F70</f>
        <v>41391646.66131565</v>
      </c>
      <c r="H185" s="97"/>
    </row>
    <row r="186" spans="1:9" x14ac:dyDescent="0.2">
      <c r="A186" s="87" t="s">
        <v>378</v>
      </c>
      <c r="B186" s="87"/>
      <c r="C186" s="97">
        <f t="shared" ref="C186:G187" si="53">+B74</f>
        <v>50400000</v>
      </c>
      <c r="D186" s="97">
        <f t="shared" si="53"/>
        <v>108864000</v>
      </c>
      <c r="E186" s="97">
        <f t="shared" si="53"/>
        <v>117573120.00000001</v>
      </c>
      <c r="F186" s="97">
        <f t="shared" si="53"/>
        <v>126978969.60000002</v>
      </c>
      <c r="G186" s="97">
        <f t="shared" si="53"/>
        <v>137137287.16800004</v>
      </c>
      <c r="H186" s="97"/>
    </row>
    <row r="187" spans="1:9" x14ac:dyDescent="0.2">
      <c r="A187" s="87" t="s">
        <v>234</v>
      </c>
      <c r="B187" s="87"/>
      <c r="C187" s="97">
        <f t="shared" si="53"/>
        <v>25200000</v>
      </c>
      <c r="D187" s="97">
        <f t="shared" si="53"/>
        <v>54432000</v>
      </c>
      <c r="E187" s="97">
        <f t="shared" si="53"/>
        <v>58786560.000000007</v>
      </c>
      <c r="F187" s="97">
        <f t="shared" si="53"/>
        <v>63489484.800000012</v>
      </c>
      <c r="G187" s="97">
        <f t="shared" si="53"/>
        <v>68568643.584000021</v>
      </c>
      <c r="H187" s="97"/>
      <c r="I187" s="156">
        <f>+I182-I191</f>
        <v>82417781.001310706</v>
      </c>
    </row>
    <row r="188" spans="1:9" x14ac:dyDescent="0.2">
      <c r="A188" s="87" t="s">
        <v>379</v>
      </c>
      <c r="B188" s="87"/>
      <c r="C188" s="97">
        <f t="shared" ref="C188:H188" si="54">+B115</f>
        <v>4111661.4845742639</v>
      </c>
      <c r="D188" s="97">
        <f t="shared" si="54"/>
        <v>8223322.969148526</v>
      </c>
      <c r="E188" s="97">
        <f t="shared" si="54"/>
        <v>8223322.9691485278</v>
      </c>
      <c r="F188" s="97">
        <f t="shared" si="54"/>
        <v>8223322.9691485269</v>
      </c>
      <c r="G188" s="97">
        <f t="shared" si="54"/>
        <v>8223322.9691485269</v>
      </c>
      <c r="H188" s="97">
        <f t="shared" si="54"/>
        <v>4111661.4845742634</v>
      </c>
    </row>
    <row r="189" spans="1:9" x14ac:dyDescent="0.2">
      <c r="A189" s="87" t="s">
        <v>380</v>
      </c>
      <c r="B189" s="87"/>
      <c r="C189" s="87"/>
      <c r="D189" s="97">
        <f>+B134</f>
        <v>3243349.4212100804</v>
      </c>
      <c r="E189" s="97">
        <f>+C134</f>
        <v>11907389.602824338</v>
      </c>
      <c r="F189" s="97">
        <f>+D134</f>
        <v>16932631.889697727</v>
      </c>
      <c r="G189" s="97">
        <f>+E134</f>
        <v>22808703.130787574</v>
      </c>
      <c r="H189" s="97">
        <f>+F134</f>
        <v>29662909.178325683</v>
      </c>
    </row>
    <row r="190" spans="1:9" x14ac:dyDescent="0.2">
      <c r="A190" s="87" t="s">
        <v>381</v>
      </c>
      <c r="B190" s="87"/>
      <c r="C190" s="87"/>
      <c r="D190" s="87"/>
      <c r="E190" s="87"/>
      <c r="F190" s="87"/>
      <c r="G190" s="87"/>
      <c r="H190" s="87"/>
    </row>
    <row r="191" spans="1:9" ht="15" x14ac:dyDescent="0.25">
      <c r="A191" s="137" t="s">
        <v>382</v>
      </c>
      <c r="B191" s="157">
        <f t="shared" ref="B191:H191" si="55">SUM(B184:B190)</f>
        <v>15000000</v>
      </c>
      <c r="C191" s="157">
        <f t="shared" si="55"/>
        <v>91711661.484574258</v>
      </c>
      <c r="D191" s="157">
        <f t="shared" si="55"/>
        <v>202265232.3903586</v>
      </c>
      <c r="E191" s="157">
        <f t="shared" si="55"/>
        <v>228007329.49197286</v>
      </c>
      <c r="F191" s="157">
        <f t="shared" si="55"/>
        <v>251742423.87776667</v>
      </c>
      <c r="G191" s="157">
        <f t="shared" si="55"/>
        <v>278129603.51325178</v>
      </c>
      <c r="H191" s="157">
        <f t="shared" si="55"/>
        <v>33774570.662899949</v>
      </c>
      <c r="I191" s="115">
        <f>+NPV($B$228,C191:H191)+B178</f>
        <v>724425160.80460811</v>
      </c>
    </row>
    <row r="192" spans="1:9" x14ac:dyDescent="0.2">
      <c r="A192" s="95" t="s">
        <v>383</v>
      </c>
      <c r="B192" s="97">
        <f t="shared" ref="B192:H192" si="56">+B182-B191</f>
        <v>60000000</v>
      </c>
      <c r="C192" s="97">
        <f t="shared" si="56"/>
        <v>-3169198.124574244</v>
      </c>
      <c r="D192" s="97">
        <f t="shared" si="56"/>
        <v>27051846.999926239</v>
      </c>
      <c r="E192" s="97">
        <f t="shared" si="56"/>
        <v>31357166.810820997</v>
      </c>
      <c r="F192" s="97">
        <f t="shared" si="56"/>
        <v>41606602.375582218</v>
      </c>
      <c r="G192" s="97">
        <f t="shared" si="56"/>
        <v>53656945.650073469</v>
      </c>
      <c r="H192" s="97">
        <f t="shared" si="56"/>
        <v>89365059.813989967</v>
      </c>
    </row>
    <row r="193" spans="1:62" ht="15" x14ac:dyDescent="0.25">
      <c r="A193" s="158" t="s">
        <v>384</v>
      </c>
      <c r="B193" s="96">
        <f>+B192</f>
        <v>60000000</v>
      </c>
      <c r="C193" s="138">
        <f>+B193+C192</f>
        <v>56830801.875425756</v>
      </c>
      <c r="D193" s="138">
        <f t="shared" ref="D193:H193" si="57">+C193+D192</f>
        <v>83882648.875351995</v>
      </c>
      <c r="E193" s="138">
        <f t="shared" si="57"/>
        <v>115239815.68617299</v>
      </c>
      <c r="F193" s="138">
        <f t="shared" si="57"/>
        <v>156846418.06175521</v>
      </c>
      <c r="G193" s="138">
        <f t="shared" si="57"/>
        <v>210503363.71182868</v>
      </c>
      <c r="H193" s="138">
        <f t="shared" si="57"/>
        <v>299868423.52581865</v>
      </c>
    </row>
    <row r="195" spans="1:62" ht="15" x14ac:dyDescent="0.25">
      <c r="A195" s="263" t="s">
        <v>385</v>
      </c>
      <c r="B195" s="263"/>
      <c r="C195" s="263"/>
      <c r="D195" s="263"/>
    </row>
    <row r="197" spans="1:62" x14ac:dyDescent="0.2">
      <c r="A197" s="114" t="s">
        <v>237</v>
      </c>
      <c r="B197" s="154">
        <v>45383</v>
      </c>
      <c r="C197" s="154">
        <v>45474</v>
      </c>
      <c r="D197" s="154">
        <v>45505</v>
      </c>
      <c r="E197" s="154">
        <v>45536</v>
      </c>
      <c r="F197" s="154">
        <v>45566</v>
      </c>
      <c r="G197" s="154">
        <v>45597</v>
      </c>
      <c r="H197" s="154">
        <v>45627</v>
      </c>
      <c r="I197" s="154">
        <v>45658</v>
      </c>
      <c r="J197" s="154">
        <v>45689</v>
      </c>
      <c r="K197" s="154">
        <v>45717</v>
      </c>
      <c r="L197" s="154">
        <v>45748</v>
      </c>
      <c r="M197" s="154">
        <v>45778</v>
      </c>
      <c r="N197" s="154">
        <v>45809</v>
      </c>
      <c r="O197" s="154">
        <v>45839</v>
      </c>
      <c r="P197" s="154">
        <v>45870</v>
      </c>
      <c r="Q197" s="154">
        <v>45901</v>
      </c>
      <c r="R197" s="154">
        <v>45931</v>
      </c>
      <c r="S197" s="154">
        <v>45962</v>
      </c>
      <c r="T197" s="154">
        <v>45992</v>
      </c>
      <c r="U197" s="154">
        <v>46023</v>
      </c>
      <c r="V197" s="154">
        <v>46054</v>
      </c>
      <c r="W197" s="154">
        <v>46082</v>
      </c>
      <c r="X197" s="154">
        <v>46113</v>
      </c>
      <c r="Y197" s="154">
        <v>46143</v>
      </c>
      <c r="Z197" s="154">
        <v>46174</v>
      </c>
      <c r="AA197" s="154">
        <v>46204</v>
      </c>
      <c r="AB197" s="154">
        <v>46235</v>
      </c>
      <c r="AC197" s="154">
        <v>46266</v>
      </c>
      <c r="AD197" s="154">
        <v>46296</v>
      </c>
      <c r="AE197" s="154">
        <v>46327</v>
      </c>
      <c r="AF197" s="154">
        <v>46357</v>
      </c>
      <c r="AG197" s="154">
        <v>46388</v>
      </c>
      <c r="AH197" s="154">
        <v>46419</v>
      </c>
      <c r="AI197" s="154">
        <v>46447</v>
      </c>
      <c r="AJ197" s="154">
        <v>46478</v>
      </c>
      <c r="AK197" s="154">
        <v>46508</v>
      </c>
      <c r="AL197" s="154">
        <v>46539</v>
      </c>
      <c r="AM197" s="154">
        <v>46569</v>
      </c>
      <c r="AN197" s="154">
        <v>46600</v>
      </c>
      <c r="AO197" s="154">
        <v>46631</v>
      </c>
      <c r="AP197" s="154">
        <v>46661</v>
      </c>
      <c r="AQ197" s="154">
        <v>46692</v>
      </c>
      <c r="AR197" s="154">
        <v>46722</v>
      </c>
      <c r="AS197" s="154">
        <v>46753</v>
      </c>
      <c r="AT197" s="154">
        <v>46784</v>
      </c>
      <c r="AU197" s="154">
        <v>46813</v>
      </c>
      <c r="AV197" s="154">
        <v>46844</v>
      </c>
      <c r="AW197" s="154">
        <v>46874</v>
      </c>
      <c r="AX197" s="154">
        <v>46905</v>
      </c>
      <c r="AY197" s="154">
        <v>46935</v>
      </c>
      <c r="AZ197" s="154">
        <v>46966</v>
      </c>
      <c r="BA197" s="154">
        <v>46997</v>
      </c>
      <c r="BB197" s="154">
        <v>47027</v>
      </c>
      <c r="BC197" s="154">
        <v>47058</v>
      </c>
      <c r="BD197" s="154">
        <v>47088</v>
      </c>
      <c r="BE197" s="154">
        <v>47119</v>
      </c>
      <c r="BF197" s="154">
        <v>47150</v>
      </c>
      <c r="BG197" s="154">
        <v>47178</v>
      </c>
      <c r="BH197" s="154">
        <v>47209</v>
      </c>
      <c r="BI197" s="154">
        <v>47239</v>
      </c>
      <c r="BJ197" s="154">
        <v>47270</v>
      </c>
    </row>
    <row r="199" spans="1:62" x14ac:dyDescent="0.2">
      <c r="A199" s="95" t="s">
        <v>370</v>
      </c>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c r="AK199" s="87"/>
      <c r="AL199" s="87"/>
      <c r="AM199" s="87"/>
      <c r="AN199" s="87"/>
      <c r="AO199" s="87"/>
      <c r="AP199" s="87"/>
      <c r="AQ199" s="87"/>
      <c r="AR199" s="87"/>
      <c r="AS199" s="87"/>
      <c r="AT199" s="87"/>
      <c r="AU199" s="87"/>
      <c r="AV199" s="87"/>
      <c r="AW199" s="87"/>
      <c r="AX199" s="87"/>
      <c r="AY199" s="87"/>
      <c r="AZ199" s="87"/>
      <c r="BA199" s="87"/>
      <c r="BB199" s="87"/>
      <c r="BC199" s="87"/>
      <c r="BD199" s="87"/>
      <c r="BE199" s="87"/>
      <c r="BF199" s="87"/>
      <c r="BG199" s="87"/>
      <c r="BH199" s="87"/>
      <c r="BI199" s="87"/>
      <c r="BJ199" s="87"/>
    </row>
    <row r="200" spans="1:62" x14ac:dyDescent="0.2">
      <c r="A200" s="87" t="s">
        <v>371</v>
      </c>
      <c r="B200" s="97">
        <f>+B178</f>
        <v>45000000</v>
      </c>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c r="AK200" s="87"/>
      <c r="AL200" s="87"/>
      <c r="AM200" s="87"/>
      <c r="AN200" s="87"/>
      <c r="AO200" s="87"/>
      <c r="AP200" s="87"/>
      <c r="AQ200" s="87"/>
      <c r="AR200" s="87"/>
      <c r="AS200" s="87"/>
      <c r="AT200" s="87"/>
      <c r="AU200" s="87"/>
      <c r="AV200" s="87"/>
      <c r="AW200" s="87"/>
      <c r="AX200" s="87"/>
      <c r="AY200" s="87"/>
      <c r="AZ200" s="87"/>
      <c r="BA200" s="87"/>
      <c r="BB200" s="87"/>
      <c r="BC200" s="87"/>
      <c r="BD200" s="87"/>
      <c r="BE200" s="87"/>
      <c r="BF200" s="87"/>
      <c r="BG200" s="87"/>
      <c r="BH200" s="87"/>
      <c r="BI200" s="87"/>
      <c r="BJ200" s="87"/>
    </row>
    <row r="201" spans="1:62" x14ac:dyDescent="0.2">
      <c r="A201" s="87" t="s">
        <v>372</v>
      </c>
      <c r="B201" s="97">
        <f>+B97</f>
        <v>30000000</v>
      </c>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c r="AK201" s="87"/>
      <c r="AL201" s="87"/>
      <c r="AM201" s="87"/>
      <c r="AN201" s="87"/>
      <c r="AO201" s="87"/>
      <c r="AP201" s="87"/>
      <c r="AQ201" s="87"/>
      <c r="AR201" s="87"/>
      <c r="AS201" s="87"/>
      <c r="AT201" s="87"/>
      <c r="AU201" s="87"/>
      <c r="AV201" s="87"/>
      <c r="AW201" s="87"/>
      <c r="AX201" s="87"/>
      <c r="AY201" s="87"/>
      <c r="AZ201" s="87"/>
      <c r="BA201" s="87"/>
      <c r="BB201" s="87"/>
      <c r="BC201" s="87"/>
      <c r="BD201" s="87"/>
      <c r="BE201" s="87"/>
      <c r="BF201" s="87"/>
      <c r="BG201" s="87"/>
      <c r="BH201" s="87"/>
      <c r="BI201" s="87"/>
      <c r="BJ201" s="87"/>
    </row>
    <row r="202" spans="1:62" x14ac:dyDescent="0.2">
      <c r="A202" s="87" t="s">
        <v>246</v>
      </c>
      <c r="B202" s="87"/>
      <c r="C202" s="87"/>
      <c r="D202" s="87"/>
      <c r="E202" s="108">
        <f>+$B$90/4</f>
        <v>15324657.120000001</v>
      </c>
      <c r="F202" s="108">
        <f t="shared" ref="F202:H202" si="58">+$B$90/4</f>
        <v>15324657.120000001</v>
      </c>
      <c r="G202" s="108">
        <f t="shared" si="58"/>
        <v>15324657.120000001</v>
      </c>
      <c r="H202" s="108">
        <f t="shared" si="58"/>
        <v>15324657.120000001</v>
      </c>
      <c r="I202" s="108">
        <f>+$C$90/12</f>
        <v>11555097.961622402</v>
      </c>
      <c r="J202" s="108">
        <f t="shared" ref="J202:T202" si="59">+$C$90/12</f>
        <v>11555097.961622402</v>
      </c>
      <c r="K202" s="108">
        <f t="shared" si="59"/>
        <v>11555097.961622402</v>
      </c>
      <c r="L202" s="108">
        <f t="shared" si="59"/>
        <v>11555097.961622402</v>
      </c>
      <c r="M202" s="108">
        <f t="shared" si="59"/>
        <v>11555097.961622402</v>
      </c>
      <c r="N202" s="108">
        <f t="shared" si="59"/>
        <v>11555097.961622402</v>
      </c>
      <c r="O202" s="108">
        <f t="shared" si="59"/>
        <v>11555097.961622402</v>
      </c>
      <c r="P202" s="108">
        <f t="shared" si="59"/>
        <v>11555097.961622402</v>
      </c>
      <c r="Q202" s="108">
        <f t="shared" si="59"/>
        <v>11555097.961622402</v>
      </c>
      <c r="R202" s="108">
        <f t="shared" si="59"/>
        <v>11555097.961622402</v>
      </c>
      <c r="S202" s="108">
        <f t="shared" si="59"/>
        <v>11555097.961622402</v>
      </c>
      <c r="T202" s="108">
        <f t="shared" si="59"/>
        <v>11555097.961622402</v>
      </c>
      <c r="U202" s="108">
        <f>+$D$90/12</f>
        <v>13069162.447533784</v>
      </c>
      <c r="V202" s="108">
        <f t="shared" ref="V202:AF202" si="60">+$D$90/12</f>
        <v>13069162.447533784</v>
      </c>
      <c r="W202" s="108">
        <f t="shared" si="60"/>
        <v>13069162.447533784</v>
      </c>
      <c r="X202" s="108">
        <f t="shared" si="60"/>
        <v>13069162.447533784</v>
      </c>
      <c r="Y202" s="108">
        <f t="shared" si="60"/>
        <v>13069162.447533784</v>
      </c>
      <c r="Z202" s="108">
        <f t="shared" si="60"/>
        <v>13069162.447533784</v>
      </c>
      <c r="AA202" s="108">
        <f t="shared" si="60"/>
        <v>13069162.447533784</v>
      </c>
      <c r="AB202" s="108">
        <f t="shared" si="60"/>
        <v>13069162.447533784</v>
      </c>
      <c r="AC202" s="108">
        <f t="shared" si="60"/>
        <v>13069162.447533784</v>
      </c>
      <c r="AD202" s="108">
        <f t="shared" si="60"/>
        <v>13069162.447533784</v>
      </c>
      <c r="AE202" s="108">
        <f t="shared" si="60"/>
        <v>13069162.447533784</v>
      </c>
      <c r="AF202" s="108">
        <f t="shared" si="60"/>
        <v>13069162.447533784</v>
      </c>
      <c r="AG202" s="108">
        <f>+$E$90/12</f>
        <v>14781614.803034134</v>
      </c>
      <c r="AH202" s="108">
        <f t="shared" ref="AH202:AR202" si="61">+$E$90/12</f>
        <v>14781614.803034134</v>
      </c>
      <c r="AI202" s="108">
        <f t="shared" si="61"/>
        <v>14781614.803034134</v>
      </c>
      <c r="AJ202" s="108">
        <f t="shared" si="61"/>
        <v>14781614.803034134</v>
      </c>
      <c r="AK202" s="108">
        <f t="shared" si="61"/>
        <v>14781614.803034134</v>
      </c>
      <c r="AL202" s="108">
        <f t="shared" si="61"/>
        <v>14781614.803034134</v>
      </c>
      <c r="AM202" s="108">
        <f t="shared" si="61"/>
        <v>14781614.803034134</v>
      </c>
      <c r="AN202" s="108">
        <f t="shared" si="61"/>
        <v>14781614.803034134</v>
      </c>
      <c r="AO202" s="108">
        <f t="shared" si="61"/>
        <v>14781614.803034134</v>
      </c>
      <c r="AP202" s="108">
        <f t="shared" si="61"/>
        <v>14781614.803034134</v>
      </c>
      <c r="AQ202" s="108">
        <f t="shared" si="61"/>
        <v>14781614.803034134</v>
      </c>
      <c r="AR202" s="108">
        <f t="shared" si="61"/>
        <v>14781614.803034134</v>
      </c>
      <c r="AS202" s="108">
        <f t="shared" ref="AS202:BD202" si="62">+$F$90/12</f>
        <v>16718449.7906757</v>
      </c>
      <c r="AT202" s="108">
        <f t="shared" si="62"/>
        <v>16718449.7906757</v>
      </c>
      <c r="AU202" s="108">
        <f t="shared" si="62"/>
        <v>16718449.7906757</v>
      </c>
      <c r="AV202" s="108">
        <f t="shared" si="62"/>
        <v>16718449.7906757</v>
      </c>
      <c r="AW202" s="108">
        <f t="shared" si="62"/>
        <v>16718449.7906757</v>
      </c>
      <c r="AX202" s="108">
        <f t="shared" si="62"/>
        <v>16718449.7906757</v>
      </c>
      <c r="AY202" s="108">
        <f t="shared" si="62"/>
        <v>16718449.7906757</v>
      </c>
      <c r="AZ202" s="108">
        <f t="shared" si="62"/>
        <v>16718449.7906757</v>
      </c>
      <c r="BA202" s="108">
        <f t="shared" si="62"/>
        <v>16718449.7906757</v>
      </c>
      <c r="BB202" s="108">
        <f t="shared" si="62"/>
        <v>16718449.7906757</v>
      </c>
      <c r="BC202" s="108">
        <f t="shared" si="62"/>
        <v>16718449.7906757</v>
      </c>
      <c r="BD202" s="108">
        <f t="shared" si="62"/>
        <v>16718449.7906757</v>
      </c>
      <c r="BE202" s="108"/>
      <c r="BF202" s="108"/>
      <c r="BG202" s="108"/>
      <c r="BH202" s="108"/>
      <c r="BI202" s="108"/>
      <c r="BJ202" s="108"/>
    </row>
    <row r="203" spans="1:62" x14ac:dyDescent="0.2">
      <c r="A203" s="87" t="s">
        <v>373</v>
      </c>
      <c r="B203" s="87"/>
      <c r="C203" s="87"/>
      <c r="D203" s="87"/>
      <c r="E203" s="108"/>
      <c r="F203" s="108"/>
      <c r="G203" s="108">
        <f>+$B$92/2</f>
        <v>13621917.440000001</v>
      </c>
      <c r="H203" s="108">
        <f>+$B$92/2</f>
        <v>13621917.440000001</v>
      </c>
      <c r="I203" s="108">
        <f>+$B$93/2</f>
        <v>6810958.7200000025</v>
      </c>
      <c r="J203" s="108">
        <f>+$B$93/2</f>
        <v>6810958.7200000025</v>
      </c>
      <c r="K203" s="108">
        <f>+$C$92/10</f>
        <v>7703398.6410816014</v>
      </c>
      <c r="L203" s="108">
        <f t="shared" ref="L203:T203" si="63">+$C$92/10</f>
        <v>7703398.6410816014</v>
      </c>
      <c r="M203" s="108">
        <f t="shared" si="63"/>
        <v>7703398.6410816014</v>
      </c>
      <c r="N203" s="108">
        <f t="shared" si="63"/>
        <v>7703398.6410816014</v>
      </c>
      <c r="O203" s="108">
        <f t="shared" si="63"/>
        <v>7703398.6410816014</v>
      </c>
      <c r="P203" s="108">
        <f t="shared" si="63"/>
        <v>7703398.6410816014</v>
      </c>
      <c r="Q203" s="108">
        <f t="shared" si="63"/>
        <v>7703398.6410816014</v>
      </c>
      <c r="R203" s="108">
        <f t="shared" si="63"/>
        <v>7703398.6410816014</v>
      </c>
      <c r="S203" s="108">
        <f t="shared" si="63"/>
        <v>7703398.6410816014</v>
      </c>
      <c r="T203" s="108">
        <f t="shared" si="63"/>
        <v>7703398.6410816014</v>
      </c>
      <c r="U203" s="108">
        <f>+$C$93/2</f>
        <v>7703398.6410816014</v>
      </c>
      <c r="V203" s="108">
        <f>+$C$93/2</f>
        <v>7703398.6410816014</v>
      </c>
      <c r="W203" s="108">
        <f>+$D$92/10</f>
        <v>8712774.965022523</v>
      </c>
      <c r="X203" s="108">
        <f t="shared" ref="X203:AF203" si="64">+$D$92/10</f>
        <v>8712774.965022523</v>
      </c>
      <c r="Y203" s="108">
        <f t="shared" si="64"/>
        <v>8712774.965022523</v>
      </c>
      <c r="Z203" s="108">
        <f t="shared" si="64"/>
        <v>8712774.965022523</v>
      </c>
      <c r="AA203" s="108">
        <f t="shared" si="64"/>
        <v>8712774.965022523</v>
      </c>
      <c r="AB203" s="108">
        <f t="shared" si="64"/>
        <v>8712774.965022523</v>
      </c>
      <c r="AC203" s="108">
        <f t="shared" si="64"/>
        <v>8712774.965022523</v>
      </c>
      <c r="AD203" s="108">
        <f t="shared" si="64"/>
        <v>8712774.965022523</v>
      </c>
      <c r="AE203" s="108">
        <f t="shared" si="64"/>
        <v>8712774.965022523</v>
      </c>
      <c r="AF203" s="108">
        <f t="shared" si="64"/>
        <v>8712774.965022523</v>
      </c>
      <c r="AG203" s="108">
        <f>+$D$93/2</f>
        <v>8712774.9650225192</v>
      </c>
      <c r="AH203" s="108">
        <f>+$D$93/2</f>
        <v>8712774.9650225192</v>
      </c>
      <c r="AI203" s="97">
        <f>+$E$92/10</f>
        <v>9854409.8686894234</v>
      </c>
      <c r="AJ203" s="97">
        <f t="shared" ref="AJ203:AR203" si="65">+$E$92/10</f>
        <v>9854409.8686894234</v>
      </c>
      <c r="AK203" s="97">
        <f t="shared" si="65"/>
        <v>9854409.8686894234</v>
      </c>
      <c r="AL203" s="97">
        <f t="shared" si="65"/>
        <v>9854409.8686894234</v>
      </c>
      <c r="AM203" s="97">
        <f t="shared" si="65"/>
        <v>9854409.8686894234</v>
      </c>
      <c r="AN203" s="97">
        <f t="shared" si="65"/>
        <v>9854409.8686894234</v>
      </c>
      <c r="AO203" s="97">
        <f t="shared" si="65"/>
        <v>9854409.8686894234</v>
      </c>
      <c r="AP203" s="97">
        <f t="shared" si="65"/>
        <v>9854409.8686894234</v>
      </c>
      <c r="AQ203" s="97">
        <f t="shared" si="65"/>
        <v>9854409.8686894234</v>
      </c>
      <c r="AR203" s="97">
        <f t="shared" si="65"/>
        <v>9854409.8686894234</v>
      </c>
      <c r="AS203" s="108">
        <f>+$E$93/2</f>
        <v>9854409.8686894253</v>
      </c>
      <c r="AT203" s="108">
        <f>+$E$93/2</f>
        <v>9854409.8686894253</v>
      </c>
      <c r="AU203" s="97">
        <f t="shared" ref="AU203:BD203" si="66">+$F$92/10</f>
        <v>11145633.193783801</v>
      </c>
      <c r="AV203" s="97">
        <f t="shared" si="66"/>
        <v>11145633.193783801</v>
      </c>
      <c r="AW203" s="97">
        <f t="shared" si="66"/>
        <v>11145633.193783801</v>
      </c>
      <c r="AX203" s="97">
        <f t="shared" si="66"/>
        <v>11145633.193783801</v>
      </c>
      <c r="AY203" s="97">
        <f t="shared" si="66"/>
        <v>11145633.193783801</v>
      </c>
      <c r="AZ203" s="97">
        <f t="shared" si="66"/>
        <v>11145633.193783801</v>
      </c>
      <c r="BA203" s="97">
        <f t="shared" si="66"/>
        <v>11145633.193783801</v>
      </c>
      <c r="BB203" s="97">
        <f t="shared" si="66"/>
        <v>11145633.193783801</v>
      </c>
      <c r="BC203" s="97">
        <f t="shared" si="66"/>
        <v>11145633.193783801</v>
      </c>
      <c r="BD203" s="97">
        <f t="shared" si="66"/>
        <v>11145633.193783801</v>
      </c>
      <c r="BE203" s="97">
        <f>+$F$93/2</f>
        <v>11145633.193783797</v>
      </c>
      <c r="BF203" s="97">
        <f>+$F$93/2</f>
        <v>11145633.193783797</v>
      </c>
      <c r="BG203" s="97">
        <f>+$G$92/4</f>
        <v>25212091.022330582</v>
      </c>
      <c r="BH203" s="97">
        <f t="shared" ref="BH203:BJ203" si="67">+$G$92/4</f>
        <v>25212091.022330582</v>
      </c>
      <c r="BI203" s="97">
        <f t="shared" si="67"/>
        <v>25212091.022330582</v>
      </c>
      <c r="BJ203" s="97">
        <f t="shared" si="67"/>
        <v>25212091.022330582</v>
      </c>
    </row>
    <row r="204" spans="1:62" ht="15" x14ac:dyDescent="0.25">
      <c r="A204" s="137" t="s">
        <v>374</v>
      </c>
      <c r="B204" s="138">
        <f>SUM(B200:B203)</f>
        <v>75000000</v>
      </c>
      <c r="C204" s="138">
        <f t="shared" ref="C204:BD204" si="68">SUM(C200:C203)</f>
        <v>0</v>
      </c>
      <c r="D204" s="138">
        <f t="shared" si="68"/>
        <v>0</v>
      </c>
      <c r="E204" s="138">
        <f t="shared" si="68"/>
        <v>15324657.120000001</v>
      </c>
      <c r="F204" s="138">
        <f t="shared" si="68"/>
        <v>15324657.120000001</v>
      </c>
      <c r="G204" s="138">
        <f t="shared" si="68"/>
        <v>28946574.560000002</v>
      </c>
      <c r="H204" s="138">
        <f t="shared" si="68"/>
        <v>28946574.560000002</v>
      </c>
      <c r="I204" s="138">
        <f t="shared" si="68"/>
        <v>18366056.681622405</v>
      </c>
      <c r="J204" s="138">
        <f t="shared" si="68"/>
        <v>18366056.681622405</v>
      </c>
      <c r="K204" s="138">
        <f t="shared" si="68"/>
        <v>19258496.602704003</v>
      </c>
      <c r="L204" s="138">
        <f t="shared" si="68"/>
        <v>19258496.602704003</v>
      </c>
      <c r="M204" s="138">
        <f t="shared" si="68"/>
        <v>19258496.602704003</v>
      </c>
      <c r="N204" s="138">
        <f t="shared" si="68"/>
        <v>19258496.602704003</v>
      </c>
      <c r="O204" s="138">
        <f t="shared" si="68"/>
        <v>19258496.602704003</v>
      </c>
      <c r="P204" s="138">
        <f t="shared" si="68"/>
        <v>19258496.602704003</v>
      </c>
      <c r="Q204" s="138">
        <f t="shared" si="68"/>
        <v>19258496.602704003</v>
      </c>
      <c r="R204" s="138">
        <f t="shared" si="68"/>
        <v>19258496.602704003</v>
      </c>
      <c r="S204" s="138">
        <f t="shared" si="68"/>
        <v>19258496.602704003</v>
      </c>
      <c r="T204" s="138">
        <f t="shared" si="68"/>
        <v>19258496.602704003</v>
      </c>
      <c r="U204" s="138">
        <f t="shared" si="68"/>
        <v>20772561.088615388</v>
      </c>
      <c r="V204" s="138">
        <f t="shared" si="68"/>
        <v>20772561.088615388</v>
      </c>
      <c r="W204" s="138">
        <f t="shared" si="68"/>
        <v>21781937.412556306</v>
      </c>
      <c r="X204" s="138">
        <f t="shared" si="68"/>
        <v>21781937.412556306</v>
      </c>
      <c r="Y204" s="138">
        <f t="shared" si="68"/>
        <v>21781937.412556306</v>
      </c>
      <c r="Z204" s="138">
        <f t="shared" si="68"/>
        <v>21781937.412556306</v>
      </c>
      <c r="AA204" s="138">
        <f t="shared" si="68"/>
        <v>21781937.412556306</v>
      </c>
      <c r="AB204" s="138">
        <f t="shared" si="68"/>
        <v>21781937.412556306</v>
      </c>
      <c r="AC204" s="138">
        <f t="shared" si="68"/>
        <v>21781937.412556306</v>
      </c>
      <c r="AD204" s="138">
        <f t="shared" si="68"/>
        <v>21781937.412556306</v>
      </c>
      <c r="AE204" s="138">
        <f t="shared" si="68"/>
        <v>21781937.412556306</v>
      </c>
      <c r="AF204" s="138">
        <f t="shared" si="68"/>
        <v>21781937.412556306</v>
      </c>
      <c r="AG204" s="138">
        <f t="shared" si="68"/>
        <v>23494389.768056653</v>
      </c>
      <c r="AH204" s="138">
        <f t="shared" si="68"/>
        <v>23494389.768056653</v>
      </c>
      <c r="AI204" s="138">
        <f t="shared" si="68"/>
        <v>24636024.671723559</v>
      </c>
      <c r="AJ204" s="138">
        <f t="shared" si="68"/>
        <v>24636024.671723559</v>
      </c>
      <c r="AK204" s="138">
        <f t="shared" si="68"/>
        <v>24636024.671723559</v>
      </c>
      <c r="AL204" s="138">
        <f t="shared" si="68"/>
        <v>24636024.671723559</v>
      </c>
      <c r="AM204" s="138">
        <f t="shared" si="68"/>
        <v>24636024.671723559</v>
      </c>
      <c r="AN204" s="138">
        <f t="shared" si="68"/>
        <v>24636024.671723559</v>
      </c>
      <c r="AO204" s="138">
        <f t="shared" si="68"/>
        <v>24636024.671723559</v>
      </c>
      <c r="AP204" s="138">
        <f t="shared" si="68"/>
        <v>24636024.671723559</v>
      </c>
      <c r="AQ204" s="138">
        <f t="shared" si="68"/>
        <v>24636024.671723559</v>
      </c>
      <c r="AR204" s="138">
        <f t="shared" si="68"/>
        <v>24636024.671723559</v>
      </c>
      <c r="AS204" s="138">
        <f t="shared" si="68"/>
        <v>26572859.659365125</v>
      </c>
      <c r="AT204" s="138">
        <f t="shared" si="68"/>
        <v>26572859.659365125</v>
      </c>
      <c r="AU204" s="138">
        <f t="shared" si="68"/>
        <v>27864082.984459501</v>
      </c>
      <c r="AV204" s="138">
        <f t="shared" si="68"/>
        <v>27864082.984459501</v>
      </c>
      <c r="AW204" s="138">
        <f t="shared" si="68"/>
        <v>27864082.984459501</v>
      </c>
      <c r="AX204" s="138">
        <f t="shared" si="68"/>
        <v>27864082.984459501</v>
      </c>
      <c r="AY204" s="138">
        <f t="shared" si="68"/>
        <v>27864082.984459501</v>
      </c>
      <c r="AZ204" s="138">
        <f t="shared" si="68"/>
        <v>27864082.984459501</v>
      </c>
      <c r="BA204" s="138">
        <f t="shared" si="68"/>
        <v>27864082.984459501</v>
      </c>
      <c r="BB204" s="138">
        <f t="shared" si="68"/>
        <v>27864082.984459501</v>
      </c>
      <c r="BC204" s="138">
        <f t="shared" si="68"/>
        <v>27864082.984459501</v>
      </c>
      <c r="BD204" s="138">
        <f t="shared" si="68"/>
        <v>27864082.984459501</v>
      </c>
      <c r="BE204" s="138">
        <f t="shared" ref="BE204:BH204" si="69">SUM(BE200:BE203)</f>
        <v>11145633.193783797</v>
      </c>
      <c r="BF204" s="138">
        <f t="shared" si="69"/>
        <v>11145633.193783797</v>
      </c>
      <c r="BG204" s="138">
        <f t="shared" si="69"/>
        <v>25212091.022330582</v>
      </c>
      <c r="BH204" s="138">
        <f t="shared" si="69"/>
        <v>25212091.022330582</v>
      </c>
      <c r="BI204" s="138">
        <f t="shared" ref="BI204:BJ204" si="70">SUM(BI200:BI203)</f>
        <v>25212091.022330582</v>
      </c>
      <c r="BJ204" s="138">
        <f t="shared" si="70"/>
        <v>25212091.022330582</v>
      </c>
    </row>
    <row r="205" spans="1:62" x14ac:dyDescent="0.2">
      <c r="A205" s="95" t="s">
        <v>375</v>
      </c>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c r="AK205" s="87"/>
      <c r="AL205" s="87"/>
      <c r="AM205" s="87"/>
      <c r="AN205" s="87"/>
      <c r="AO205" s="87"/>
      <c r="AP205" s="87"/>
      <c r="AQ205" s="87"/>
      <c r="AR205" s="87"/>
      <c r="AS205" s="87"/>
      <c r="AT205" s="87"/>
      <c r="AU205" s="87"/>
      <c r="AV205" s="87"/>
      <c r="AW205" s="87"/>
      <c r="AX205" s="87"/>
      <c r="AY205" s="87"/>
      <c r="AZ205" s="87"/>
      <c r="BA205" s="87"/>
      <c r="BB205" s="87"/>
      <c r="BC205" s="87"/>
      <c r="BD205" s="87"/>
      <c r="BE205" s="87"/>
      <c r="BF205" s="87"/>
      <c r="BG205" s="87"/>
      <c r="BH205" s="87"/>
      <c r="BI205" s="87"/>
      <c r="BJ205" s="87"/>
    </row>
    <row r="206" spans="1:62" x14ac:dyDescent="0.2">
      <c r="A206" s="87" t="s">
        <v>376</v>
      </c>
      <c r="B206" s="97">
        <f>+B184</f>
        <v>15000000</v>
      </c>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c r="AK206" s="87"/>
      <c r="AL206" s="87"/>
      <c r="AM206" s="87"/>
      <c r="AN206" s="87"/>
      <c r="AO206" s="87"/>
      <c r="AP206" s="87"/>
      <c r="AQ206" s="87"/>
      <c r="AR206" s="87"/>
      <c r="AS206" s="87"/>
      <c r="AT206" s="87"/>
      <c r="AU206" s="87"/>
      <c r="AV206" s="87"/>
      <c r="AW206" s="87"/>
      <c r="AX206" s="87"/>
      <c r="AY206" s="87"/>
      <c r="AZ206" s="87"/>
      <c r="BA206" s="87"/>
      <c r="BB206" s="87"/>
      <c r="BC206" s="87"/>
      <c r="BD206" s="87"/>
      <c r="BE206" s="87"/>
      <c r="BF206" s="87"/>
      <c r="BG206" s="87"/>
      <c r="BH206" s="87"/>
      <c r="BI206" s="87"/>
      <c r="BJ206" s="87"/>
    </row>
    <row r="207" spans="1:62" x14ac:dyDescent="0.2">
      <c r="A207" s="87" t="s">
        <v>377</v>
      </c>
      <c r="B207" s="87"/>
      <c r="C207" s="108">
        <f t="shared" ref="C207:H207" si="71">+$C$185/6</f>
        <v>2000000</v>
      </c>
      <c r="D207" s="108">
        <f t="shared" si="71"/>
        <v>2000000</v>
      </c>
      <c r="E207" s="108">
        <f t="shared" si="71"/>
        <v>2000000</v>
      </c>
      <c r="F207" s="108">
        <f t="shared" si="71"/>
        <v>2000000</v>
      </c>
      <c r="G207" s="108">
        <f t="shared" si="71"/>
        <v>2000000</v>
      </c>
      <c r="H207" s="108">
        <f t="shared" si="71"/>
        <v>2000000</v>
      </c>
      <c r="I207" s="108">
        <f t="shared" ref="I207:T207" si="72">+$D$185/12</f>
        <v>2291880</v>
      </c>
      <c r="J207" s="108">
        <f t="shared" si="72"/>
        <v>2291880</v>
      </c>
      <c r="K207" s="108">
        <f t="shared" si="72"/>
        <v>2291880</v>
      </c>
      <c r="L207" s="108">
        <f t="shared" si="72"/>
        <v>2291880</v>
      </c>
      <c r="M207" s="108">
        <f t="shared" si="72"/>
        <v>2291880</v>
      </c>
      <c r="N207" s="108">
        <f t="shared" si="72"/>
        <v>2291880</v>
      </c>
      <c r="O207" s="108">
        <f t="shared" si="72"/>
        <v>2291880</v>
      </c>
      <c r="P207" s="108">
        <f t="shared" si="72"/>
        <v>2291880</v>
      </c>
      <c r="Q207" s="108">
        <f t="shared" si="72"/>
        <v>2291880</v>
      </c>
      <c r="R207" s="108">
        <f t="shared" si="72"/>
        <v>2291880</v>
      </c>
      <c r="S207" s="108">
        <f t="shared" si="72"/>
        <v>2291880</v>
      </c>
      <c r="T207" s="108">
        <f t="shared" si="72"/>
        <v>2291880</v>
      </c>
      <c r="U207" s="108">
        <f t="shared" ref="U207:AF207" si="73">+$E$185/12</f>
        <v>2626411.4099999997</v>
      </c>
      <c r="V207" s="108">
        <f t="shared" si="73"/>
        <v>2626411.4099999997</v>
      </c>
      <c r="W207" s="108">
        <f t="shared" si="73"/>
        <v>2626411.4099999997</v>
      </c>
      <c r="X207" s="108">
        <f t="shared" si="73"/>
        <v>2626411.4099999997</v>
      </c>
      <c r="Y207" s="108">
        <f t="shared" si="73"/>
        <v>2626411.4099999997</v>
      </c>
      <c r="Z207" s="108">
        <f t="shared" si="73"/>
        <v>2626411.4099999997</v>
      </c>
      <c r="AA207" s="108">
        <f t="shared" si="73"/>
        <v>2626411.4099999997</v>
      </c>
      <c r="AB207" s="108">
        <f t="shared" si="73"/>
        <v>2626411.4099999997</v>
      </c>
      <c r="AC207" s="108">
        <f t="shared" si="73"/>
        <v>2626411.4099999997</v>
      </c>
      <c r="AD207" s="108">
        <f t="shared" si="73"/>
        <v>2626411.4099999997</v>
      </c>
      <c r="AE207" s="108">
        <f t="shared" si="73"/>
        <v>2626411.4099999997</v>
      </c>
      <c r="AF207" s="108">
        <f t="shared" si="73"/>
        <v>2626411.4099999997</v>
      </c>
      <c r="AG207" s="108">
        <f t="shared" ref="AG207:AR207" si="74">+$F$185/12</f>
        <v>3009834.5515767001</v>
      </c>
      <c r="AH207" s="108">
        <f t="shared" si="74"/>
        <v>3009834.5515767001</v>
      </c>
      <c r="AI207" s="108">
        <f t="shared" si="74"/>
        <v>3009834.5515767001</v>
      </c>
      <c r="AJ207" s="108">
        <f t="shared" si="74"/>
        <v>3009834.5515767001</v>
      </c>
      <c r="AK207" s="108">
        <f t="shared" si="74"/>
        <v>3009834.5515767001</v>
      </c>
      <c r="AL207" s="108">
        <f t="shared" si="74"/>
        <v>3009834.5515767001</v>
      </c>
      <c r="AM207" s="108">
        <f t="shared" si="74"/>
        <v>3009834.5515767001</v>
      </c>
      <c r="AN207" s="108">
        <f t="shared" si="74"/>
        <v>3009834.5515767001</v>
      </c>
      <c r="AO207" s="108">
        <f t="shared" si="74"/>
        <v>3009834.5515767001</v>
      </c>
      <c r="AP207" s="108">
        <f t="shared" si="74"/>
        <v>3009834.5515767001</v>
      </c>
      <c r="AQ207" s="108">
        <f t="shared" si="74"/>
        <v>3009834.5515767001</v>
      </c>
      <c r="AR207" s="108">
        <f t="shared" si="74"/>
        <v>3009834.5515767001</v>
      </c>
      <c r="AS207" s="108">
        <f t="shared" ref="AS207:BD207" si="75">+$G$185/12</f>
        <v>3449303.8884429708</v>
      </c>
      <c r="AT207" s="108">
        <f t="shared" si="75"/>
        <v>3449303.8884429708</v>
      </c>
      <c r="AU207" s="108">
        <f t="shared" si="75"/>
        <v>3449303.8884429708</v>
      </c>
      <c r="AV207" s="108">
        <f t="shared" si="75"/>
        <v>3449303.8884429708</v>
      </c>
      <c r="AW207" s="108">
        <f t="shared" si="75"/>
        <v>3449303.8884429708</v>
      </c>
      <c r="AX207" s="108">
        <f t="shared" si="75"/>
        <v>3449303.8884429708</v>
      </c>
      <c r="AY207" s="108">
        <f t="shared" si="75"/>
        <v>3449303.8884429708</v>
      </c>
      <c r="AZ207" s="108">
        <f t="shared" si="75"/>
        <v>3449303.8884429708</v>
      </c>
      <c r="BA207" s="108">
        <f t="shared" si="75"/>
        <v>3449303.8884429708</v>
      </c>
      <c r="BB207" s="108">
        <f t="shared" si="75"/>
        <v>3449303.8884429708</v>
      </c>
      <c r="BC207" s="108">
        <f t="shared" si="75"/>
        <v>3449303.8884429708</v>
      </c>
      <c r="BD207" s="108">
        <f t="shared" si="75"/>
        <v>3449303.8884429708</v>
      </c>
      <c r="BE207" s="108"/>
      <c r="BF207" s="108"/>
      <c r="BG207" s="108"/>
      <c r="BH207" s="108"/>
      <c r="BI207" s="108"/>
      <c r="BJ207" s="108"/>
    </row>
    <row r="208" spans="1:62" x14ac:dyDescent="0.2">
      <c r="A208" s="87" t="s">
        <v>378</v>
      </c>
      <c r="B208" s="87"/>
      <c r="C208" s="108">
        <f t="shared" ref="C208:H208" si="76">+$C$186/6</f>
        <v>8400000</v>
      </c>
      <c r="D208" s="108">
        <f t="shared" si="76"/>
        <v>8400000</v>
      </c>
      <c r="E208" s="108">
        <f t="shared" si="76"/>
        <v>8400000</v>
      </c>
      <c r="F208" s="108">
        <f t="shared" si="76"/>
        <v>8400000</v>
      </c>
      <c r="G208" s="108">
        <f t="shared" si="76"/>
        <v>8400000</v>
      </c>
      <c r="H208" s="108">
        <f t="shared" si="76"/>
        <v>8400000</v>
      </c>
      <c r="I208" s="108">
        <f t="shared" ref="I208:T208" si="77">+$D$186/12</f>
        <v>9072000</v>
      </c>
      <c r="J208" s="108">
        <f t="shared" si="77"/>
        <v>9072000</v>
      </c>
      <c r="K208" s="108">
        <f t="shared" si="77"/>
        <v>9072000</v>
      </c>
      <c r="L208" s="108">
        <f t="shared" si="77"/>
        <v>9072000</v>
      </c>
      <c r="M208" s="108">
        <f t="shared" si="77"/>
        <v>9072000</v>
      </c>
      <c r="N208" s="108">
        <f t="shared" si="77"/>
        <v>9072000</v>
      </c>
      <c r="O208" s="108">
        <f t="shared" si="77"/>
        <v>9072000</v>
      </c>
      <c r="P208" s="108">
        <f t="shared" si="77"/>
        <v>9072000</v>
      </c>
      <c r="Q208" s="108">
        <f t="shared" si="77"/>
        <v>9072000</v>
      </c>
      <c r="R208" s="108">
        <f t="shared" si="77"/>
        <v>9072000</v>
      </c>
      <c r="S208" s="108">
        <f t="shared" si="77"/>
        <v>9072000</v>
      </c>
      <c r="T208" s="108">
        <f t="shared" si="77"/>
        <v>9072000</v>
      </c>
      <c r="U208" s="108">
        <f t="shared" ref="U208:AF208" si="78">+$E$186/12</f>
        <v>9797760.0000000019</v>
      </c>
      <c r="V208" s="108">
        <f t="shared" si="78"/>
        <v>9797760.0000000019</v>
      </c>
      <c r="W208" s="108">
        <f t="shared" si="78"/>
        <v>9797760.0000000019</v>
      </c>
      <c r="X208" s="108">
        <f t="shared" si="78"/>
        <v>9797760.0000000019</v>
      </c>
      <c r="Y208" s="108">
        <f t="shared" si="78"/>
        <v>9797760.0000000019</v>
      </c>
      <c r="Z208" s="108">
        <f t="shared" si="78"/>
        <v>9797760.0000000019</v>
      </c>
      <c r="AA208" s="108">
        <f t="shared" si="78"/>
        <v>9797760.0000000019</v>
      </c>
      <c r="AB208" s="108">
        <f t="shared" si="78"/>
        <v>9797760.0000000019</v>
      </c>
      <c r="AC208" s="108">
        <f t="shared" si="78"/>
        <v>9797760.0000000019</v>
      </c>
      <c r="AD208" s="108">
        <f t="shared" si="78"/>
        <v>9797760.0000000019</v>
      </c>
      <c r="AE208" s="108">
        <f t="shared" si="78"/>
        <v>9797760.0000000019</v>
      </c>
      <c r="AF208" s="108">
        <f t="shared" si="78"/>
        <v>9797760.0000000019</v>
      </c>
      <c r="AG208" s="108">
        <f t="shared" ref="AG208:AR208" si="79">+$F$186/12</f>
        <v>10581580.800000003</v>
      </c>
      <c r="AH208" s="108">
        <f t="shared" si="79"/>
        <v>10581580.800000003</v>
      </c>
      <c r="AI208" s="108">
        <f t="shared" si="79"/>
        <v>10581580.800000003</v>
      </c>
      <c r="AJ208" s="108">
        <f t="shared" si="79"/>
        <v>10581580.800000003</v>
      </c>
      <c r="AK208" s="108">
        <f t="shared" si="79"/>
        <v>10581580.800000003</v>
      </c>
      <c r="AL208" s="108">
        <f t="shared" si="79"/>
        <v>10581580.800000003</v>
      </c>
      <c r="AM208" s="108">
        <f t="shared" si="79"/>
        <v>10581580.800000003</v>
      </c>
      <c r="AN208" s="108">
        <f t="shared" si="79"/>
        <v>10581580.800000003</v>
      </c>
      <c r="AO208" s="108">
        <f t="shared" si="79"/>
        <v>10581580.800000003</v>
      </c>
      <c r="AP208" s="108">
        <f t="shared" si="79"/>
        <v>10581580.800000003</v>
      </c>
      <c r="AQ208" s="108">
        <f t="shared" si="79"/>
        <v>10581580.800000003</v>
      </c>
      <c r="AR208" s="108">
        <f t="shared" si="79"/>
        <v>10581580.800000003</v>
      </c>
      <c r="AS208" s="108">
        <f t="shared" ref="AS208:BD208" si="80">+$G$186/12</f>
        <v>11428107.264000004</v>
      </c>
      <c r="AT208" s="108">
        <f t="shared" si="80"/>
        <v>11428107.264000004</v>
      </c>
      <c r="AU208" s="108">
        <f t="shared" si="80"/>
        <v>11428107.264000004</v>
      </c>
      <c r="AV208" s="108">
        <f t="shared" si="80"/>
        <v>11428107.264000004</v>
      </c>
      <c r="AW208" s="108">
        <f t="shared" si="80"/>
        <v>11428107.264000004</v>
      </c>
      <c r="AX208" s="108">
        <f t="shared" si="80"/>
        <v>11428107.264000004</v>
      </c>
      <c r="AY208" s="108">
        <f t="shared" si="80"/>
        <v>11428107.264000004</v>
      </c>
      <c r="AZ208" s="108">
        <f t="shared" si="80"/>
        <v>11428107.264000004</v>
      </c>
      <c r="BA208" s="108">
        <f t="shared" si="80"/>
        <v>11428107.264000004</v>
      </c>
      <c r="BB208" s="108">
        <f t="shared" si="80"/>
        <v>11428107.264000004</v>
      </c>
      <c r="BC208" s="108">
        <f t="shared" si="80"/>
        <v>11428107.264000004</v>
      </c>
      <c r="BD208" s="108">
        <f t="shared" si="80"/>
        <v>11428107.264000004</v>
      </c>
      <c r="BE208" s="108"/>
      <c r="BF208" s="108"/>
      <c r="BG208" s="108"/>
      <c r="BH208" s="108"/>
      <c r="BI208" s="108"/>
      <c r="BJ208" s="108"/>
    </row>
    <row r="209" spans="1:62" x14ac:dyDescent="0.2">
      <c r="A209" s="87" t="s">
        <v>234</v>
      </c>
      <c r="B209" s="87"/>
      <c r="C209" s="108">
        <f t="shared" ref="C209:H209" si="81">+$C$187/6</f>
        <v>4200000</v>
      </c>
      <c r="D209" s="108">
        <f t="shared" si="81"/>
        <v>4200000</v>
      </c>
      <c r="E209" s="108">
        <f t="shared" si="81"/>
        <v>4200000</v>
      </c>
      <c r="F209" s="108">
        <f t="shared" si="81"/>
        <v>4200000</v>
      </c>
      <c r="G209" s="108">
        <f t="shared" si="81"/>
        <v>4200000</v>
      </c>
      <c r="H209" s="108">
        <f t="shared" si="81"/>
        <v>4200000</v>
      </c>
      <c r="I209" s="108">
        <f t="shared" ref="I209:T209" si="82">+$D$187/12</f>
        <v>4536000</v>
      </c>
      <c r="J209" s="108">
        <f t="shared" si="82"/>
        <v>4536000</v>
      </c>
      <c r="K209" s="108">
        <f t="shared" si="82"/>
        <v>4536000</v>
      </c>
      <c r="L209" s="108">
        <f t="shared" si="82"/>
        <v>4536000</v>
      </c>
      <c r="M209" s="108">
        <f t="shared" si="82"/>
        <v>4536000</v>
      </c>
      <c r="N209" s="108">
        <f t="shared" si="82"/>
        <v>4536000</v>
      </c>
      <c r="O209" s="108">
        <f t="shared" si="82"/>
        <v>4536000</v>
      </c>
      <c r="P209" s="108">
        <f t="shared" si="82"/>
        <v>4536000</v>
      </c>
      <c r="Q209" s="108">
        <f t="shared" si="82"/>
        <v>4536000</v>
      </c>
      <c r="R209" s="108">
        <f t="shared" si="82"/>
        <v>4536000</v>
      </c>
      <c r="S209" s="108">
        <f t="shared" si="82"/>
        <v>4536000</v>
      </c>
      <c r="T209" s="108">
        <f t="shared" si="82"/>
        <v>4536000</v>
      </c>
      <c r="U209" s="108">
        <f t="shared" ref="U209:AF209" si="83">+$E$187/12</f>
        <v>4898880.0000000009</v>
      </c>
      <c r="V209" s="108">
        <f t="shared" si="83"/>
        <v>4898880.0000000009</v>
      </c>
      <c r="W209" s="108">
        <f t="shared" si="83"/>
        <v>4898880.0000000009</v>
      </c>
      <c r="X209" s="108">
        <f t="shared" si="83"/>
        <v>4898880.0000000009</v>
      </c>
      <c r="Y209" s="108">
        <f t="shared" si="83"/>
        <v>4898880.0000000009</v>
      </c>
      <c r="Z209" s="108">
        <f t="shared" si="83"/>
        <v>4898880.0000000009</v>
      </c>
      <c r="AA209" s="108">
        <f t="shared" si="83"/>
        <v>4898880.0000000009</v>
      </c>
      <c r="AB209" s="108">
        <f t="shared" si="83"/>
        <v>4898880.0000000009</v>
      </c>
      <c r="AC209" s="108">
        <f t="shared" si="83"/>
        <v>4898880.0000000009</v>
      </c>
      <c r="AD209" s="108">
        <f t="shared" si="83"/>
        <v>4898880.0000000009</v>
      </c>
      <c r="AE209" s="108">
        <f t="shared" si="83"/>
        <v>4898880.0000000009</v>
      </c>
      <c r="AF209" s="108">
        <f t="shared" si="83"/>
        <v>4898880.0000000009</v>
      </c>
      <c r="AG209" s="108">
        <f t="shared" ref="AG209:AR209" si="84">+$F$187/12</f>
        <v>5290790.4000000013</v>
      </c>
      <c r="AH209" s="108">
        <f t="shared" si="84"/>
        <v>5290790.4000000013</v>
      </c>
      <c r="AI209" s="108">
        <f t="shared" si="84"/>
        <v>5290790.4000000013</v>
      </c>
      <c r="AJ209" s="108">
        <f t="shared" si="84"/>
        <v>5290790.4000000013</v>
      </c>
      <c r="AK209" s="108">
        <f t="shared" si="84"/>
        <v>5290790.4000000013</v>
      </c>
      <c r="AL209" s="108">
        <f t="shared" si="84"/>
        <v>5290790.4000000013</v>
      </c>
      <c r="AM209" s="108">
        <f t="shared" si="84"/>
        <v>5290790.4000000013</v>
      </c>
      <c r="AN209" s="108">
        <f t="shared" si="84"/>
        <v>5290790.4000000013</v>
      </c>
      <c r="AO209" s="108">
        <f t="shared" si="84"/>
        <v>5290790.4000000013</v>
      </c>
      <c r="AP209" s="108">
        <f t="shared" si="84"/>
        <v>5290790.4000000013</v>
      </c>
      <c r="AQ209" s="108">
        <f t="shared" si="84"/>
        <v>5290790.4000000013</v>
      </c>
      <c r="AR209" s="108">
        <f t="shared" si="84"/>
        <v>5290790.4000000013</v>
      </c>
      <c r="AS209" s="108">
        <f t="shared" ref="AS209:BD209" si="85">+$G$187/12</f>
        <v>5714053.6320000021</v>
      </c>
      <c r="AT209" s="108">
        <f t="shared" si="85"/>
        <v>5714053.6320000021</v>
      </c>
      <c r="AU209" s="108">
        <f t="shared" si="85"/>
        <v>5714053.6320000021</v>
      </c>
      <c r="AV209" s="108">
        <f t="shared" si="85"/>
        <v>5714053.6320000021</v>
      </c>
      <c r="AW209" s="108">
        <f t="shared" si="85"/>
        <v>5714053.6320000021</v>
      </c>
      <c r="AX209" s="108">
        <f t="shared" si="85"/>
        <v>5714053.6320000021</v>
      </c>
      <c r="AY209" s="108">
        <f t="shared" si="85"/>
        <v>5714053.6320000021</v>
      </c>
      <c r="AZ209" s="108">
        <f t="shared" si="85"/>
        <v>5714053.6320000021</v>
      </c>
      <c r="BA209" s="108">
        <f t="shared" si="85"/>
        <v>5714053.6320000021</v>
      </c>
      <c r="BB209" s="108">
        <f t="shared" si="85"/>
        <v>5714053.6320000021</v>
      </c>
      <c r="BC209" s="108">
        <f t="shared" si="85"/>
        <v>5714053.6320000021</v>
      </c>
      <c r="BD209" s="108">
        <f t="shared" si="85"/>
        <v>5714053.6320000021</v>
      </c>
      <c r="BE209" s="108"/>
      <c r="BF209" s="108"/>
      <c r="BG209" s="108"/>
      <c r="BH209" s="108"/>
      <c r="BI209" s="108"/>
      <c r="BJ209" s="108"/>
    </row>
    <row r="210" spans="1:62" x14ac:dyDescent="0.2">
      <c r="A210" s="87" t="s">
        <v>379</v>
      </c>
      <c r="B210" s="87"/>
      <c r="C210" s="108">
        <f t="shared" ref="C210:AH210" si="86">+C108</f>
        <v>685276.91409571061</v>
      </c>
      <c r="D210" s="108">
        <f t="shared" si="86"/>
        <v>685276.91409571061</v>
      </c>
      <c r="E210" s="108">
        <f t="shared" si="86"/>
        <v>685276.91409571061</v>
      </c>
      <c r="F210" s="108">
        <f t="shared" si="86"/>
        <v>685276.91409571061</v>
      </c>
      <c r="G210" s="108">
        <f t="shared" si="86"/>
        <v>685276.91409571061</v>
      </c>
      <c r="H210" s="108">
        <f t="shared" si="86"/>
        <v>685276.91409571061</v>
      </c>
      <c r="I210" s="108">
        <f t="shared" si="86"/>
        <v>685276.91409571061</v>
      </c>
      <c r="J210" s="108">
        <f t="shared" si="86"/>
        <v>685276.91409571061</v>
      </c>
      <c r="K210" s="108">
        <f t="shared" si="86"/>
        <v>685276.91409571061</v>
      </c>
      <c r="L210" s="108">
        <f t="shared" si="86"/>
        <v>685276.91409571061</v>
      </c>
      <c r="M210" s="108">
        <f t="shared" si="86"/>
        <v>685276.91409571061</v>
      </c>
      <c r="N210" s="108">
        <f t="shared" si="86"/>
        <v>685276.91409571061</v>
      </c>
      <c r="O210" s="108">
        <f t="shared" si="86"/>
        <v>685276.91409571061</v>
      </c>
      <c r="P210" s="108">
        <f t="shared" si="86"/>
        <v>685276.91409571061</v>
      </c>
      <c r="Q210" s="108">
        <f t="shared" si="86"/>
        <v>685276.91409571061</v>
      </c>
      <c r="R210" s="108">
        <f t="shared" si="86"/>
        <v>685276.91409571061</v>
      </c>
      <c r="S210" s="108">
        <f t="shared" si="86"/>
        <v>685276.91409571061</v>
      </c>
      <c r="T210" s="108">
        <f t="shared" si="86"/>
        <v>685276.91409571061</v>
      </c>
      <c r="U210" s="108">
        <f t="shared" si="86"/>
        <v>685276.91409571061</v>
      </c>
      <c r="V210" s="108">
        <f t="shared" si="86"/>
        <v>685276.91409571061</v>
      </c>
      <c r="W210" s="108">
        <f t="shared" si="86"/>
        <v>685276.91409571061</v>
      </c>
      <c r="X210" s="108">
        <f t="shared" si="86"/>
        <v>685276.91409571061</v>
      </c>
      <c r="Y210" s="108">
        <f t="shared" si="86"/>
        <v>685276.91409571061</v>
      </c>
      <c r="Z210" s="108">
        <f t="shared" si="86"/>
        <v>685276.91409571061</v>
      </c>
      <c r="AA210" s="108">
        <f t="shared" si="86"/>
        <v>685276.91409571061</v>
      </c>
      <c r="AB210" s="108">
        <f t="shared" si="86"/>
        <v>685276.91409571061</v>
      </c>
      <c r="AC210" s="108">
        <f t="shared" si="86"/>
        <v>685276.91409571061</v>
      </c>
      <c r="AD210" s="108">
        <f t="shared" si="86"/>
        <v>685276.91409571061</v>
      </c>
      <c r="AE210" s="108">
        <f t="shared" si="86"/>
        <v>685276.91409571061</v>
      </c>
      <c r="AF210" s="108">
        <f t="shared" si="86"/>
        <v>685276.91409571061</v>
      </c>
      <c r="AG210" s="108">
        <f t="shared" si="86"/>
        <v>685276.91409571061</v>
      </c>
      <c r="AH210" s="108">
        <f t="shared" si="86"/>
        <v>685276.91409571061</v>
      </c>
      <c r="AI210" s="108">
        <f t="shared" ref="AI210:BJ210" si="87">+AI108</f>
        <v>685276.91409571061</v>
      </c>
      <c r="AJ210" s="108">
        <f t="shared" si="87"/>
        <v>685276.91409571061</v>
      </c>
      <c r="AK210" s="108">
        <f t="shared" si="87"/>
        <v>685276.91409571061</v>
      </c>
      <c r="AL210" s="108">
        <f t="shared" si="87"/>
        <v>685276.91409571061</v>
      </c>
      <c r="AM210" s="108">
        <f t="shared" si="87"/>
        <v>685276.91409571061</v>
      </c>
      <c r="AN210" s="108">
        <f t="shared" si="87"/>
        <v>685276.91409571061</v>
      </c>
      <c r="AO210" s="108">
        <f t="shared" si="87"/>
        <v>685276.91409571061</v>
      </c>
      <c r="AP210" s="108">
        <f t="shared" si="87"/>
        <v>685276.91409571061</v>
      </c>
      <c r="AQ210" s="108">
        <f t="shared" si="87"/>
        <v>685276.91409571061</v>
      </c>
      <c r="AR210" s="108">
        <f t="shared" si="87"/>
        <v>685276.91409571061</v>
      </c>
      <c r="AS210" s="108">
        <f t="shared" si="87"/>
        <v>685276.91409571061</v>
      </c>
      <c r="AT210" s="108">
        <f t="shared" si="87"/>
        <v>685276.91409571061</v>
      </c>
      <c r="AU210" s="108">
        <f t="shared" si="87"/>
        <v>685276.91409571061</v>
      </c>
      <c r="AV210" s="108">
        <f t="shared" si="87"/>
        <v>685276.91409571061</v>
      </c>
      <c r="AW210" s="108">
        <f t="shared" si="87"/>
        <v>685276.91409571061</v>
      </c>
      <c r="AX210" s="108">
        <f t="shared" si="87"/>
        <v>685276.91409571061</v>
      </c>
      <c r="AY210" s="108">
        <f t="shared" si="87"/>
        <v>685276.91409571061</v>
      </c>
      <c r="AZ210" s="108">
        <f t="shared" si="87"/>
        <v>685276.91409571061</v>
      </c>
      <c r="BA210" s="108">
        <f t="shared" si="87"/>
        <v>685276.91409571061</v>
      </c>
      <c r="BB210" s="108">
        <f t="shared" si="87"/>
        <v>685276.91409571061</v>
      </c>
      <c r="BC210" s="108">
        <f t="shared" si="87"/>
        <v>685276.91409571061</v>
      </c>
      <c r="BD210" s="108">
        <f t="shared" si="87"/>
        <v>685276.91409571061</v>
      </c>
      <c r="BE210" s="108">
        <f t="shared" si="87"/>
        <v>685276.91409571061</v>
      </c>
      <c r="BF210" s="108">
        <f t="shared" si="87"/>
        <v>685276.91409571061</v>
      </c>
      <c r="BG210" s="108">
        <f t="shared" si="87"/>
        <v>685276.91409571061</v>
      </c>
      <c r="BH210" s="108">
        <f t="shared" si="87"/>
        <v>685276.91409571061</v>
      </c>
      <c r="BI210" s="108">
        <f t="shared" si="87"/>
        <v>685276.91409571061</v>
      </c>
      <c r="BJ210" s="108">
        <f t="shared" si="87"/>
        <v>685276.91409571061</v>
      </c>
    </row>
    <row r="211" spans="1:62" x14ac:dyDescent="0.2">
      <c r="A211" s="87" t="s">
        <v>380</v>
      </c>
      <c r="B211" s="87"/>
      <c r="C211" s="87"/>
      <c r="D211" s="87"/>
      <c r="E211" s="87"/>
      <c r="F211" s="87"/>
      <c r="G211" s="87"/>
      <c r="H211" s="87"/>
      <c r="I211" s="87"/>
      <c r="J211" s="87"/>
      <c r="K211" s="87"/>
      <c r="L211" s="97">
        <f>+D189</f>
        <v>3243349.4212100804</v>
      </c>
      <c r="M211" s="87"/>
      <c r="N211" s="87"/>
      <c r="O211" s="87"/>
      <c r="P211" s="87"/>
      <c r="Q211" s="87"/>
      <c r="R211" s="87"/>
      <c r="S211" s="87"/>
      <c r="T211" s="87"/>
      <c r="U211" s="87"/>
      <c r="V211" s="87"/>
      <c r="X211" s="97">
        <f>+E189</f>
        <v>11907389.602824338</v>
      </c>
      <c r="Y211" s="87"/>
      <c r="Z211" s="87"/>
      <c r="AA211" s="87"/>
      <c r="AB211" s="87"/>
      <c r="AC211" s="87"/>
      <c r="AD211" s="87"/>
      <c r="AE211" s="87"/>
      <c r="AF211" s="87"/>
      <c r="AG211" s="87"/>
      <c r="AH211" s="87"/>
      <c r="AI211" s="87"/>
      <c r="AJ211" s="97">
        <f>+F189</f>
        <v>16932631.889697727</v>
      </c>
      <c r="AK211" s="87"/>
      <c r="AL211" s="87"/>
      <c r="AM211" s="87"/>
      <c r="AN211" s="87"/>
      <c r="AO211" s="87"/>
      <c r="AP211" s="87"/>
      <c r="AQ211" s="87"/>
      <c r="AR211" s="87"/>
      <c r="AS211" s="87"/>
      <c r="AT211" s="87"/>
      <c r="AU211" s="87"/>
      <c r="AV211" s="97">
        <f>+G189</f>
        <v>22808703.130787574</v>
      </c>
      <c r="AW211" s="87"/>
      <c r="AX211" s="87"/>
      <c r="AY211" s="87"/>
      <c r="AZ211" s="87"/>
      <c r="BA211" s="87"/>
      <c r="BB211" s="87"/>
      <c r="BC211" s="87"/>
      <c r="BD211" s="87"/>
      <c r="BE211" s="87"/>
      <c r="BF211" s="87"/>
      <c r="BG211" s="87"/>
      <c r="BH211" s="97">
        <f>+H189</f>
        <v>29662909.178325683</v>
      </c>
      <c r="BI211" s="87"/>
      <c r="BJ211" s="87"/>
    </row>
    <row r="212" spans="1:62" x14ac:dyDescent="0.2">
      <c r="A212" s="87" t="s">
        <v>381</v>
      </c>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c r="AK212" s="87"/>
      <c r="AL212" s="87"/>
      <c r="AM212" s="87"/>
      <c r="AN212" s="87"/>
      <c r="AO212" s="87"/>
      <c r="AP212" s="87"/>
      <c r="AQ212" s="87"/>
      <c r="AR212" s="87"/>
      <c r="AS212" s="87"/>
      <c r="AT212" s="87"/>
      <c r="AU212" s="87"/>
      <c r="AV212" s="87"/>
      <c r="AW212" s="87"/>
      <c r="AX212" s="87"/>
      <c r="AY212" s="87"/>
      <c r="AZ212" s="87"/>
      <c r="BA212" s="87"/>
      <c r="BB212" s="87"/>
      <c r="BC212" s="87"/>
      <c r="BD212" s="87"/>
      <c r="BE212" s="87"/>
      <c r="BF212" s="87"/>
      <c r="BG212" s="87"/>
      <c r="BH212" s="87"/>
      <c r="BI212" s="87"/>
      <c r="BJ212" s="87"/>
    </row>
    <row r="213" spans="1:62" ht="15" x14ac:dyDescent="0.25">
      <c r="A213" s="137" t="s">
        <v>382</v>
      </c>
      <c r="B213" s="138">
        <f t="shared" ref="B213:AG213" si="88">SUM(B206:B212)</f>
        <v>15000000</v>
      </c>
      <c r="C213" s="138">
        <f t="shared" si="88"/>
        <v>15285276.914095711</v>
      </c>
      <c r="D213" s="138">
        <f t="shared" si="88"/>
        <v>15285276.914095711</v>
      </c>
      <c r="E213" s="138">
        <f t="shared" si="88"/>
        <v>15285276.914095711</v>
      </c>
      <c r="F213" s="138">
        <f t="shared" si="88"/>
        <v>15285276.914095711</v>
      </c>
      <c r="G213" s="138">
        <f t="shared" si="88"/>
        <v>15285276.914095711</v>
      </c>
      <c r="H213" s="138">
        <f t="shared" si="88"/>
        <v>15285276.914095711</v>
      </c>
      <c r="I213" s="138">
        <f t="shared" si="88"/>
        <v>16585156.914095711</v>
      </c>
      <c r="J213" s="138">
        <f t="shared" si="88"/>
        <v>16585156.914095711</v>
      </c>
      <c r="K213" s="138">
        <f t="shared" si="88"/>
        <v>16585156.914095711</v>
      </c>
      <c r="L213" s="138">
        <f t="shared" si="88"/>
        <v>19828506.335305791</v>
      </c>
      <c r="M213" s="138">
        <f t="shared" si="88"/>
        <v>16585156.914095711</v>
      </c>
      <c r="N213" s="138">
        <f t="shared" si="88"/>
        <v>16585156.914095711</v>
      </c>
      <c r="O213" s="138">
        <f t="shared" si="88"/>
        <v>16585156.914095711</v>
      </c>
      <c r="P213" s="138">
        <f t="shared" si="88"/>
        <v>16585156.914095711</v>
      </c>
      <c r="Q213" s="138">
        <f t="shared" si="88"/>
        <v>16585156.914095711</v>
      </c>
      <c r="R213" s="138">
        <f t="shared" si="88"/>
        <v>16585156.914095711</v>
      </c>
      <c r="S213" s="138">
        <f t="shared" si="88"/>
        <v>16585156.914095711</v>
      </c>
      <c r="T213" s="138">
        <f t="shared" si="88"/>
        <v>16585156.914095711</v>
      </c>
      <c r="U213" s="138">
        <f t="shared" si="88"/>
        <v>18008328.324095715</v>
      </c>
      <c r="V213" s="138">
        <f t="shared" si="88"/>
        <v>18008328.324095715</v>
      </c>
      <c r="W213" s="138">
        <f t="shared" si="88"/>
        <v>18008328.324095715</v>
      </c>
      <c r="X213" s="138">
        <f t="shared" si="88"/>
        <v>29915717.926920053</v>
      </c>
      <c r="Y213" s="138">
        <f t="shared" si="88"/>
        <v>18008328.324095715</v>
      </c>
      <c r="Z213" s="138">
        <f t="shared" si="88"/>
        <v>18008328.324095715</v>
      </c>
      <c r="AA213" s="138">
        <f t="shared" si="88"/>
        <v>18008328.324095715</v>
      </c>
      <c r="AB213" s="138">
        <f t="shared" si="88"/>
        <v>18008328.324095715</v>
      </c>
      <c r="AC213" s="138">
        <f t="shared" si="88"/>
        <v>18008328.324095715</v>
      </c>
      <c r="AD213" s="138">
        <f t="shared" si="88"/>
        <v>18008328.324095715</v>
      </c>
      <c r="AE213" s="138">
        <f t="shared" si="88"/>
        <v>18008328.324095715</v>
      </c>
      <c r="AF213" s="138">
        <f t="shared" si="88"/>
        <v>18008328.324095715</v>
      </c>
      <c r="AG213" s="138">
        <f t="shared" si="88"/>
        <v>19567482.665672414</v>
      </c>
      <c r="AH213" s="138">
        <f t="shared" ref="AH213:BJ213" si="89">SUM(AH206:AH212)</f>
        <v>19567482.665672414</v>
      </c>
      <c r="AI213" s="138">
        <f t="shared" si="89"/>
        <v>19567482.665672414</v>
      </c>
      <c r="AJ213" s="138">
        <f t="shared" si="89"/>
        <v>36500114.555370137</v>
      </c>
      <c r="AK213" s="138">
        <f t="shared" si="89"/>
        <v>19567482.665672414</v>
      </c>
      <c r="AL213" s="138">
        <f t="shared" si="89"/>
        <v>19567482.665672414</v>
      </c>
      <c r="AM213" s="138">
        <f t="shared" si="89"/>
        <v>19567482.665672414</v>
      </c>
      <c r="AN213" s="138">
        <f t="shared" si="89"/>
        <v>19567482.665672414</v>
      </c>
      <c r="AO213" s="138">
        <f t="shared" si="89"/>
        <v>19567482.665672414</v>
      </c>
      <c r="AP213" s="138">
        <f t="shared" si="89"/>
        <v>19567482.665672414</v>
      </c>
      <c r="AQ213" s="138">
        <f t="shared" si="89"/>
        <v>19567482.665672414</v>
      </c>
      <c r="AR213" s="138">
        <f t="shared" si="89"/>
        <v>19567482.665672414</v>
      </c>
      <c r="AS213" s="138">
        <f t="shared" si="89"/>
        <v>21276741.698538687</v>
      </c>
      <c r="AT213" s="138">
        <f t="shared" si="89"/>
        <v>21276741.698538687</v>
      </c>
      <c r="AU213" s="138">
        <f t="shared" si="89"/>
        <v>21276741.698538687</v>
      </c>
      <c r="AV213" s="138">
        <f t="shared" si="89"/>
        <v>44085444.829326257</v>
      </c>
      <c r="AW213" s="138">
        <f t="shared" si="89"/>
        <v>21276741.698538687</v>
      </c>
      <c r="AX213" s="138">
        <f t="shared" si="89"/>
        <v>21276741.698538687</v>
      </c>
      <c r="AY213" s="138">
        <f t="shared" si="89"/>
        <v>21276741.698538687</v>
      </c>
      <c r="AZ213" s="138">
        <f t="shared" si="89"/>
        <v>21276741.698538687</v>
      </c>
      <c r="BA213" s="138">
        <f t="shared" si="89"/>
        <v>21276741.698538687</v>
      </c>
      <c r="BB213" s="138">
        <f t="shared" si="89"/>
        <v>21276741.698538687</v>
      </c>
      <c r="BC213" s="138">
        <f t="shared" si="89"/>
        <v>21276741.698538687</v>
      </c>
      <c r="BD213" s="138">
        <f t="shared" si="89"/>
        <v>21276741.698538687</v>
      </c>
      <c r="BE213" s="138">
        <f t="shared" si="89"/>
        <v>685276.91409571061</v>
      </c>
      <c r="BF213" s="138">
        <f t="shared" si="89"/>
        <v>685276.91409571061</v>
      </c>
      <c r="BG213" s="138">
        <f t="shared" si="89"/>
        <v>685276.91409571061</v>
      </c>
      <c r="BH213" s="138">
        <f t="shared" si="89"/>
        <v>30348186.092421394</v>
      </c>
      <c r="BI213" s="138">
        <f t="shared" si="89"/>
        <v>685276.91409571061</v>
      </c>
      <c r="BJ213" s="138">
        <f t="shared" si="89"/>
        <v>685276.91409571061</v>
      </c>
    </row>
    <row r="214" spans="1:62" x14ac:dyDescent="0.2">
      <c r="A214" s="95" t="s">
        <v>383</v>
      </c>
      <c r="B214" s="97">
        <f t="shared" ref="B214:AG214" si="90">+B204-B213</f>
        <v>60000000</v>
      </c>
      <c r="C214" s="97">
        <f t="shared" si="90"/>
        <v>-15285276.914095711</v>
      </c>
      <c r="D214" s="97">
        <f t="shared" si="90"/>
        <v>-15285276.914095711</v>
      </c>
      <c r="E214" s="97">
        <f t="shared" si="90"/>
        <v>39380.20590429008</v>
      </c>
      <c r="F214" s="97">
        <f t="shared" si="90"/>
        <v>39380.20590429008</v>
      </c>
      <c r="G214" s="97">
        <f t="shared" si="90"/>
        <v>13661297.645904291</v>
      </c>
      <c r="H214" s="97">
        <f t="shared" si="90"/>
        <v>13661297.645904291</v>
      </c>
      <c r="I214" s="97">
        <f t="shared" si="90"/>
        <v>1780899.7675266936</v>
      </c>
      <c r="J214" s="97">
        <f t="shared" si="90"/>
        <v>1780899.7675266936</v>
      </c>
      <c r="K214" s="97">
        <f t="shared" si="90"/>
        <v>2673339.6886082925</v>
      </c>
      <c r="L214" s="97">
        <f t="shared" si="90"/>
        <v>-570009.73260178789</v>
      </c>
      <c r="M214" s="97">
        <f t="shared" si="90"/>
        <v>2673339.6886082925</v>
      </c>
      <c r="N214" s="97">
        <f t="shared" si="90"/>
        <v>2673339.6886082925</v>
      </c>
      <c r="O214" s="97">
        <f t="shared" si="90"/>
        <v>2673339.6886082925</v>
      </c>
      <c r="P214" s="97">
        <f t="shared" si="90"/>
        <v>2673339.6886082925</v>
      </c>
      <c r="Q214" s="97">
        <f t="shared" si="90"/>
        <v>2673339.6886082925</v>
      </c>
      <c r="R214" s="97">
        <f t="shared" si="90"/>
        <v>2673339.6886082925</v>
      </c>
      <c r="S214" s="97">
        <f t="shared" si="90"/>
        <v>2673339.6886082925</v>
      </c>
      <c r="T214" s="97">
        <f t="shared" si="90"/>
        <v>2673339.6886082925</v>
      </c>
      <c r="U214" s="97">
        <f t="shared" si="90"/>
        <v>2764232.7645196728</v>
      </c>
      <c r="V214" s="97">
        <f t="shared" si="90"/>
        <v>2764232.7645196728</v>
      </c>
      <c r="W214" s="97">
        <f t="shared" si="90"/>
        <v>3773609.0884605907</v>
      </c>
      <c r="X214" s="97">
        <f t="shared" si="90"/>
        <v>-8133780.5143637471</v>
      </c>
      <c r="Y214" s="97">
        <f t="shared" si="90"/>
        <v>3773609.0884605907</v>
      </c>
      <c r="Z214" s="97">
        <f t="shared" si="90"/>
        <v>3773609.0884605907</v>
      </c>
      <c r="AA214" s="97">
        <f t="shared" si="90"/>
        <v>3773609.0884605907</v>
      </c>
      <c r="AB214" s="97">
        <f t="shared" si="90"/>
        <v>3773609.0884605907</v>
      </c>
      <c r="AC214" s="97">
        <f t="shared" si="90"/>
        <v>3773609.0884605907</v>
      </c>
      <c r="AD214" s="97">
        <f t="shared" si="90"/>
        <v>3773609.0884605907</v>
      </c>
      <c r="AE214" s="97">
        <f t="shared" si="90"/>
        <v>3773609.0884605907</v>
      </c>
      <c r="AF214" s="97">
        <f t="shared" si="90"/>
        <v>3773609.0884605907</v>
      </c>
      <c r="AG214" s="97">
        <f t="shared" si="90"/>
        <v>3926907.1023842394</v>
      </c>
      <c r="AH214" s="97">
        <f t="shared" ref="AH214:BJ214" si="91">+AH204-AH213</f>
        <v>3926907.1023842394</v>
      </c>
      <c r="AI214" s="97">
        <f t="shared" si="91"/>
        <v>5068542.0060511455</v>
      </c>
      <c r="AJ214" s="97">
        <f t="shared" si="91"/>
        <v>-11864089.883646578</v>
      </c>
      <c r="AK214" s="97">
        <f t="shared" si="91"/>
        <v>5068542.0060511455</v>
      </c>
      <c r="AL214" s="97">
        <f t="shared" si="91"/>
        <v>5068542.0060511455</v>
      </c>
      <c r="AM214" s="97">
        <f t="shared" si="91"/>
        <v>5068542.0060511455</v>
      </c>
      <c r="AN214" s="97">
        <f t="shared" si="91"/>
        <v>5068542.0060511455</v>
      </c>
      <c r="AO214" s="97">
        <f t="shared" si="91"/>
        <v>5068542.0060511455</v>
      </c>
      <c r="AP214" s="97">
        <f t="shared" si="91"/>
        <v>5068542.0060511455</v>
      </c>
      <c r="AQ214" s="97">
        <f t="shared" si="91"/>
        <v>5068542.0060511455</v>
      </c>
      <c r="AR214" s="97">
        <f t="shared" si="91"/>
        <v>5068542.0060511455</v>
      </c>
      <c r="AS214" s="97">
        <f t="shared" si="91"/>
        <v>5296117.9608264379</v>
      </c>
      <c r="AT214" s="97">
        <f t="shared" si="91"/>
        <v>5296117.9608264379</v>
      </c>
      <c r="AU214" s="97">
        <f t="shared" si="91"/>
        <v>6587341.2859208137</v>
      </c>
      <c r="AV214" s="97">
        <f t="shared" si="91"/>
        <v>-16221361.844866756</v>
      </c>
      <c r="AW214" s="97">
        <f t="shared" si="91"/>
        <v>6587341.2859208137</v>
      </c>
      <c r="AX214" s="97">
        <f t="shared" si="91"/>
        <v>6587341.2859208137</v>
      </c>
      <c r="AY214" s="97">
        <f t="shared" si="91"/>
        <v>6587341.2859208137</v>
      </c>
      <c r="AZ214" s="97">
        <f t="shared" si="91"/>
        <v>6587341.2859208137</v>
      </c>
      <c r="BA214" s="97">
        <f t="shared" si="91"/>
        <v>6587341.2859208137</v>
      </c>
      <c r="BB214" s="97">
        <f t="shared" si="91"/>
        <v>6587341.2859208137</v>
      </c>
      <c r="BC214" s="97">
        <f t="shared" si="91"/>
        <v>6587341.2859208137</v>
      </c>
      <c r="BD214" s="97">
        <f t="shared" si="91"/>
        <v>6587341.2859208137</v>
      </c>
      <c r="BE214" s="97">
        <f t="shared" si="91"/>
        <v>10460356.279688086</v>
      </c>
      <c r="BF214" s="97">
        <f t="shared" si="91"/>
        <v>10460356.279688086</v>
      </c>
      <c r="BG214" s="97">
        <f t="shared" si="91"/>
        <v>24526814.108234871</v>
      </c>
      <c r="BH214" s="97">
        <f t="shared" si="91"/>
        <v>-5136095.0700908117</v>
      </c>
      <c r="BI214" s="97">
        <f t="shared" si="91"/>
        <v>24526814.108234871</v>
      </c>
      <c r="BJ214" s="97">
        <f t="shared" si="91"/>
        <v>24526814.108234871</v>
      </c>
    </row>
    <row r="215" spans="1:62" ht="15" x14ac:dyDescent="0.25">
      <c r="A215" s="158" t="s">
        <v>384</v>
      </c>
      <c r="B215" s="96">
        <f>+B214</f>
        <v>60000000</v>
      </c>
      <c r="C215" s="97">
        <f>+B215+C214</f>
        <v>44714723.085904285</v>
      </c>
      <c r="D215" s="97">
        <f>+C215+D214</f>
        <v>29429446.171808574</v>
      </c>
      <c r="E215" s="97">
        <f t="shared" ref="E215:BC215" si="92">+D215+E214</f>
        <v>29468826.377712864</v>
      </c>
      <c r="F215" s="97">
        <f t="shared" si="92"/>
        <v>29508206.583617155</v>
      </c>
      <c r="G215" s="97">
        <f t="shared" si="92"/>
        <v>43169504.229521446</v>
      </c>
      <c r="H215" s="97">
        <f t="shared" si="92"/>
        <v>56830801.875425741</v>
      </c>
      <c r="I215" s="97">
        <f t="shared" si="92"/>
        <v>58611701.642952435</v>
      </c>
      <c r="J215" s="97">
        <f t="shared" si="92"/>
        <v>60392601.410479128</v>
      </c>
      <c r="K215" s="97">
        <f t="shared" si="92"/>
        <v>63065941.099087417</v>
      </c>
      <c r="L215" s="97">
        <f t="shared" si="92"/>
        <v>62495931.366485626</v>
      </c>
      <c r="M215" s="97">
        <f t="shared" si="92"/>
        <v>65169271.055093914</v>
      </c>
      <c r="N215" s="97">
        <f t="shared" si="92"/>
        <v>67842610.743702203</v>
      </c>
      <c r="O215" s="97">
        <f t="shared" si="92"/>
        <v>70515950.432310492</v>
      </c>
      <c r="P215" s="97">
        <f t="shared" si="92"/>
        <v>73189290.120918781</v>
      </c>
      <c r="Q215" s="97">
        <f t="shared" si="92"/>
        <v>75862629.809527069</v>
      </c>
      <c r="R215" s="97">
        <f t="shared" si="92"/>
        <v>78535969.498135358</v>
      </c>
      <c r="S215" s="97">
        <f t="shared" si="92"/>
        <v>81209309.186743647</v>
      </c>
      <c r="T215" s="97">
        <f t="shared" si="92"/>
        <v>83882648.875351936</v>
      </c>
      <c r="U215" s="97">
        <f t="shared" si="92"/>
        <v>86646881.639871612</v>
      </c>
      <c r="V215" s="97">
        <f t="shared" si="92"/>
        <v>89411114.404391289</v>
      </c>
      <c r="W215" s="97">
        <f t="shared" si="92"/>
        <v>93184723.492851883</v>
      </c>
      <c r="X215" s="97">
        <f t="shared" si="92"/>
        <v>85050942.978488132</v>
      </c>
      <c r="Y215" s="97">
        <f t="shared" si="92"/>
        <v>88824552.066948727</v>
      </c>
      <c r="Z215" s="97">
        <f t="shared" si="92"/>
        <v>92598161.155409321</v>
      </c>
      <c r="AA215" s="97">
        <f t="shared" si="92"/>
        <v>96371770.243869916</v>
      </c>
      <c r="AB215" s="97">
        <f t="shared" si="92"/>
        <v>100145379.33233051</v>
      </c>
      <c r="AC215" s="97">
        <f t="shared" si="92"/>
        <v>103918988.4207911</v>
      </c>
      <c r="AD215" s="97">
        <f t="shared" si="92"/>
        <v>107692597.5092517</v>
      </c>
      <c r="AE215" s="97">
        <f t="shared" si="92"/>
        <v>111466206.59771229</v>
      </c>
      <c r="AF215" s="97">
        <f t="shared" si="92"/>
        <v>115239815.68617289</v>
      </c>
      <c r="AG215" s="97">
        <f t="shared" si="92"/>
        <v>119166722.78855713</v>
      </c>
      <c r="AH215" s="97">
        <f t="shared" si="92"/>
        <v>123093629.89094137</v>
      </c>
      <c r="AI215" s="97">
        <f t="shared" si="92"/>
        <v>128162171.8969925</v>
      </c>
      <c r="AJ215" s="97">
        <f t="shared" si="92"/>
        <v>116298082.01334593</v>
      </c>
      <c r="AK215" s="97">
        <f t="shared" si="92"/>
        <v>121366624.01939708</v>
      </c>
      <c r="AL215" s="97">
        <f t="shared" si="92"/>
        <v>126435166.02544823</v>
      </c>
      <c r="AM215" s="97">
        <f t="shared" si="92"/>
        <v>131503708.03149939</v>
      </c>
      <c r="AN215" s="97">
        <f t="shared" si="92"/>
        <v>136572250.03755054</v>
      </c>
      <c r="AO215" s="97">
        <f t="shared" si="92"/>
        <v>141640792.04360169</v>
      </c>
      <c r="AP215" s="97">
        <f t="shared" si="92"/>
        <v>146709334.04965284</v>
      </c>
      <c r="AQ215" s="97">
        <f t="shared" si="92"/>
        <v>151777876.055704</v>
      </c>
      <c r="AR215" s="97">
        <f t="shared" si="92"/>
        <v>156846418.06175515</v>
      </c>
      <c r="AS215" s="97">
        <f t="shared" si="92"/>
        <v>162142536.02258158</v>
      </c>
      <c r="AT215" s="97">
        <f t="shared" si="92"/>
        <v>167438653.983408</v>
      </c>
      <c r="AU215" s="97">
        <f t="shared" si="92"/>
        <v>174025995.26932883</v>
      </c>
      <c r="AV215" s="97">
        <f t="shared" si="92"/>
        <v>157804633.42446208</v>
      </c>
      <c r="AW215" s="97">
        <f t="shared" si="92"/>
        <v>164391974.71038288</v>
      </c>
      <c r="AX215" s="97">
        <f t="shared" si="92"/>
        <v>170979315.99630368</v>
      </c>
      <c r="AY215" s="97">
        <f t="shared" si="92"/>
        <v>177566657.28222448</v>
      </c>
      <c r="AZ215" s="97">
        <f t="shared" si="92"/>
        <v>184153998.56814528</v>
      </c>
      <c r="BA215" s="97">
        <f t="shared" si="92"/>
        <v>190741339.85406607</v>
      </c>
      <c r="BB215" s="97">
        <f t="shared" si="92"/>
        <v>197328681.13998687</v>
      </c>
      <c r="BC215" s="97">
        <f t="shared" si="92"/>
        <v>203916022.42590767</v>
      </c>
      <c r="BD215" s="97">
        <f t="shared" ref="BD215:BJ215" si="93">+BC215+BD214</f>
        <v>210503363.71182847</v>
      </c>
      <c r="BE215" s="97">
        <f t="shared" si="93"/>
        <v>220963719.99151656</v>
      </c>
      <c r="BF215" s="97">
        <f t="shared" si="93"/>
        <v>231424076.27120465</v>
      </c>
      <c r="BG215" s="97">
        <f t="shared" si="93"/>
        <v>255950890.37943953</v>
      </c>
      <c r="BH215" s="97">
        <f t="shared" si="93"/>
        <v>250814795.30934873</v>
      </c>
      <c r="BI215" s="97">
        <f t="shared" si="93"/>
        <v>275341609.41758358</v>
      </c>
      <c r="BJ215" s="97">
        <f t="shared" si="93"/>
        <v>299868423.52581847</v>
      </c>
    </row>
    <row r="216" spans="1:62" x14ac:dyDescent="0.2">
      <c r="G216" s="99" t="s">
        <v>268</v>
      </c>
      <c r="H216" s="100">
        <f>+H215-C193</f>
        <v>0</v>
      </c>
      <c r="S216" s="99" t="s">
        <v>268</v>
      </c>
      <c r="T216" s="100">
        <f>+T215-D193</f>
        <v>0</v>
      </c>
      <c r="AE216" s="99" t="s">
        <v>268</v>
      </c>
      <c r="AF216" s="159">
        <f>+AF215-E193</f>
        <v>0</v>
      </c>
      <c r="AQ216" s="99" t="s">
        <v>268</v>
      </c>
      <c r="AR216" s="159">
        <f>+AR215-F193</f>
        <v>0</v>
      </c>
      <c r="BC216" s="99" t="s">
        <v>268</v>
      </c>
      <c r="BD216" s="159">
        <f>+BD215-G193</f>
        <v>0</v>
      </c>
      <c r="BI216" s="99" t="s">
        <v>268</v>
      </c>
      <c r="BJ216" s="159">
        <f>+BJ215-H193</f>
        <v>0</v>
      </c>
    </row>
    <row r="218" spans="1:62" ht="15" x14ac:dyDescent="0.25">
      <c r="A218" s="263" t="s">
        <v>386</v>
      </c>
      <c r="B218" s="263"/>
      <c r="C218" s="263"/>
      <c r="D218" s="263"/>
    </row>
    <row r="220" spans="1:62" x14ac:dyDescent="0.2">
      <c r="A220" s="101" t="s">
        <v>269</v>
      </c>
      <c r="B220" s="102">
        <f t="shared" ref="B220:G220" si="94">+C192</f>
        <v>-3169198.124574244</v>
      </c>
      <c r="C220" s="102">
        <f t="shared" si="94"/>
        <v>27051846.999926239</v>
      </c>
      <c r="D220" s="102">
        <f t="shared" si="94"/>
        <v>31357166.810820997</v>
      </c>
      <c r="E220" s="102">
        <f t="shared" si="94"/>
        <v>41606602.375582218</v>
      </c>
      <c r="F220" s="102">
        <f t="shared" si="94"/>
        <v>53656945.650073469</v>
      </c>
      <c r="G220" s="102">
        <f t="shared" si="94"/>
        <v>89365059.813989967</v>
      </c>
    </row>
    <row r="224" spans="1:62" x14ac:dyDescent="0.2">
      <c r="E224" s="102"/>
      <c r="G224" s="132"/>
    </row>
    <row r="225" spans="1:8" x14ac:dyDescent="0.2">
      <c r="A225" s="102">
        <f>+B178</f>
        <v>45000000</v>
      </c>
    </row>
    <row r="228" spans="1:8" x14ac:dyDescent="0.2">
      <c r="A228" s="88" t="s">
        <v>387</v>
      </c>
      <c r="B228" s="160">
        <f>+B7</f>
        <v>0.15</v>
      </c>
    </row>
    <row r="230" spans="1:8" x14ac:dyDescent="0.2">
      <c r="A230" s="114" t="s">
        <v>237</v>
      </c>
      <c r="B230" s="154">
        <v>45383</v>
      </c>
      <c r="C230" s="114">
        <v>2024</v>
      </c>
      <c r="D230" s="114">
        <v>2025</v>
      </c>
      <c r="E230" s="114">
        <v>2026</v>
      </c>
      <c r="F230" s="114">
        <v>2027</v>
      </c>
      <c r="G230" s="114">
        <v>2028</v>
      </c>
      <c r="H230" s="114">
        <v>2029</v>
      </c>
    </row>
    <row r="231" spans="1:8" x14ac:dyDescent="0.2">
      <c r="A231" s="99" t="s">
        <v>237</v>
      </c>
      <c r="B231" s="99">
        <v>0</v>
      </c>
      <c r="C231" s="99">
        <v>1</v>
      </c>
      <c r="D231" s="99">
        <v>2</v>
      </c>
      <c r="E231" s="99">
        <v>3</v>
      </c>
      <c r="F231" s="99">
        <v>4</v>
      </c>
      <c r="G231" s="99">
        <v>5</v>
      </c>
      <c r="H231" s="99">
        <v>6</v>
      </c>
    </row>
    <row r="232" spans="1:8" x14ac:dyDescent="0.2">
      <c r="A232" s="101" t="s">
        <v>269</v>
      </c>
      <c r="B232" s="110">
        <f>-D42</f>
        <v>-45000000</v>
      </c>
      <c r="C232" s="110">
        <f t="shared" ref="C232:H232" si="95">+C192</f>
        <v>-3169198.124574244</v>
      </c>
      <c r="D232" s="110">
        <f t="shared" si="95"/>
        <v>27051846.999926239</v>
      </c>
      <c r="E232" s="110">
        <f t="shared" si="95"/>
        <v>31357166.810820997</v>
      </c>
      <c r="F232" s="110">
        <f t="shared" si="95"/>
        <v>41606602.375582218</v>
      </c>
      <c r="G232" s="110">
        <f t="shared" si="95"/>
        <v>53656945.650073469</v>
      </c>
      <c r="H232" s="110">
        <f t="shared" si="95"/>
        <v>89365059.813989967</v>
      </c>
    </row>
    <row r="234" spans="1:8" x14ac:dyDescent="0.2">
      <c r="A234" s="95" t="s">
        <v>388</v>
      </c>
      <c r="B234" s="108">
        <f>+B232/(1+$B$228)^B231</f>
        <v>-45000000</v>
      </c>
      <c r="C234" s="108">
        <f>+C232/(1+$B$228)^C231</f>
        <v>-2755824.4561515166</v>
      </c>
      <c r="D234" s="108">
        <f t="shared" ref="D234:G234" si="96">+D232/(1+$B$228)^D231</f>
        <v>20455082.7976758</v>
      </c>
      <c r="E234" s="108">
        <f t="shared" si="96"/>
        <v>20617846.181192409</v>
      </c>
      <c r="F234" s="108">
        <f t="shared" si="96"/>
        <v>23788709.946337946</v>
      </c>
      <c r="G234" s="108">
        <f t="shared" si="96"/>
        <v>26676985.064381305</v>
      </c>
      <c r="H234" s="108">
        <f>+H232/(1+$B$228)^H231</f>
        <v>38634981.467874728</v>
      </c>
    </row>
    <row r="235" spans="1:8" x14ac:dyDescent="0.2">
      <c r="A235" s="161" t="s">
        <v>389</v>
      </c>
      <c r="B235" s="162">
        <f>SUM(B234:H234)</f>
        <v>82417781.001310676</v>
      </c>
    </row>
    <row r="236" spans="1:8" x14ac:dyDescent="0.2">
      <c r="A236" s="161" t="s">
        <v>389</v>
      </c>
      <c r="B236" s="162">
        <f>NPV(B228,C232:H232)+B232</f>
        <v>82417781.001310676</v>
      </c>
    </row>
    <row r="238" spans="1:8" x14ac:dyDescent="0.2">
      <c r="A238" s="161" t="s">
        <v>390</v>
      </c>
      <c r="B238" s="97">
        <f>+B234</f>
        <v>-45000000</v>
      </c>
      <c r="C238" s="97">
        <f>+B238+C234</f>
        <v>-47755824.456151515</v>
      </c>
      <c r="D238" s="97">
        <f t="shared" ref="D238:G238" si="97">+C238+D234</f>
        <v>-27300741.658475716</v>
      </c>
      <c r="E238" s="97">
        <f t="shared" si="97"/>
        <v>-6682895.4772833064</v>
      </c>
      <c r="F238" s="162">
        <f t="shared" si="97"/>
        <v>17105814.469054639</v>
      </c>
      <c r="G238" s="162">
        <f t="shared" si="97"/>
        <v>43782799.533435941</v>
      </c>
      <c r="H238" s="162">
        <f>+G238+H234</f>
        <v>82417781.001310676</v>
      </c>
    </row>
    <row r="239" spans="1:8" x14ac:dyDescent="0.2">
      <c r="A239" s="95" t="s">
        <v>391</v>
      </c>
      <c r="B239" s="163">
        <f>+-G238/(-G238+H238)</f>
        <v>-1.1332424106335253</v>
      </c>
    </row>
    <row r="240" spans="1:8" x14ac:dyDescent="0.2">
      <c r="A240" s="161" t="s">
        <v>390</v>
      </c>
      <c r="B240" s="164">
        <f>+H231+B239</f>
        <v>4.8667575893664745</v>
      </c>
    </row>
    <row r="242" spans="1:15" x14ac:dyDescent="0.2">
      <c r="A242" s="161" t="s">
        <v>392</v>
      </c>
      <c r="B242" s="165">
        <f>IRR(B232:H232)</f>
        <v>0.47675174854789382</v>
      </c>
    </row>
    <row r="244" spans="1:15" x14ac:dyDescent="0.2">
      <c r="A244" s="95" t="s">
        <v>393</v>
      </c>
      <c r="B244" s="97">
        <f>+I182</f>
        <v>806842941.80591881</v>
      </c>
    </row>
    <row r="245" spans="1:15" x14ac:dyDescent="0.2">
      <c r="A245" s="95" t="s">
        <v>394</v>
      </c>
      <c r="B245" s="97">
        <f>+I191</f>
        <v>724425160.80460811</v>
      </c>
    </row>
    <row r="246" spans="1:15" x14ac:dyDescent="0.2">
      <c r="A246" s="95" t="s">
        <v>395</v>
      </c>
      <c r="B246" s="166">
        <f>+B244/B245</f>
        <v>1.1137699040019131</v>
      </c>
    </row>
    <row r="249" spans="1:15" x14ac:dyDescent="0.2">
      <c r="A249" s="264" t="s">
        <v>396</v>
      </c>
      <c r="B249" s="264"/>
      <c r="C249" s="264"/>
      <c r="D249" s="264"/>
    </row>
    <row r="251" spans="1:15" ht="15.75" x14ac:dyDescent="0.25">
      <c r="A251" s="233" t="s">
        <v>237</v>
      </c>
      <c r="B251" s="233">
        <v>2024</v>
      </c>
      <c r="C251" s="233">
        <v>2025</v>
      </c>
      <c r="D251" s="233">
        <v>2026</v>
      </c>
      <c r="E251" s="233">
        <v>2027</v>
      </c>
      <c r="F251" s="233">
        <v>2028</v>
      </c>
    </row>
    <row r="252" spans="1:15" ht="15" x14ac:dyDescent="0.2">
      <c r="A252" s="234"/>
      <c r="B252" s="234"/>
      <c r="C252" s="234"/>
      <c r="D252" s="234"/>
      <c r="E252" s="234"/>
      <c r="F252" s="234"/>
    </row>
    <row r="253" spans="1:15" ht="15" x14ac:dyDescent="0.2">
      <c r="A253" s="235" t="s">
        <v>384</v>
      </c>
      <c r="B253" s="236">
        <f>+C193</f>
        <v>56830801.875425756</v>
      </c>
      <c r="C253" s="236">
        <f>+D193</f>
        <v>83882648.875351995</v>
      </c>
      <c r="D253" s="236">
        <f>+E193</f>
        <v>115239815.68617299</v>
      </c>
      <c r="E253" s="236">
        <f>+F193</f>
        <v>156846418.06175521</v>
      </c>
      <c r="F253" s="236">
        <f>+G193</f>
        <v>210503363.71182868</v>
      </c>
      <c r="L253" s="232" t="s">
        <v>440</v>
      </c>
    </row>
    <row r="254" spans="1:15" ht="15" x14ac:dyDescent="0.2">
      <c r="A254" s="235" t="s">
        <v>397</v>
      </c>
      <c r="B254" s="236">
        <f>+B93</f>
        <v>13621917.440000005</v>
      </c>
      <c r="C254" s="236">
        <f>+C93</f>
        <v>15406797.282163203</v>
      </c>
      <c r="D254" s="236">
        <f>+D93</f>
        <v>17425549.930045038</v>
      </c>
      <c r="E254" s="236">
        <f>+E93</f>
        <v>19708819.737378851</v>
      </c>
      <c r="F254" s="236">
        <f>+F93</f>
        <v>22291266.387567595</v>
      </c>
      <c r="L254" s="232" t="s">
        <v>438</v>
      </c>
      <c r="M254" s="232" t="s">
        <v>441</v>
      </c>
    </row>
    <row r="255" spans="1:15" ht="15.75" x14ac:dyDescent="0.25">
      <c r="A255" s="237" t="s">
        <v>261</v>
      </c>
      <c r="B255" s="238">
        <f>SUM(B253:B254)</f>
        <v>70452719.315425754</v>
      </c>
      <c r="C255" s="238">
        <f t="shared" ref="C255:F255" si="98">SUM(C253:C254)</f>
        <v>99289446.157515198</v>
      </c>
      <c r="D255" s="238">
        <f t="shared" si="98"/>
        <v>132665365.61621803</v>
      </c>
      <c r="E255" s="238">
        <f t="shared" si="98"/>
        <v>176555237.79913408</v>
      </c>
      <c r="F255" s="238">
        <f t="shared" si="98"/>
        <v>232794630.09939629</v>
      </c>
      <c r="L255" s="232" t="s">
        <v>439</v>
      </c>
      <c r="M255" s="232" t="s">
        <v>442</v>
      </c>
    </row>
    <row r="256" spans="1:15" ht="15" x14ac:dyDescent="0.2">
      <c r="A256" s="235" t="s">
        <v>398</v>
      </c>
      <c r="B256" s="236">
        <f>+$B$42</f>
        <v>15000000</v>
      </c>
      <c r="C256" s="236">
        <f t="shared" ref="C256:F256" si="99">+$B$42</f>
        <v>15000000</v>
      </c>
      <c r="D256" s="236">
        <f t="shared" si="99"/>
        <v>15000000</v>
      </c>
      <c r="E256" s="236">
        <f t="shared" si="99"/>
        <v>15000000</v>
      </c>
      <c r="F256" s="236">
        <f t="shared" si="99"/>
        <v>15000000</v>
      </c>
      <c r="L256" s="232" t="s">
        <v>446</v>
      </c>
      <c r="M256" s="232" t="s">
        <v>443</v>
      </c>
      <c r="O256" s="102">
        <f>+D40</f>
        <v>30000000</v>
      </c>
    </row>
    <row r="257" spans="1:15" ht="15" x14ac:dyDescent="0.2">
      <c r="A257" s="235" t="s">
        <v>399</v>
      </c>
      <c r="B257" s="236">
        <f>-B127-B130</f>
        <v>-3380952.3809523811</v>
      </c>
      <c r="C257" s="236">
        <f>+B257-C127-C130</f>
        <v>-6285714.2857142854</v>
      </c>
      <c r="D257" s="236">
        <f t="shared" ref="D257:F257" si="100">+C257-D127-D130</f>
        <v>-8714285.7142857146</v>
      </c>
      <c r="E257" s="236">
        <f t="shared" si="100"/>
        <v>-10666666.666666668</v>
      </c>
      <c r="F257" s="236">
        <f t="shared" si="100"/>
        <v>-12142857.142857144</v>
      </c>
      <c r="L257" s="232" t="s">
        <v>447</v>
      </c>
      <c r="M257" s="232" t="s">
        <v>444</v>
      </c>
      <c r="O257" s="232" t="s">
        <v>451</v>
      </c>
    </row>
    <row r="258" spans="1:15" ht="15.75" x14ac:dyDescent="0.25">
      <c r="A258" s="237" t="s">
        <v>400</v>
      </c>
      <c r="B258" s="239">
        <f>SUM(B256:B257)</f>
        <v>11619047.619047619</v>
      </c>
      <c r="C258" s="239">
        <f t="shared" ref="C258:F258" si="101">SUM(C256:C257)</f>
        <v>8714285.7142857146</v>
      </c>
      <c r="D258" s="239">
        <f t="shared" si="101"/>
        <v>6285714.2857142854</v>
      </c>
      <c r="E258" s="239">
        <f t="shared" si="101"/>
        <v>4333333.3333333321</v>
      </c>
      <c r="F258" s="239">
        <f t="shared" si="101"/>
        <v>2857142.8571428563</v>
      </c>
      <c r="L258" s="232" t="s">
        <v>448</v>
      </c>
      <c r="M258" s="232" t="s">
        <v>445</v>
      </c>
      <c r="O258" s="248">
        <f>+B6</f>
        <v>0.35</v>
      </c>
    </row>
    <row r="259" spans="1:15" ht="15.75" x14ac:dyDescent="0.25">
      <c r="A259" s="240" t="s">
        <v>266</v>
      </c>
      <c r="B259" s="241">
        <f>+B255+B258</f>
        <v>82071766.934473366</v>
      </c>
      <c r="C259" s="241">
        <f t="shared" ref="C259:F259" si="102">+C255+C258</f>
        <v>108003731.87180091</v>
      </c>
      <c r="D259" s="241">
        <f t="shared" si="102"/>
        <v>138951079.90193233</v>
      </c>
      <c r="E259" s="241">
        <f t="shared" si="102"/>
        <v>180888571.13246742</v>
      </c>
      <c r="F259" s="241">
        <f t="shared" si="102"/>
        <v>235651772.95653915</v>
      </c>
    </row>
    <row r="260" spans="1:15" ht="15" x14ac:dyDescent="0.2">
      <c r="A260" s="242" t="s">
        <v>401</v>
      </c>
      <c r="B260" s="235"/>
      <c r="C260" s="235"/>
      <c r="D260" s="235"/>
      <c r="E260" s="235"/>
      <c r="F260" s="235"/>
      <c r="L260" s="232" t="s">
        <v>440</v>
      </c>
      <c r="M260" s="232" t="s">
        <v>449</v>
      </c>
    </row>
    <row r="261" spans="1:15" ht="15" x14ac:dyDescent="0.2">
      <c r="A261" s="235" t="s">
        <v>402</v>
      </c>
      <c r="B261" s="236">
        <f>+B134</f>
        <v>3243349.4212100804</v>
      </c>
      <c r="C261" s="236">
        <f>+C134</f>
        <v>11907389.602824338</v>
      </c>
      <c r="D261" s="236">
        <f>+D134</f>
        <v>16932631.889697727</v>
      </c>
      <c r="E261" s="236">
        <f>+E134</f>
        <v>22808703.130787574</v>
      </c>
      <c r="F261" s="236">
        <f>+F134</f>
        <v>29662909.178325683</v>
      </c>
    </row>
    <row r="262" spans="1:15" ht="15" x14ac:dyDescent="0.2">
      <c r="A262" s="235" t="s">
        <v>403</v>
      </c>
      <c r="B262" s="235"/>
      <c r="C262" s="235"/>
      <c r="D262" s="235"/>
      <c r="E262" s="235"/>
      <c r="F262" s="235"/>
    </row>
    <row r="263" spans="1:15" ht="15" x14ac:dyDescent="0.2">
      <c r="A263" s="235" t="s">
        <v>404</v>
      </c>
      <c r="B263" s="235"/>
      <c r="C263" s="235"/>
      <c r="D263" s="235"/>
      <c r="E263" s="235"/>
      <c r="F263" s="235"/>
    </row>
    <row r="264" spans="1:15" ht="15" x14ac:dyDescent="0.2">
      <c r="A264" s="235" t="s">
        <v>405</v>
      </c>
      <c r="B264" s="235"/>
      <c r="C264" s="235"/>
      <c r="D264" s="235"/>
      <c r="E264" s="235"/>
      <c r="F264" s="235"/>
    </row>
    <row r="265" spans="1:15" ht="15.75" x14ac:dyDescent="0.25">
      <c r="A265" s="237" t="s">
        <v>406</v>
      </c>
      <c r="B265" s="238">
        <f>SUM(B261:B264)</f>
        <v>3243349.4212100804</v>
      </c>
      <c r="C265" s="238">
        <f t="shared" ref="C265:F265" si="103">SUM(C261:C264)</f>
        <v>11907389.602824338</v>
      </c>
      <c r="D265" s="238">
        <f t="shared" si="103"/>
        <v>16932631.889697727</v>
      </c>
      <c r="E265" s="238">
        <f t="shared" si="103"/>
        <v>22808703.130787574</v>
      </c>
      <c r="F265" s="238">
        <f t="shared" si="103"/>
        <v>29662909.178325683</v>
      </c>
    </row>
    <row r="266" spans="1:15" ht="15" x14ac:dyDescent="0.2">
      <c r="A266" s="235" t="s">
        <v>407</v>
      </c>
      <c r="B266" s="236">
        <f>+B116</f>
        <v>27805054.302444566</v>
      </c>
      <c r="C266" s="236">
        <f>+C116</f>
        <v>22959255.510055497</v>
      </c>
      <c r="D266" s="236">
        <f>+D116</f>
        <v>17435044.886731956</v>
      </c>
      <c r="E266" s="236">
        <f>+E116</f>
        <v>11137444.776143128</v>
      </c>
      <c r="F266" s="236">
        <f>+F116</f>
        <v>3958180.6500718738</v>
      </c>
    </row>
    <row r="267" spans="1:15" ht="15.75" x14ac:dyDescent="0.25">
      <c r="A267" s="237" t="s">
        <v>408</v>
      </c>
      <c r="B267" s="238">
        <f>+B266</f>
        <v>27805054.302444566</v>
      </c>
      <c r="C267" s="238">
        <f t="shared" ref="C267:F267" si="104">+C266</f>
        <v>22959255.510055497</v>
      </c>
      <c r="D267" s="238">
        <f t="shared" si="104"/>
        <v>17435044.886731956</v>
      </c>
      <c r="E267" s="238">
        <f t="shared" si="104"/>
        <v>11137444.776143128</v>
      </c>
      <c r="F267" s="238">
        <f t="shared" si="104"/>
        <v>3958180.6500718738</v>
      </c>
    </row>
    <row r="268" spans="1:15" ht="15.75" x14ac:dyDescent="0.25">
      <c r="A268" s="243" t="s">
        <v>409</v>
      </c>
      <c r="B268" s="244">
        <f>+B265+B267</f>
        <v>31048403.723654646</v>
      </c>
      <c r="C268" s="244">
        <f>+C265+C267</f>
        <v>34866645.112879835</v>
      </c>
      <c r="D268" s="244">
        <f>+D265+D267</f>
        <v>34367676.776429683</v>
      </c>
      <c r="E268" s="244">
        <f>+E265+E267</f>
        <v>33946147.9069307</v>
      </c>
      <c r="F268" s="244">
        <f>+F265+F267</f>
        <v>33621089.828397557</v>
      </c>
    </row>
    <row r="269" spans="1:15" ht="15" x14ac:dyDescent="0.2">
      <c r="A269" s="242" t="s">
        <v>265</v>
      </c>
      <c r="B269" s="235"/>
      <c r="C269" s="235"/>
      <c r="D269" s="235"/>
      <c r="E269" s="235"/>
      <c r="F269" s="235"/>
    </row>
    <row r="270" spans="1:15" ht="15" x14ac:dyDescent="0.2">
      <c r="A270" s="245" t="s">
        <v>410</v>
      </c>
      <c r="B270" s="236">
        <f>+$D$42</f>
        <v>45000000</v>
      </c>
      <c r="C270" s="236">
        <f t="shared" ref="C270:F270" si="105">+$D$42</f>
        <v>45000000</v>
      </c>
      <c r="D270" s="236">
        <f t="shared" si="105"/>
        <v>45000000</v>
      </c>
      <c r="E270" s="236">
        <f t="shared" si="105"/>
        <v>45000000</v>
      </c>
      <c r="F270" s="236">
        <f t="shared" si="105"/>
        <v>45000000</v>
      </c>
    </row>
    <row r="271" spans="1:15" ht="15" x14ac:dyDescent="0.2">
      <c r="A271" s="235" t="s">
        <v>411</v>
      </c>
      <c r="B271" s="236">
        <f>+B135</f>
        <v>6023363.210818721</v>
      </c>
      <c r="C271" s="236">
        <f>+C135</f>
        <v>22113723.548102342</v>
      </c>
      <c r="D271" s="236">
        <f>+D135</f>
        <v>31446316.366581496</v>
      </c>
      <c r="E271" s="236">
        <f>+E135</f>
        <v>42359020.100034066</v>
      </c>
      <c r="F271" s="236">
        <f>+F135</f>
        <v>55088259.902604848</v>
      </c>
    </row>
    <row r="272" spans="1:15" ht="15" x14ac:dyDescent="0.2">
      <c r="A272" s="235" t="s">
        <v>450</v>
      </c>
      <c r="B272" s="235"/>
      <c r="C272" s="236">
        <f>+B271</f>
        <v>6023363.210818721</v>
      </c>
      <c r="D272" s="236">
        <f>+C271+C272</f>
        <v>28137086.758921064</v>
      </c>
      <c r="E272" s="236">
        <f t="shared" ref="E272:F272" si="106">+D271+D272</f>
        <v>59583403.125502557</v>
      </c>
      <c r="F272" s="236">
        <f t="shared" si="106"/>
        <v>101942423.22553661</v>
      </c>
    </row>
    <row r="273" spans="1:6" ht="15.75" x14ac:dyDescent="0.25">
      <c r="A273" s="243" t="s">
        <v>412</v>
      </c>
      <c r="B273" s="244">
        <f>SUM(B270:B272)</f>
        <v>51023363.210818723</v>
      </c>
      <c r="C273" s="244">
        <f t="shared" ref="C273:F273" si="107">SUM(C270:C272)</f>
        <v>73137086.758921072</v>
      </c>
      <c r="D273" s="244">
        <f t="shared" si="107"/>
        <v>104583403.12550256</v>
      </c>
      <c r="E273" s="244">
        <f t="shared" si="107"/>
        <v>146942423.22553661</v>
      </c>
      <c r="F273" s="244">
        <f t="shared" si="107"/>
        <v>202030683.12814146</v>
      </c>
    </row>
    <row r="274" spans="1:6" ht="15.75" x14ac:dyDescent="0.25">
      <c r="A274" s="240" t="s">
        <v>413</v>
      </c>
      <c r="B274" s="241">
        <f>+B268+B273</f>
        <v>82071766.934473366</v>
      </c>
      <c r="C274" s="241">
        <f t="shared" ref="C274:F274" si="108">+C268+C273</f>
        <v>108003731.8718009</v>
      </c>
      <c r="D274" s="241">
        <f t="shared" si="108"/>
        <v>138951079.90193224</v>
      </c>
      <c r="E274" s="241">
        <f t="shared" si="108"/>
        <v>180888571.13246733</v>
      </c>
      <c r="F274" s="241">
        <f t="shared" si="108"/>
        <v>235651772.95653903</v>
      </c>
    </row>
    <row r="275" spans="1:6" ht="15" x14ac:dyDescent="0.2">
      <c r="A275" s="246" t="s">
        <v>268</v>
      </c>
      <c r="B275" s="247">
        <f>+B259-B274</f>
        <v>0</v>
      </c>
      <c r="C275" s="247">
        <f>+C259-C274</f>
        <v>0</v>
      </c>
      <c r="D275" s="247">
        <f>+D259-D274</f>
        <v>0</v>
      </c>
      <c r="E275" s="247">
        <f>+E259-E274</f>
        <v>0</v>
      </c>
      <c r="F275" s="247">
        <f>+F259-F274</f>
        <v>0</v>
      </c>
    </row>
  </sheetData>
  <mergeCells count="26">
    <mergeCell ref="A39:B39"/>
    <mergeCell ref="C39:D39"/>
    <mergeCell ref="A1:H1"/>
    <mergeCell ref="A3:E3"/>
    <mergeCell ref="A34:C34"/>
    <mergeCell ref="A35:C35"/>
    <mergeCell ref="A37:D37"/>
    <mergeCell ref="A53:D53"/>
    <mergeCell ref="A65:D65"/>
    <mergeCell ref="A81:D81"/>
    <mergeCell ref="A95:D95"/>
    <mergeCell ref="A105:B105"/>
    <mergeCell ref="A119:D119"/>
    <mergeCell ref="A137:F137"/>
    <mergeCell ref="A139:F139"/>
    <mergeCell ref="H152:H154"/>
    <mergeCell ref="I152:I154"/>
    <mergeCell ref="A195:D195"/>
    <mergeCell ref="A218:D218"/>
    <mergeCell ref="A249:D249"/>
    <mergeCell ref="H155:H157"/>
    <mergeCell ref="I155:I157"/>
    <mergeCell ref="A164:F164"/>
    <mergeCell ref="A167:F167"/>
    <mergeCell ref="A169:F169"/>
    <mergeCell ref="A173:D173"/>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20E47-5040-41B1-AC94-97021BCB1F97}">
  <dimension ref="D1:AN36"/>
  <sheetViews>
    <sheetView showGridLines="0" tabSelected="1" topLeftCell="S1" workbookViewId="0">
      <selection activeCell="AM33" sqref="AM33"/>
    </sheetView>
  </sheetViews>
  <sheetFormatPr baseColWidth="10" defaultRowHeight="12.75" x14ac:dyDescent="0.2"/>
  <cols>
    <col min="4" max="4" width="23.7109375" bestFit="1" customWidth="1"/>
    <col min="5" max="5" width="13.7109375" bestFit="1" customWidth="1"/>
    <col min="6" max="6" width="11.140625" bestFit="1" customWidth="1"/>
    <col min="7" max="11" width="12.140625" bestFit="1" customWidth="1"/>
    <col min="13" max="13" width="43.42578125" bestFit="1" customWidth="1"/>
    <col min="14" max="15" width="11.140625" bestFit="1" customWidth="1"/>
    <col min="16" max="18" width="12.140625" bestFit="1" customWidth="1"/>
    <col min="20" max="20" width="20.28515625" bestFit="1" customWidth="1"/>
    <col min="21" max="24" width="11.140625" bestFit="1" customWidth="1"/>
    <col min="25" max="26" width="10.140625" bestFit="1" customWidth="1"/>
    <col min="28" max="28" width="29" bestFit="1" customWidth="1"/>
    <col min="29" max="29" width="13.7109375" bestFit="1" customWidth="1"/>
    <col min="30" max="30" width="24.28515625" bestFit="1" customWidth="1"/>
    <col min="31" max="31" width="13.7109375" bestFit="1" customWidth="1"/>
    <col min="35" max="35" width="22.7109375" bestFit="1" customWidth="1"/>
    <col min="36" max="36" width="19.28515625" customWidth="1"/>
    <col min="37" max="37" width="11.140625" bestFit="1" customWidth="1"/>
    <col min="38" max="38" width="19.85546875" bestFit="1" customWidth="1"/>
    <col min="39" max="39" width="11.5703125" bestFit="1" customWidth="1"/>
    <col min="40" max="40" width="9.7109375" bestFit="1" customWidth="1"/>
  </cols>
  <sheetData>
    <row r="1" spans="13:40" ht="13.5" thickBot="1" x14ac:dyDescent="0.25"/>
    <row r="2" spans="13:40" ht="13.5" thickBot="1" x14ac:dyDescent="0.25">
      <c r="M2" s="218" t="s">
        <v>237</v>
      </c>
      <c r="N2" s="224">
        <v>2024</v>
      </c>
      <c r="O2" s="224">
        <v>2025</v>
      </c>
      <c r="P2" s="224">
        <v>2026</v>
      </c>
      <c r="Q2" s="224">
        <v>2027</v>
      </c>
      <c r="R2" s="224">
        <v>2028</v>
      </c>
      <c r="T2" t="s">
        <v>313</v>
      </c>
      <c r="U2" t="s">
        <v>432</v>
      </c>
      <c r="V2" t="s">
        <v>433</v>
      </c>
      <c r="W2" t="s">
        <v>434</v>
      </c>
      <c r="X2" t="s">
        <v>435</v>
      </c>
      <c r="Y2" t="s">
        <v>436</v>
      </c>
      <c r="Z2" t="s">
        <v>437</v>
      </c>
      <c r="AI2" s="291" t="s">
        <v>453</v>
      </c>
      <c r="AJ2" s="293"/>
      <c r="AK2" s="293"/>
      <c r="AL2" s="293"/>
      <c r="AM2" s="293"/>
      <c r="AN2" s="292"/>
    </row>
    <row r="3" spans="13:40" ht="13.5" thickBot="1" x14ac:dyDescent="0.25">
      <c r="T3" t="s">
        <v>314</v>
      </c>
      <c r="U3" s="28">
        <v>1916715.7870188295</v>
      </c>
      <c r="V3" s="28">
        <v>3377524.1767594535</v>
      </c>
      <c r="W3" s="28">
        <v>2699112.34582499</v>
      </c>
      <c r="X3" s="28">
        <v>1925722.8585597007</v>
      </c>
      <c r="Y3" s="28">
        <v>1044058.8430772721</v>
      </c>
      <c r="Z3" s="28">
        <v>153480.83450239242</v>
      </c>
      <c r="AB3" t="s">
        <v>256</v>
      </c>
      <c r="AD3" t="s">
        <v>257</v>
      </c>
      <c r="AH3" s="290"/>
      <c r="AJ3" s="294" t="s">
        <v>217</v>
      </c>
      <c r="AK3" s="295"/>
      <c r="AL3" s="294" t="s">
        <v>458</v>
      </c>
      <c r="AM3" s="295"/>
    </row>
    <row r="4" spans="13:40" ht="13.5" thickBot="1" x14ac:dyDescent="0.25">
      <c r="M4" s="278" t="s">
        <v>360</v>
      </c>
      <c r="N4" s="278"/>
      <c r="O4" s="278"/>
      <c r="P4" s="278"/>
      <c r="Q4" s="278"/>
      <c r="R4" s="278"/>
      <c r="T4" t="s">
        <v>315</v>
      </c>
      <c r="U4" s="28">
        <v>2194945.6975554344</v>
      </c>
      <c r="V4" s="28">
        <v>4845798.7923890725</v>
      </c>
      <c r="W4" s="28">
        <v>5524210.6233235374</v>
      </c>
      <c r="X4" s="28">
        <v>6297600.1105888262</v>
      </c>
      <c r="Y4" s="28">
        <v>7179264.1260712547</v>
      </c>
      <c r="Z4" s="28">
        <v>3958180.650071871</v>
      </c>
      <c r="AB4" t="s">
        <v>259</v>
      </c>
      <c r="AC4" s="28">
        <v>60000000</v>
      </c>
      <c r="AD4" t="s">
        <v>260</v>
      </c>
      <c r="AE4" s="28">
        <v>30000000</v>
      </c>
      <c r="AH4" s="290"/>
      <c r="AJ4" s="296" t="s">
        <v>215</v>
      </c>
      <c r="AK4" s="297" t="s">
        <v>210</v>
      </c>
      <c r="AL4" s="296" t="s">
        <v>459</v>
      </c>
      <c r="AM4" s="297" t="s">
        <v>460</v>
      </c>
      <c r="AN4" s="305" t="s">
        <v>216</v>
      </c>
    </row>
    <row r="5" spans="13:40" x14ac:dyDescent="0.2">
      <c r="M5" s="228" t="s">
        <v>361</v>
      </c>
      <c r="N5" s="229">
        <v>21.722210642706553</v>
      </c>
      <c r="O5" s="229">
        <v>8.3384729541363569</v>
      </c>
      <c r="P5" s="229">
        <v>7.8348933869480293</v>
      </c>
      <c r="Q5" s="229">
        <v>7.7406960311047595</v>
      </c>
      <c r="R5" s="229">
        <v>7.848004007290573</v>
      </c>
      <c r="T5" t="s">
        <v>316</v>
      </c>
      <c r="U5" s="28">
        <v>4111661.4845742639</v>
      </c>
      <c r="V5" s="28">
        <v>8223322.969148526</v>
      </c>
      <c r="W5" s="28">
        <v>8223322.9691485278</v>
      </c>
      <c r="X5" s="28">
        <v>8223322.9691485269</v>
      </c>
      <c r="Y5" s="28">
        <v>8223322.9691485269</v>
      </c>
      <c r="Z5" s="28">
        <v>4111661.4845742634</v>
      </c>
      <c r="AB5" t="s">
        <v>261</v>
      </c>
      <c r="AC5" s="28">
        <v>60000000</v>
      </c>
      <c r="AD5" t="s">
        <v>262</v>
      </c>
      <c r="AE5" s="28">
        <v>30000000</v>
      </c>
      <c r="AH5" s="290"/>
      <c r="AI5" s="305" t="s">
        <v>206</v>
      </c>
      <c r="AJ5" s="296">
        <v>4.08</v>
      </c>
      <c r="AK5" s="298">
        <v>1276500</v>
      </c>
      <c r="AL5" s="296">
        <v>6.12</v>
      </c>
      <c r="AM5" s="298">
        <v>5790099.2000000002</v>
      </c>
      <c r="AN5" s="310">
        <v>0.7795374559385787</v>
      </c>
    </row>
    <row r="6" spans="13:40" x14ac:dyDescent="0.2">
      <c r="M6" s="228" t="s">
        <v>362</v>
      </c>
      <c r="N6" s="230">
        <v>67209369.894215673</v>
      </c>
      <c r="O6" s="230">
        <v>87382056.554690868</v>
      </c>
      <c r="P6" s="230">
        <v>115732733.7265203</v>
      </c>
      <c r="Q6" s="230">
        <v>153746534.66834649</v>
      </c>
      <c r="R6" s="230">
        <v>203131720.92107061</v>
      </c>
      <c r="T6" t="s">
        <v>317</v>
      </c>
      <c r="U6" s="28">
        <v>27805054.302444566</v>
      </c>
      <c r="V6" s="28">
        <v>22959255.510055497</v>
      </c>
      <c r="W6" s="28">
        <v>17435044.886731956</v>
      </c>
      <c r="X6" s="28">
        <v>11137444.776143128</v>
      </c>
      <c r="Y6" s="28">
        <v>3958180.6500718738</v>
      </c>
      <c r="Z6" s="28">
        <v>2.6775524020195007E-9</v>
      </c>
      <c r="AB6" t="s">
        <v>263</v>
      </c>
      <c r="AC6" s="28">
        <v>15000000</v>
      </c>
      <c r="AD6" t="s">
        <v>425</v>
      </c>
      <c r="AE6" s="28">
        <v>45000000</v>
      </c>
      <c r="AH6" s="290"/>
      <c r="AI6" s="306" t="s">
        <v>207</v>
      </c>
      <c r="AJ6" s="296">
        <v>8.16</v>
      </c>
      <c r="AK6" s="298">
        <v>1276500</v>
      </c>
      <c r="AL6" s="296">
        <v>12.24</v>
      </c>
      <c r="AM6" s="298">
        <v>1773250</v>
      </c>
      <c r="AN6" s="310">
        <v>0.28013534470604817</v>
      </c>
    </row>
    <row r="7" spans="13:40" x14ac:dyDescent="0.2">
      <c r="M7" s="278" t="s">
        <v>363</v>
      </c>
      <c r="N7" s="278"/>
      <c r="O7" s="278"/>
      <c r="P7" s="278"/>
      <c r="Q7" s="278"/>
      <c r="R7" s="278"/>
      <c r="AB7" t="s">
        <v>264</v>
      </c>
      <c r="AC7" s="28">
        <v>15000000</v>
      </c>
      <c r="AD7" t="s">
        <v>265</v>
      </c>
      <c r="AE7" s="28">
        <v>45000000</v>
      </c>
      <c r="AH7" s="290"/>
      <c r="AI7" s="306" t="s">
        <v>208</v>
      </c>
      <c r="AJ7" s="296">
        <v>8.16</v>
      </c>
      <c r="AK7" s="298">
        <v>1276500</v>
      </c>
      <c r="AL7" s="296">
        <v>12.24</v>
      </c>
      <c r="AM7" s="298">
        <v>1773250</v>
      </c>
      <c r="AN7" s="310">
        <v>0.28013534470604817</v>
      </c>
    </row>
    <row r="8" spans="13:40" x14ac:dyDescent="0.2">
      <c r="M8" s="228" t="s">
        <v>364</v>
      </c>
      <c r="N8" s="231">
        <v>0.37830797219759987</v>
      </c>
      <c r="O8" s="231">
        <v>0.32282815147782218</v>
      </c>
      <c r="P8" s="231">
        <v>0.24733652160663594</v>
      </c>
      <c r="Q8" s="231">
        <v>0.1876633094861003</v>
      </c>
      <c r="R8" s="231">
        <v>0.14267276416629479</v>
      </c>
      <c r="AB8" t="s">
        <v>266</v>
      </c>
      <c r="AC8" s="28">
        <v>75000000</v>
      </c>
      <c r="AD8" t="s">
        <v>267</v>
      </c>
      <c r="AE8" s="28">
        <v>75000000</v>
      </c>
      <c r="AH8" s="290"/>
      <c r="AI8" s="306" t="s">
        <v>209</v>
      </c>
      <c r="AJ8" s="296">
        <v>4.08</v>
      </c>
      <c r="AK8" s="298">
        <v>1276500</v>
      </c>
      <c r="AL8" s="296">
        <v>6.12</v>
      </c>
      <c r="AM8" s="298">
        <v>1773250</v>
      </c>
      <c r="AN8" s="310">
        <v>0.28013534470604817</v>
      </c>
    </row>
    <row r="9" spans="13:40" ht="14.25" customHeight="1" x14ac:dyDescent="0.2">
      <c r="M9" s="278" t="s">
        <v>365</v>
      </c>
      <c r="N9" s="278"/>
      <c r="O9" s="278"/>
      <c r="P9" s="278"/>
      <c r="Q9" s="278"/>
      <c r="R9" s="278"/>
      <c r="AH9" s="290"/>
      <c r="AI9" s="307" t="s">
        <v>211</v>
      </c>
      <c r="AJ9" s="299">
        <v>24.479999999999997</v>
      </c>
      <c r="AK9" s="300">
        <v>5106000</v>
      </c>
      <c r="AL9" s="299">
        <v>36.72</v>
      </c>
      <c r="AM9" s="300">
        <v>11109849.199999999</v>
      </c>
      <c r="AN9" s="311">
        <v>0.54040780319502446</v>
      </c>
    </row>
    <row r="10" spans="13:40" ht="14.25" customHeight="1" x14ac:dyDescent="0.2">
      <c r="M10" s="228" t="s">
        <v>366</v>
      </c>
      <c r="N10" s="228">
        <v>16.000000000000004</v>
      </c>
      <c r="O10" s="228">
        <v>23.999999999999996</v>
      </c>
      <c r="P10" s="228">
        <v>23.999999999999989</v>
      </c>
      <c r="Q10" s="228">
        <v>24.000000000000004</v>
      </c>
      <c r="R10" s="228">
        <v>23.999999999999993</v>
      </c>
      <c r="AH10" s="290"/>
      <c r="AI10" s="308" t="s">
        <v>213</v>
      </c>
      <c r="AJ10" s="301"/>
      <c r="AK10" s="302">
        <v>24479999.999999996</v>
      </c>
      <c r="AL10" s="301"/>
      <c r="AM10" s="302">
        <v>36720000</v>
      </c>
      <c r="AN10" s="312">
        <v>0.33333333333333348</v>
      </c>
    </row>
    <row r="11" spans="13:40" ht="14.25" customHeight="1" x14ac:dyDescent="0.2">
      <c r="M11" s="228" t="s">
        <v>367</v>
      </c>
      <c r="N11" s="228">
        <v>7.4999999999999982</v>
      </c>
      <c r="O11" s="228">
        <v>15</v>
      </c>
      <c r="P11" s="228">
        <v>15.000000000000005</v>
      </c>
      <c r="Q11" s="228">
        <v>14.999999999999998</v>
      </c>
      <c r="R11" s="228">
        <v>15.000000000000004</v>
      </c>
      <c r="AH11" s="290"/>
      <c r="AI11" s="308" t="s">
        <v>212</v>
      </c>
      <c r="AJ11" s="301"/>
      <c r="AK11" s="302">
        <v>19373999.999999996</v>
      </c>
      <c r="AL11" s="301"/>
      <c r="AM11" s="302">
        <v>25610150.800000001</v>
      </c>
      <c r="AN11" s="312">
        <v>0.24350308784593355</v>
      </c>
    </row>
    <row r="12" spans="13:40" ht="13.5" thickBot="1" x14ac:dyDescent="0.25">
      <c r="AH12" s="290"/>
      <c r="AI12" s="309" t="s">
        <v>190</v>
      </c>
      <c r="AJ12" s="303"/>
      <c r="AK12" s="304">
        <v>1614499.9999999998</v>
      </c>
      <c r="AL12" s="303"/>
      <c r="AM12" s="304">
        <v>2134179.2333333334</v>
      </c>
      <c r="AN12" s="313"/>
    </row>
    <row r="13" spans="13:40" ht="13.5" thickBot="1" x14ac:dyDescent="0.25">
      <c r="AI13" s="314" t="s">
        <v>455</v>
      </c>
      <c r="AJ13" s="315"/>
      <c r="AK13" s="315"/>
      <c r="AL13" s="315"/>
      <c r="AM13" s="316">
        <v>519679.23333333363</v>
      </c>
      <c r="AN13" s="317"/>
    </row>
    <row r="17" spans="4:40" ht="15.75" thickBot="1" x14ac:dyDescent="0.3">
      <c r="D17" s="263" t="s">
        <v>368</v>
      </c>
      <c r="E17" s="263"/>
      <c r="F17" s="263"/>
      <c r="G17" s="263"/>
      <c r="X17" s="250" t="s">
        <v>452</v>
      </c>
      <c r="Y17" s="250" t="s">
        <v>128</v>
      </c>
    </row>
    <row r="18" spans="4:40" ht="13.5" thickBot="1" x14ac:dyDescent="0.25">
      <c r="D18" s="218" t="s">
        <v>237</v>
      </c>
      <c r="E18" s="224" t="s">
        <v>431</v>
      </c>
      <c r="F18" s="224" t="s">
        <v>432</v>
      </c>
      <c r="G18" s="224" t="s">
        <v>433</v>
      </c>
      <c r="H18" s="224" t="s">
        <v>434</v>
      </c>
      <c r="I18" s="224" t="s">
        <v>435</v>
      </c>
      <c r="J18" s="224" t="s">
        <v>436</v>
      </c>
      <c r="K18" s="224" t="s">
        <v>437</v>
      </c>
      <c r="X18" t="s">
        <v>390</v>
      </c>
      <c r="Y18" s="226">
        <v>4.8667575893664745</v>
      </c>
      <c r="AI18" s="291" t="s">
        <v>454</v>
      </c>
      <c r="AJ18" s="293"/>
      <c r="AK18" s="293"/>
      <c r="AL18" s="293"/>
      <c r="AM18" s="293"/>
      <c r="AN18" s="292"/>
    </row>
    <row r="19" spans="4:40" ht="13.5" thickBot="1" x14ac:dyDescent="0.25">
      <c r="X19" t="s">
        <v>392</v>
      </c>
      <c r="Y19" s="227">
        <v>0.47675174854789382</v>
      </c>
      <c r="AJ19" s="291" t="s">
        <v>217</v>
      </c>
      <c r="AK19" s="292"/>
      <c r="AL19" s="291" t="s">
        <v>458</v>
      </c>
      <c r="AM19" s="292"/>
    </row>
    <row r="20" spans="4:40" ht="13.5" thickBot="1" x14ac:dyDescent="0.25">
      <c r="D20" t="s">
        <v>370</v>
      </c>
      <c r="E20" s="28"/>
      <c r="F20" s="28"/>
      <c r="G20" s="28"/>
      <c r="H20" s="28"/>
      <c r="I20" s="28"/>
      <c r="J20" s="28"/>
      <c r="K20" s="28"/>
      <c r="X20" t="s">
        <v>395</v>
      </c>
      <c r="Y20" s="225">
        <v>1.1137699040019131</v>
      </c>
      <c r="AJ20" s="296" t="s">
        <v>215</v>
      </c>
      <c r="AK20" s="297" t="s">
        <v>210</v>
      </c>
      <c r="AL20" s="296" t="s">
        <v>456</v>
      </c>
      <c r="AM20" s="297" t="s">
        <v>457</v>
      </c>
      <c r="AN20" s="305" t="s">
        <v>216</v>
      </c>
    </row>
    <row r="21" spans="4:40" x14ac:dyDescent="0.2">
      <c r="D21" t="s">
        <v>371</v>
      </c>
      <c r="E21" s="28">
        <v>45000000</v>
      </c>
      <c r="F21" s="28"/>
      <c r="G21" s="28"/>
      <c r="H21" s="28"/>
      <c r="I21" s="28"/>
      <c r="J21" s="28"/>
      <c r="K21" s="28"/>
      <c r="AI21" s="305" t="s">
        <v>206</v>
      </c>
      <c r="AJ21" s="296">
        <v>4.08</v>
      </c>
      <c r="AK21" s="298">
        <v>1276500</v>
      </c>
      <c r="AL21" s="296">
        <v>6.12</v>
      </c>
      <c r="AM21" s="298">
        <v>1773250</v>
      </c>
      <c r="AN21" s="310">
        <v>0.28013534470604817</v>
      </c>
    </row>
    <row r="22" spans="4:40" x14ac:dyDescent="0.2">
      <c r="D22" t="s">
        <v>372</v>
      </c>
      <c r="E22" s="28">
        <v>30000000</v>
      </c>
      <c r="F22" s="28"/>
      <c r="G22" s="28"/>
      <c r="H22" s="28"/>
      <c r="I22" s="28"/>
      <c r="J22" s="28"/>
      <c r="K22" s="28"/>
      <c r="AI22" s="306" t="s">
        <v>207</v>
      </c>
      <c r="AJ22" s="296">
        <v>8.16</v>
      </c>
      <c r="AK22" s="298">
        <v>1276500</v>
      </c>
      <c r="AL22" s="296">
        <v>12.24</v>
      </c>
      <c r="AM22" s="298">
        <v>1773250</v>
      </c>
      <c r="AN22" s="310">
        <v>0.28013534470604817</v>
      </c>
    </row>
    <row r="23" spans="4:40" x14ac:dyDescent="0.2">
      <c r="D23" t="s">
        <v>246</v>
      </c>
      <c r="E23" s="28"/>
      <c r="F23" s="28">
        <v>61298628.480000004</v>
      </c>
      <c r="G23" s="28">
        <v>138661175.53946882</v>
      </c>
      <c r="H23" s="28">
        <v>156829949.37040541</v>
      </c>
      <c r="I23" s="28">
        <v>177379377.63640961</v>
      </c>
      <c r="J23" s="28">
        <v>200621397.4881084</v>
      </c>
      <c r="K23" s="28"/>
      <c r="AI23" s="306" t="s">
        <v>208</v>
      </c>
      <c r="AJ23" s="296">
        <v>8.16</v>
      </c>
      <c r="AK23" s="298">
        <v>1276500</v>
      </c>
      <c r="AL23" s="296">
        <v>12.24</v>
      </c>
      <c r="AM23" s="298">
        <v>1773250</v>
      </c>
      <c r="AN23" s="310">
        <v>0.28013534470604817</v>
      </c>
    </row>
    <row r="24" spans="4:40" x14ac:dyDescent="0.2">
      <c r="D24" t="s">
        <v>373</v>
      </c>
      <c r="E24" s="28"/>
      <c r="F24" s="28">
        <v>27243834.880000003</v>
      </c>
      <c r="G24" s="28">
        <v>90655903.850816011</v>
      </c>
      <c r="H24" s="28">
        <v>102534546.93238844</v>
      </c>
      <c r="I24" s="28">
        <v>115969648.61693928</v>
      </c>
      <c r="J24" s="28">
        <v>131165151.67521685</v>
      </c>
      <c r="K24" s="28">
        <v>123139630.47688992</v>
      </c>
      <c r="AI24" s="306" t="s">
        <v>209</v>
      </c>
      <c r="AJ24" s="296">
        <v>4.08</v>
      </c>
      <c r="AK24" s="298">
        <v>1276500</v>
      </c>
      <c r="AL24" s="296">
        <v>6.12</v>
      </c>
      <c r="AM24" s="298">
        <v>1773250</v>
      </c>
      <c r="AN24" s="310">
        <v>0.28013534470604817</v>
      </c>
    </row>
    <row r="25" spans="4:40" x14ac:dyDescent="0.2">
      <c r="D25" s="219" t="s">
        <v>374</v>
      </c>
      <c r="E25" s="220">
        <v>75000000</v>
      </c>
      <c r="F25" s="220">
        <v>88542463.360000014</v>
      </c>
      <c r="G25" s="220">
        <v>229317079.39028484</v>
      </c>
      <c r="H25" s="220">
        <v>259364496.30279386</v>
      </c>
      <c r="I25" s="220">
        <v>293349026.25334889</v>
      </c>
      <c r="J25" s="220">
        <v>331786549.16332525</v>
      </c>
      <c r="K25" s="220">
        <v>123139630.47688992</v>
      </c>
      <c r="AI25" s="307" t="s">
        <v>211</v>
      </c>
      <c r="AJ25" s="299">
        <v>24.479999999999997</v>
      </c>
      <c r="AK25" s="300">
        <v>5106000</v>
      </c>
      <c r="AL25" s="299">
        <v>36.72</v>
      </c>
      <c r="AM25" s="300">
        <v>7093000</v>
      </c>
      <c r="AN25" s="311">
        <v>0.28013534470604817</v>
      </c>
    </row>
    <row r="26" spans="4:40" x14ac:dyDescent="0.2">
      <c r="D26" t="s">
        <v>375</v>
      </c>
      <c r="E26" s="28"/>
      <c r="F26" s="28"/>
      <c r="G26" s="28"/>
      <c r="H26" s="28"/>
      <c r="I26" s="28"/>
      <c r="J26" s="28"/>
      <c r="K26" s="28"/>
      <c r="AI26" s="308" t="s">
        <v>213</v>
      </c>
      <c r="AJ26" s="301"/>
      <c r="AK26" s="302">
        <v>24479999.999999996</v>
      </c>
      <c r="AL26" s="301"/>
      <c r="AM26" s="302">
        <v>36720000</v>
      </c>
      <c r="AN26" s="312">
        <v>0.33333333333333348</v>
      </c>
    </row>
    <row r="27" spans="4:40" x14ac:dyDescent="0.2">
      <c r="D27" t="s">
        <v>376</v>
      </c>
      <c r="E27" s="28">
        <v>15000000</v>
      </c>
      <c r="F27" s="28"/>
      <c r="G27" s="28"/>
      <c r="H27" s="28"/>
      <c r="I27" s="28"/>
      <c r="J27" s="28"/>
      <c r="K27" s="28"/>
      <c r="AI27" s="308" t="s">
        <v>212</v>
      </c>
      <c r="AJ27" s="301"/>
      <c r="AK27" s="302">
        <v>19373999.999999996</v>
      </c>
      <c r="AL27" s="301"/>
      <c r="AM27" s="302">
        <v>29627000</v>
      </c>
      <c r="AN27" s="312">
        <v>0.34606946366490043</v>
      </c>
    </row>
    <row r="28" spans="4:40" ht="13.5" thickBot="1" x14ac:dyDescent="0.25">
      <c r="D28" t="s">
        <v>377</v>
      </c>
      <c r="E28" s="28"/>
      <c r="F28" s="28">
        <v>12000000</v>
      </c>
      <c r="G28" s="28">
        <v>27502560</v>
      </c>
      <c r="H28" s="28">
        <v>31516936.919999994</v>
      </c>
      <c r="I28" s="28">
        <v>36118014.618920401</v>
      </c>
      <c r="J28" s="28">
        <v>41391646.66131565</v>
      </c>
      <c r="K28" s="28"/>
      <c r="AI28" s="309" t="s">
        <v>190</v>
      </c>
      <c r="AJ28" s="303"/>
      <c r="AK28" s="304">
        <v>1614499.9999999998</v>
      </c>
      <c r="AL28" s="303"/>
      <c r="AM28" s="304">
        <v>2468916.6666666665</v>
      </c>
      <c r="AN28" s="313"/>
    </row>
    <row r="29" spans="4:40" ht="13.5" thickBot="1" x14ac:dyDescent="0.25">
      <c r="D29" t="s">
        <v>378</v>
      </c>
      <c r="E29" s="28"/>
      <c r="F29" s="28">
        <v>50400000</v>
      </c>
      <c r="G29" s="28">
        <v>108864000</v>
      </c>
      <c r="H29" s="28">
        <v>117573120.00000001</v>
      </c>
      <c r="I29" s="28">
        <v>126978969.60000002</v>
      </c>
      <c r="J29" s="28">
        <v>137137287.16800004</v>
      </c>
      <c r="K29" s="28"/>
      <c r="AI29" s="314" t="s">
        <v>455</v>
      </c>
      <c r="AJ29" s="315"/>
      <c r="AK29" s="316"/>
      <c r="AL29" s="315"/>
      <c r="AM29" s="316">
        <v>854416.66666666674</v>
      </c>
      <c r="AN29" s="317"/>
    </row>
    <row r="30" spans="4:40" x14ac:dyDescent="0.2">
      <c r="D30" t="s">
        <v>234</v>
      </c>
      <c r="E30" s="28"/>
      <c r="F30" s="28">
        <v>25200000</v>
      </c>
      <c r="G30" s="28">
        <v>54432000</v>
      </c>
      <c r="H30" s="28">
        <v>58786560.000000007</v>
      </c>
      <c r="I30" s="28">
        <v>63489484.800000012</v>
      </c>
      <c r="J30" s="28">
        <v>68568643.584000021</v>
      </c>
      <c r="K30" s="28"/>
    </row>
    <row r="31" spans="4:40" x14ac:dyDescent="0.2">
      <c r="D31" t="s">
        <v>379</v>
      </c>
      <c r="E31" s="28"/>
      <c r="F31" s="28">
        <v>4111661.4845742639</v>
      </c>
      <c r="G31" s="28">
        <v>8223322.969148526</v>
      </c>
      <c r="H31" s="28">
        <v>8223322.9691485278</v>
      </c>
      <c r="I31" s="28">
        <v>8223322.9691485269</v>
      </c>
      <c r="J31" s="28">
        <v>8223322.9691485269</v>
      </c>
      <c r="K31" s="28">
        <v>4111661.4845742634</v>
      </c>
    </row>
    <row r="32" spans="4:40" x14ac:dyDescent="0.2">
      <c r="D32" t="s">
        <v>380</v>
      </c>
      <c r="E32" s="28"/>
      <c r="F32" s="28"/>
      <c r="G32" s="28">
        <v>3243349.4212100804</v>
      </c>
      <c r="H32" s="28">
        <v>11907389.602824338</v>
      </c>
      <c r="I32" s="28">
        <v>16932631.889697727</v>
      </c>
      <c r="J32" s="28">
        <v>22808703.130787574</v>
      </c>
      <c r="K32" s="28">
        <v>29662909.178325683</v>
      </c>
    </row>
    <row r="33" spans="4:11" x14ac:dyDescent="0.2">
      <c r="D33" t="s">
        <v>381</v>
      </c>
      <c r="E33" s="28"/>
      <c r="F33" s="28"/>
      <c r="G33" s="28"/>
      <c r="H33" s="28"/>
      <c r="I33" s="28"/>
      <c r="J33" s="28"/>
      <c r="K33" s="28"/>
    </row>
    <row r="34" spans="4:11" x14ac:dyDescent="0.2">
      <c r="D34" s="221" t="s">
        <v>382</v>
      </c>
      <c r="E34" s="222">
        <v>15000000</v>
      </c>
      <c r="F34" s="222">
        <v>91711661.484574258</v>
      </c>
      <c r="G34" s="222">
        <v>202265232.3903586</v>
      </c>
      <c r="H34" s="222">
        <v>228007329.49197286</v>
      </c>
      <c r="I34" s="222">
        <v>251742423.87776667</v>
      </c>
      <c r="J34" s="222">
        <v>278129603.51325178</v>
      </c>
      <c r="K34" s="222">
        <v>33774570.662899949</v>
      </c>
    </row>
    <row r="35" spans="4:11" x14ac:dyDescent="0.2">
      <c r="D35" t="s">
        <v>383</v>
      </c>
      <c r="E35" s="28">
        <v>60000000</v>
      </c>
      <c r="F35" s="28">
        <v>-3169198.124574244</v>
      </c>
      <c r="G35" s="28">
        <v>27051846.999926239</v>
      </c>
      <c r="H35" s="28">
        <v>31357166.810820997</v>
      </c>
      <c r="I35" s="28">
        <v>41606602.375582218</v>
      </c>
      <c r="J35" s="28">
        <v>53656945.650073469</v>
      </c>
      <c r="K35" s="28">
        <v>89365059.813989967</v>
      </c>
    </row>
    <row r="36" spans="4:11" x14ac:dyDescent="0.2">
      <c r="D36" s="38" t="s">
        <v>384</v>
      </c>
      <c r="E36" s="223">
        <v>60000000</v>
      </c>
      <c r="F36" s="223">
        <v>56830801.875425756</v>
      </c>
      <c r="G36" s="223">
        <v>83882648.875351995</v>
      </c>
      <c r="H36" s="223">
        <v>115239815.68617299</v>
      </c>
      <c r="I36" s="223">
        <v>156846418.06175521</v>
      </c>
      <c r="J36" s="223">
        <v>210503363.71182868</v>
      </c>
      <c r="K36" s="223">
        <v>299868423.52581865</v>
      </c>
    </row>
  </sheetData>
  <mergeCells count="10">
    <mergeCell ref="AI2:AN2"/>
    <mergeCell ref="AI18:AN18"/>
    <mergeCell ref="AJ19:AK19"/>
    <mergeCell ref="AL19:AM19"/>
    <mergeCell ref="AJ3:AK3"/>
    <mergeCell ref="AL3:AM3"/>
    <mergeCell ref="D17:G17"/>
    <mergeCell ref="M4:R4"/>
    <mergeCell ref="M7:R7"/>
    <mergeCell ref="M9:R9"/>
  </mergeCells>
  <phoneticPr fontId="40" type="noConversion"/>
  <pageMargins left="0.7" right="0.7" top="0.75" bottom="0.75" header="0.3" footer="0.3"/>
  <ignoredErrors>
    <ignoredError sqref="F18 G18:K18" numberStoredAsText="1"/>
  </ignoredErrors>
  <tableParts count="8">
    <tablePart r:id="rId1"/>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05551E8A-6E7F-43C3-9AF7-DE2206B660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D0CC27D-CE3E-43AC-A605-652FA0368202}">
  <ds:schemaRefs>
    <ds:schemaRef ds:uri="http://schemas.microsoft.com/sharepoint/v3/contenttype/forms"/>
  </ds:schemaRefs>
</ds:datastoreItem>
</file>

<file path=customXml/itemProps3.xml><?xml version="1.0" encoding="utf-8"?>
<ds:datastoreItem xmlns:ds="http://schemas.openxmlformats.org/officeDocument/2006/customXml" ds:itemID="{2BFC38E5-13E1-46DB-A8D4-73CBBEE9AFDF}">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TM02802366</Templat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Gastos iniciales</vt:lpstr>
      <vt:lpstr>Estructura de Costos</vt:lpstr>
      <vt:lpstr>Fuente de Ingresos</vt:lpstr>
      <vt:lpstr>Lista de Precios</vt:lpstr>
      <vt:lpstr>Maiz</vt:lpstr>
      <vt:lpstr>Modelo Financiero</vt:lpstr>
      <vt:lpstr>Tablas</vt:lpstr>
      <vt:lpstr>'Estructura de Costos'!Área_de_impresión</vt:lpstr>
      <vt:lpstr>'Gastos iniciales'!Área_de_impresión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2022-02-14T04:40:15Z</dcterms:created>
  <dcterms:modified xsi:type="dcterms:W3CDTF">2023-10-30T14:04:17Z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