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66925"/>
  <mc:AlternateContent xmlns:mc="http://schemas.openxmlformats.org/markup-compatibility/2006">
    <mc:Choice Requires="x15">
      <x15ac:absPath xmlns:x15ac="http://schemas.microsoft.com/office/spreadsheetml/2010/11/ac" url="C:\Users\kayvo\Desktop\New folder\"/>
    </mc:Choice>
  </mc:AlternateContent>
  <xr:revisionPtr revIDLastSave="0" documentId="13_ncr:1_{40F8578F-2CC9-48BA-869E-34DA21BFA9F1}" xr6:coauthVersionLast="43" xr6:coauthVersionMax="43" xr10:uidLastSave="{00000000-0000-0000-0000-000000000000}"/>
  <bookViews>
    <workbookView xWindow="2370" yWindow="4815" windowWidth="28800" windowHeight="15375" activeTab="3" xr2:uid="{00000000-000D-0000-FFFF-FFFF00000000}"/>
  </bookViews>
  <sheets>
    <sheet name="Title" sheetId="1" r:id="rId1"/>
    <sheet name="Outline" sheetId="2" r:id="rId2"/>
    <sheet name="_CIQHiddenCacheSheet" sheetId="27" state="veryHidden" r:id="rId3"/>
    <sheet name="Discount Summary" sheetId="3" r:id="rId4"/>
    <sheet name="9 Factor Discount Analysis" sheetId="4" r:id="rId5"/>
    <sheet name="DLOM_Quantitative Methods" sheetId="5" r:id="rId6"/>
    <sheet name="DLOM Restricted Stock Studies" sheetId="6" r:id="rId7"/>
    <sheet name="Asset Vol_2" sheetId="7" r:id="rId8"/>
    <sheet name="Asset Vol_3" sheetId="8" r:id="rId9"/>
    <sheet name="Asset Vol_4" sheetId="9" r:id="rId10"/>
    <sheet name="Control Premium Summary" sheetId="10" r:id="rId11"/>
    <sheet name="Risk-Free Rates" sheetId="11" r:id="rId12"/>
    <sheet name="Equity Vol" sheetId="12" r:id="rId13"/>
    <sheet name="DO NOT INCLUDE&gt;&gt;" sheetId="17" r:id="rId14"/>
    <sheet name="Equity Volatility - Output" sheetId="13"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 localSheetId="4" hidden="1">#REF!</definedName>
    <definedName name="_" localSheetId="8" hidden="1">#REF!</definedName>
    <definedName name="_" localSheetId="9" hidden="1">#REF!</definedName>
    <definedName name="_" localSheetId="10" hidden="1">#REF!</definedName>
    <definedName name="_" localSheetId="3" hidden="1">#REF!</definedName>
    <definedName name="_" hidden="1">#REF!</definedName>
    <definedName name="__123Graph_A" hidden="1">'[1]Sheet1 (2)'!$H$20:$O$20</definedName>
    <definedName name="__123Graph_B" hidden="1">'[1]Sheet1 (2)'!$H$15:$O$15</definedName>
    <definedName name="__123Graph_X" hidden="1">'[1]Sheet1 (2)'!$H$3:$P$3</definedName>
    <definedName name="__FDS_HYPERLINK_TOGGLE_STATE__" hidden="1">"ON"</definedName>
    <definedName name="__IntlFixup" hidden="1">TRUE</definedName>
    <definedName name="__IntlFixupTable" localSheetId="4" hidden="1">#REF!</definedName>
    <definedName name="__IntlFixupTable" localSheetId="8" hidden="1">#REF!</definedName>
    <definedName name="__IntlFixupTable" localSheetId="9" hidden="1">#REF!</definedName>
    <definedName name="__IntlFixupTable" localSheetId="10" hidden="1">#REF!</definedName>
    <definedName name="__IntlFixupTable" localSheetId="3" hidden="1">#REF!</definedName>
    <definedName name="__IntlFixupTable" hidden="1">#REF!</definedName>
    <definedName name="_1__123Graph_ACHART_1" localSheetId="10" hidden="1">[2]Africa!$B$19:$V$19</definedName>
    <definedName name="_1__123Graph_ACHART_1" hidden="1">[3]Africa!$B$19:$V$19</definedName>
    <definedName name="_10__123Graph_ACHART_18" localSheetId="10" hidden="1">[2]Ocean!$B$28:$V$28</definedName>
    <definedName name="_10__123Graph_ACHART_18" hidden="1">[3]Ocean!$B$28:$V$28</definedName>
    <definedName name="_11__123Graph_ACHART_19" localSheetId="10" hidden="1">'[2]S Amer'!$B$19:$V$19</definedName>
    <definedName name="_11__123Graph_ACHART_19" hidden="1">'[3]S Amer'!$B$19:$V$19</definedName>
    <definedName name="_112_0_0Cwvu.GREY_A" localSheetId="4" hidden="1">[4]TargIS!#REF!</definedName>
    <definedName name="_112_0_0Cwvu.GREY_A" localSheetId="8" hidden="1">[4]TargIS!#REF!</definedName>
    <definedName name="_112_0_0Cwvu.GREY_A" localSheetId="9" hidden="1">[4]TargIS!#REF!</definedName>
    <definedName name="_112_0_0Cwvu.GREY_A" localSheetId="3" hidden="1">[4]TargIS!#REF!</definedName>
    <definedName name="_112_0_0Cwvu.GREY_A" hidden="1">[4]TargIS!#REF!</definedName>
    <definedName name="_112_0_0Cwvu.grey_B" localSheetId="4" hidden="1">[4]TargIS!#REF!</definedName>
    <definedName name="_112_0_0Cwvu.grey_B" localSheetId="8" hidden="1">[4]TargIS!#REF!</definedName>
    <definedName name="_112_0_0Cwvu.grey_B" localSheetId="9" hidden="1">[4]TargIS!#REF!</definedName>
    <definedName name="_112_0_0Cwvu.grey_B" localSheetId="3" hidden="1">[4]TargIS!#REF!</definedName>
    <definedName name="_112_0_0Cwvu.grey_B" hidden="1">[4]TargIS!#REF!</definedName>
    <definedName name="_12__123Graph_ACHART_2" localSheetId="10" hidden="1">[2]Africa!$B$14:$V$14</definedName>
    <definedName name="_12__123Graph_ACHART_2" hidden="1">[3]Africa!$B$14:$V$14</definedName>
    <definedName name="_13__123Graph_ACHART_20" localSheetId="10" hidden="1">'[2]S Amer'!$B$14:$V$14</definedName>
    <definedName name="_13__123Graph_ACHART_20" hidden="1">'[3]S Amer'!$B$14:$V$14</definedName>
    <definedName name="_14__123Graph_ACHART_21" localSheetId="10" hidden="1">'[2]S Amer'!$B$28:$V$28</definedName>
    <definedName name="_14__123Graph_ACHART_21" hidden="1">'[3]S Amer'!$B$28:$V$28</definedName>
    <definedName name="_15__123Graph_ACHART_22" localSheetId="10" hidden="1">'[2]W Eur'!$B$19:$V$19</definedName>
    <definedName name="_15__123Graph_ACHART_22" hidden="1">'[3]W Eur'!$B$19:$V$19</definedName>
    <definedName name="_16__123Graph_ACHART_23" localSheetId="10" hidden="1">'[2]W Eur'!$B$14:$V$14</definedName>
    <definedName name="_16__123Graph_ACHART_23" hidden="1">'[3]W Eur'!$B$14:$V$14</definedName>
    <definedName name="_17__123Graph_ACHART_24" localSheetId="10" hidden="1">'[2]W Eur'!$B$28:$V$28</definedName>
    <definedName name="_17__123Graph_ACHART_24" hidden="1">'[3]W Eur'!$B$28:$V$28</definedName>
    <definedName name="_18__123Graph_ACHART_3" localSheetId="10" hidden="1">[2]Africa!$B$28:$V$28</definedName>
    <definedName name="_18__123Graph_ACHART_3" hidden="1">[3]Africa!$B$28:$V$28</definedName>
    <definedName name="_19__123Graph_ACHART_4" localSheetId="10" hidden="1">'[2]C Amer'!$B$19:$V$19</definedName>
    <definedName name="_19__123Graph_ACHART_4" hidden="1">'[3]C Amer'!$B$19:$V$19</definedName>
    <definedName name="_2__123Graph_ACHART_10" localSheetId="10" hidden="1">'[2]E Eur'!$B$14:$V$14</definedName>
    <definedName name="_2__123Graph_ACHART_10" hidden="1">'[3]E Eur'!$B$14:$V$14</definedName>
    <definedName name="_20__123Graph_ACHART_5" localSheetId="10" hidden="1">'[2]C Amer'!$B$14:$V$14</definedName>
    <definedName name="_20__123Graph_ACHART_5" hidden="1">'[3]C Amer'!$B$14:$V$14</definedName>
    <definedName name="_21__123Graph_ACHART_6" localSheetId="10" hidden="1">'[2]C Amer'!$B$28:$V$28</definedName>
    <definedName name="_21__123Graph_ACHART_6" hidden="1">'[3]C Amer'!$B$28:$V$28</definedName>
    <definedName name="_22__123Graph_A_Chart_1A" hidden="1">'[5]Stock Price'!$B$4:$B$265</definedName>
    <definedName name="_22__123Graph_ACHART_7" localSheetId="10" hidden="1">'[2]E Asia'!$B$19:$V$19</definedName>
    <definedName name="_22__123Graph_ACHART_7" hidden="1">'[3]E Asia'!$B$19:$V$19</definedName>
    <definedName name="_23__123Graph_AChart_1" hidden="1">[6]Total!$D$322:$D$325</definedName>
    <definedName name="_23__123Graph_ACHART_8" localSheetId="10" hidden="1">'[2]E Asia'!$B$14:$V$14</definedName>
    <definedName name="_23__123Graph_ACHART_8" hidden="1">'[3]E Asia'!$B$14:$V$14</definedName>
    <definedName name="_24__123Graph_AChart_2" hidden="1">'[7]sales vol.'!$K$398:$K$401</definedName>
    <definedName name="_24__123Graph_ACHART_9" localSheetId="10" hidden="1">'[2]E Eur'!$B$19:$V$19</definedName>
    <definedName name="_24__123Graph_ACHART_9" hidden="1">'[3]E Eur'!$B$19:$V$19</definedName>
    <definedName name="_25__123Graph_AChart_3" hidden="1">'[7]sales vol.'!$K$211:$K$214</definedName>
    <definedName name="_25__123Graph_BCHART_1" localSheetId="10" hidden="1">[2]Africa!$B$21:$V$21</definedName>
    <definedName name="_25__123Graph_BCHART_1" hidden="1">[3]Africa!$B$21:$V$21</definedName>
    <definedName name="_26__123Graph_AChart_4" hidden="1">'[7]sales vol.'!$J$1121:$J$1122</definedName>
    <definedName name="_26__123Graph_BCHART_10" localSheetId="10" hidden="1">'[2]E Eur'!$B$51:$V$51</definedName>
    <definedName name="_26__123Graph_BCHART_10" hidden="1">'[3]E Eur'!$B$51:$V$51</definedName>
    <definedName name="_27__123Graph_AChart_5" hidden="1">'[7]sales vol.'!$J$1632:$J$1635</definedName>
    <definedName name="_27__123Graph_BCHART_13" localSheetId="10" hidden="1">[2]Mideast!$B$21:$V$21</definedName>
    <definedName name="_27__123Graph_BCHART_13" hidden="1">[3]Mideast!$B$21:$V$21</definedName>
    <definedName name="_28__123Graph_AChart_6" hidden="1">'[7]sales vol.'!$J$2248:$J$2251</definedName>
    <definedName name="_28__123Graph_BCHART_14" localSheetId="10" hidden="1">[2]Mideast!$B$51:$V$51</definedName>
    <definedName name="_28__123Graph_BCHART_14" hidden="1">[3]Mideast!$B$51:$V$51</definedName>
    <definedName name="_29__123Graph_B_Chart_1A" hidden="1">'[5]Stock Price'!$C$4:$C$265</definedName>
    <definedName name="_29__123Graph_BCHART_16" localSheetId="10" hidden="1">[2]Ocean!$B$21:$V$21</definedName>
    <definedName name="_29__123Graph_BCHART_16" hidden="1">[3]Ocean!$B$21:$V$21</definedName>
    <definedName name="_3__123Graph_ACHART_11" localSheetId="10" hidden="1">'[2]E Eur'!$B$28:$V$28</definedName>
    <definedName name="_3__123Graph_ACHART_11" hidden="1">'[3]E Eur'!$B$28:$V$28</definedName>
    <definedName name="_30__123Graph_BCHART_17" localSheetId="10" hidden="1">[2]Ocean!$B$51:$V$51</definedName>
    <definedName name="_30__123Graph_BCHART_17" hidden="1">[3]Ocean!$B$51:$V$51</definedName>
    <definedName name="_30__123Graph_C_Chart_1A" hidden="1">'[5]Stock Price'!$D$4:$D$265</definedName>
    <definedName name="_31__123Graph_BCHART_19" localSheetId="10" hidden="1">'[2]S Amer'!$B$21:$V$21</definedName>
    <definedName name="_31__123Graph_BCHART_19" hidden="1">'[3]S Amer'!$B$21:$V$21</definedName>
    <definedName name="_31__123Graph_D_Chart_1A" hidden="1">'[5]Stock Price'!$E$4:$E$265</definedName>
    <definedName name="_32__123Graph_BCHART_2" localSheetId="10" hidden="1">[2]Africa!$B$51:$V$51</definedName>
    <definedName name="_32__123Graph_BCHART_2" hidden="1">[3]Africa!$B$51:$V$51</definedName>
    <definedName name="_32__123Graph_E_Chart_1A" hidden="1">'[5]Stock Price'!$F$4:$F$265</definedName>
    <definedName name="_33__123Graph_BCHART_20" localSheetId="10" hidden="1">'[2]S Amer'!$B$51:$V$51</definedName>
    <definedName name="_33__123Graph_BCHART_20" hidden="1">'[3]S Amer'!$B$51:$V$51</definedName>
    <definedName name="_33__123Graph_F_Chart_1A" hidden="1">'[5]Stock Price'!$G$4:$G$265</definedName>
    <definedName name="_34__123Graph_BCHART_22" localSheetId="10" hidden="1">'[2]W Eur'!$B$21:$V$21</definedName>
    <definedName name="_34__123Graph_BCHART_22" hidden="1">'[3]W Eur'!$B$21:$V$21</definedName>
    <definedName name="_34__123Graph_X_Chart_1A" hidden="1">'[5]Stock Price'!$A$4:$A$265</definedName>
    <definedName name="_35__123Graph_BCHART_23" localSheetId="10" hidden="1">'[2]W Eur'!$B$51:$V$51</definedName>
    <definedName name="_35__123Graph_BCHART_23" hidden="1">'[3]W Eur'!$B$51:$V$51</definedName>
    <definedName name="_35__123Graph_XChart_1" hidden="1">[6]Total!$C$322:$C$325</definedName>
    <definedName name="_36__123Graph_BCHART_4" localSheetId="10" hidden="1">'[2]C Amer'!$B$21:$V$21</definedName>
    <definedName name="_36__123Graph_BCHART_4" hidden="1">'[3]C Amer'!$B$21:$V$21</definedName>
    <definedName name="_36__123Graph_XChart_2" hidden="1">'[7]sales vol.'!$J$398:$J$401</definedName>
    <definedName name="_37__123Graph_BCHART_5" localSheetId="10" hidden="1">'[2]C Amer'!$B$51:$V$51</definedName>
    <definedName name="_37__123Graph_BCHART_5" hidden="1">'[3]C Amer'!$B$51:$V$51</definedName>
    <definedName name="_37__123Graph_XChart_3" hidden="1">'[7]sales vol.'!$J$211:$J$214</definedName>
    <definedName name="_38__123Graph_BCHART_7" localSheetId="10" hidden="1">'[2]E Asia'!$B$21:$V$21</definedName>
    <definedName name="_38__123Graph_BCHART_7" hidden="1">'[3]E Asia'!$B$21:$V$21</definedName>
    <definedName name="_38__123Graph_XChart_4" hidden="1">'[7]sales vol.'!$I$1121:$I$1122</definedName>
    <definedName name="_39__123Graph_BCHART_8" localSheetId="10" hidden="1">'[2]E Asia'!$B$51:$V$51</definedName>
    <definedName name="_39__123Graph_BCHART_8" hidden="1">'[3]E Asia'!$B$51:$V$51</definedName>
    <definedName name="_39__123Graph_XChart_5" hidden="1">'[7]sales vol.'!$I$1632:$I$1635</definedName>
    <definedName name="_4__123Graph_ACHART_12" localSheetId="10" hidden="1">'[2]E Asia'!$B$28:$V$28</definedName>
    <definedName name="_4__123Graph_ACHART_12" hidden="1">'[3]E Asia'!$B$28:$V$28</definedName>
    <definedName name="_40__123Graph_BCHART_9" localSheetId="10" hidden="1">'[2]E Eur'!$B$21:$V$21</definedName>
    <definedName name="_40__123Graph_BCHART_9" hidden="1">'[3]E Eur'!$B$21:$V$21</definedName>
    <definedName name="_40__123Graph_XChart_6" hidden="1">'[7]sales vol.'!$I$2248:$I$2251</definedName>
    <definedName name="_41__123Graph_CCHART_10" localSheetId="10" hidden="1">'[2]E Eur'!$B$13:$V$13</definedName>
    <definedName name="_41__123Graph_CCHART_10" hidden="1">'[3]E Eur'!$B$13:$V$13</definedName>
    <definedName name="_42__123Graph_CCHART_14" localSheetId="10" hidden="1">[2]Mideast!$B$13:$V$13</definedName>
    <definedName name="_42__123Graph_CCHART_14" hidden="1">[3]Mideast!$B$13:$V$13</definedName>
    <definedName name="_43__123Graph_CCHART_17" localSheetId="10" hidden="1">[2]Ocean!$B$13:$V$13</definedName>
    <definedName name="_43__123Graph_CCHART_17" hidden="1">[3]Ocean!$B$13:$V$13</definedName>
    <definedName name="_44__123Graph_CCHART_2" localSheetId="10" hidden="1">[2]Africa!$B$13:$V$13</definedName>
    <definedName name="_44__123Graph_CCHART_2" hidden="1">[3]Africa!$B$13:$V$13</definedName>
    <definedName name="_45__123Graph_CCHART_20" localSheetId="10" hidden="1">'[2]S Amer'!$B$13:$V$13</definedName>
    <definedName name="_45__123Graph_CCHART_20" hidden="1">'[3]S Amer'!$B$13:$V$13</definedName>
    <definedName name="_46__123Graph_CCHART_23" localSheetId="10" hidden="1">'[2]W Eur'!$B$13:$V$13</definedName>
    <definedName name="_46__123Graph_CCHART_23" hidden="1">'[3]W Eur'!$B$13:$V$13</definedName>
    <definedName name="_47__123Graph_CCHART_5" localSheetId="10" hidden="1">'[2]C Amer'!$B$13:$V$13</definedName>
    <definedName name="_47__123Graph_CCHART_5" hidden="1">'[3]C Amer'!$B$13:$V$13</definedName>
    <definedName name="_48__123Graph_CCHART_8" localSheetId="10" hidden="1">'[2]E Asia'!$B$13:$V$13</definedName>
    <definedName name="_48__123Graph_CCHART_8" hidden="1">'[3]E Asia'!$B$13:$V$13</definedName>
    <definedName name="_49__123Graph_XCHART_10" localSheetId="10" hidden="1">'[2]E Eur'!$B$8:$V$8</definedName>
    <definedName name="_49__123Graph_XCHART_10" hidden="1">'[3]E Eur'!$B$8:$V$8</definedName>
    <definedName name="_5__123Graph_ACHART_13" localSheetId="10" hidden="1">[2]Mideast!$B$19:$V$19</definedName>
    <definedName name="_5__123Graph_ACHART_13" hidden="1">[3]Mideast!$B$19:$V$19</definedName>
    <definedName name="_50__123Graph_XCHART_11" localSheetId="10" hidden="1">'[2]E Eur'!$B$8:$V$8</definedName>
    <definedName name="_50__123Graph_XCHART_11" hidden="1">'[3]E Eur'!$B$8:$V$8</definedName>
    <definedName name="_51__123Graph_XCHART_14" localSheetId="10" hidden="1">[2]Mideast!$B$8:$V$8</definedName>
    <definedName name="_51__123Graph_XCHART_14" hidden="1">[3]Mideast!$B$8:$V$8</definedName>
    <definedName name="_52__123Graph_XCHART_15" localSheetId="10" hidden="1">[2]Mideast!$B$8:$V$8</definedName>
    <definedName name="_52__123Graph_XCHART_15" hidden="1">[3]Mideast!$B$8:$V$8</definedName>
    <definedName name="_53__123Graph_XCHART_17" localSheetId="10" hidden="1">[2]Ocean!$B$8:$V$8</definedName>
    <definedName name="_53__123Graph_XCHART_17" hidden="1">[3]Ocean!$B$8:$V$8</definedName>
    <definedName name="_54__123Graph_XCHART_18" localSheetId="10" hidden="1">[2]Ocean!$B$8:$V$8</definedName>
    <definedName name="_54__123Graph_XCHART_18" hidden="1">[3]Ocean!$B$8:$V$8</definedName>
    <definedName name="_55__123Graph_XCHART_2" localSheetId="10" hidden="1">[2]Africa!$B$8:$V$8</definedName>
    <definedName name="_55__123Graph_XCHART_2" hidden="1">[3]Africa!$B$8:$V$8</definedName>
    <definedName name="_56__123Graph_XCHART_20" localSheetId="10" hidden="1">'[2]S Amer'!$B$8:$V$8</definedName>
    <definedName name="_56__123Graph_XCHART_20" hidden="1">'[3]S Amer'!$B$8:$V$8</definedName>
    <definedName name="_57__123Graph_XCHART_21" localSheetId="10" hidden="1">'[2]S Amer'!$B$8:$V$8</definedName>
    <definedName name="_57__123Graph_XCHART_21" hidden="1">'[3]S Amer'!$B$8:$V$8</definedName>
    <definedName name="_58__123Graph_XCHART_23" localSheetId="10" hidden="1">'[2]W Eur'!$B$8:$V$8</definedName>
    <definedName name="_58__123Graph_XCHART_23" hidden="1">'[3]W Eur'!$B$8:$V$8</definedName>
    <definedName name="_59__123Graph_XCHART_24" localSheetId="10" hidden="1">'[2]W Eur'!$B$8:$V$8</definedName>
    <definedName name="_59__123Graph_XCHART_24" hidden="1">'[3]W Eur'!$B$8:$V$8</definedName>
    <definedName name="_6__123Graph_ACHART_14" localSheetId="10" hidden="1">[2]Mideast!$B$14:$V$14</definedName>
    <definedName name="_6__123Graph_ACHART_14" hidden="1">[3]Mideast!$B$14:$V$14</definedName>
    <definedName name="_60__123Graph_XCHART_3" localSheetId="10" hidden="1">[2]Africa!$B$8:$V$8</definedName>
    <definedName name="_60__123Graph_XCHART_3" hidden="1">[3]Africa!$B$8:$V$8</definedName>
    <definedName name="_61__123Graph_XCHART_5" localSheetId="10" hidden="1">'[2]C Amer'!$B$8:$V$8</definedName>
    <definedName name="_61__123Graph_XCHART_5" hidden="1">'[3]C Amer'!$B$8:$V$8</definedName>
    <definedName name="_62__123Graph_XCHART_6" localSheetId="10" hidden="1">'[2]C Amer'!$B$8:$V$8</definedName>
    <definedName name="_62__123Graph_XCHART_6" hidden="1">'[3]C Amer'!$B$8:$V$8</definedName>
    <definedName name="_63__123Graph_XCHART_8" localSheetId="10" hidden="1">'[2]E Asia'!$B$8:$V$8</definedName>
    <definedName name="_63__123Graph_XCHART_8" hidden="1">'[3]E Asia'!$B$8:$V$8</definedName>
    <definedName name="_64_0_0Cwvu.GREY_A" localSheetId="4" hidden="1">[4]TargIS!#REF!</definedName>
    <definedName name="_64_0_0Cwvu.GREY_A" localSheetId="8" hidden="1">[4]TargIS!#REF!</definedName>
    <definedName name="_64_0_0Cwvu.GREY_A" localSheetId="9" hidden="1">[4]TargIS!#REF!</definedName>
    <definedName name="_64_0_0Cwvu.GREY_A" localSheetId="10" hidden="1">[4]TargIS!#REF!</definedName>
    <definedName name="_64_0_0Cwvu.GREY_A" localSheetId="3" hidden="1">[4]TargIS!#REF!</definedName>
    <definedName name="_64_0_0Cwvu.GREY_A" hidden="1">[4]TargIS!#REF!</definedName>
    <definedName name="_7__123Graph_ACHART_15" localSheetId="10" hidden="1">[2]Mideast!$B$28:$V$28</definedName>
    <definedName name="_7__123Graph_ACHART_15" hidden="1">[3]Mideast!$B$28:$V$28</definedName>
    <definedName name="_8__123Graph_ACHART_16" localSheetId="10" hidden="1">[2]Ocean!$B$19:$V$19</definedName>
    <definedName name="_8__123Graph_ACHART_16" hidden="1">[3]Ocean!$B$19:$V$19</definedName>
    <definedName name="_9__123Graph_ACHART_17" localSheetId="10" hidden="1">[2]Ocean!$B$14:$V$14</definedName>
    <definedName name="_9__123Graph_ACHART_17" hidden="1">[3]Ocean!$B$14:$V$14</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46a18ed9dffd4cd6880b56437874ece9.edm" localSheetId="4" hidden="1">#REF!</definedName>
    <definedName name="_bdm.46a18ed9dffd4cd6880b56437874ece9.edm" localSheetId="8" hidden="1">#REF!</definedName>
    <definedName name="_bdm.46a18ed9dffd4cd6880b56437874ece9.edm" localSheetId="9" hidden="1">#REF!</definedName>
    <definedName name="_bdm.46a18ed9dffd4cd6880b56437874ece9.edm" localSheetId="10" hidden="1">#REF!</definedName>
    <definedName name="_bdm.46a18ed9dffd4cd6880b56437874ece9.edm" localSheetId="3" hidden="1">#REF!</definedName>
    <definedName name="_bdm.46a18ed9dffd4cd6880b56437874ece9.edm" hidden="1">#REF!</definedName>
    <definedName name="_bdm.d437fcb6dd254b7a8c2aff490de850e3.edm" localSheetId="4" hidden="1">#REF!</definedName>
    <definedName name="_bdm.d437fcb6dd254b7a8c2aff490de850e3.edm" localSheetId="8" hidden="1">#REF!</definedName>
    <definedName name="_bdm.d437fcb6dd254b7a8c2aff490de850e3.edm" localSheetId="9" hidden="1">#REF!</definedName>
    <definedName name="_bdm.d437fcb6dd254b7a8c2aff490de850e3.edm" localSheetId="10" hidden="1">#REF!</definedName>
    <definedName name="_bdm.d437fcb6dd254b7a8c2aff490de850e3.edm" localSheetId="3" hidden="1">#REF!</definedName>
    <definedName name="_bdm.d437fcb6dd254b7a8c2aff490de850e3.edm" hidden="1">#REF!</definedName>
    <definedName name="_bdm.d97762a431bc47a188ab7c2f84c57d3e.edm" localSheetId="4" hidden="1">#REF!</definedName>
    <definedName name="_bdm.d97762a431bc47a188ab7c2f84c57d3e.edm" localSheetId="8" hidden="1">#REF!</definedName>
    <definedName name="_bdm.d97762a431bc47a188ab7c2f84c57d3e.edm" localSheetId="9" hidden="1">#REF!</definedName>
    <definedName name="_bdm.d97762a431bc47a188ab7c2f84c57d3e.edm" localSheetId="10" hidden="1">#REF!</definedName>
    <definedName name="_bdm.d97762a431bc47a188ab7c2f84c57d3e.edm" localSheetId="3" hidden="1">#REF!</definedName>
    <definedName name="_bdm.d97762a431bc47a188ab7c2f84c57d3e.edm" hidden="1">#REF!</definedName>
    <definedName name="_bdm.D97763A431BC47A188AB7C2F84C57D3E.edm" localSheetId="4" hidden="1">#REF!</definedName>
    <definedName name="_bdm.D97763A431BC47A188AB7C2F84C57D3E.edm" localSheetId="8" hidden="1">#REF!</definedName>
    <definedName name="_bdm.D97763A431BC47A188AB7C2F84C57D3E.edm" localSheetId="9" hidden="1">#REF!</definedName>
    <definedName name="_bdm.D97763A431BC47A188AB7C2F84C57D3E.edm" localSheetId="10" hidden="1">#REF!</definedName>
    <definedName name="_bdm.D97763A431BC47A188AB7C2F84C57D3E.edm" localSheetId="3" hidden="1">#REF!</definedName>
    <definedName name="_bdm.D97763A431BC47A188AB7C2F84C57D3E.edm" hidden="1">#REF!</definedName>
    <definedName name="_bdm.FBC8F4734CD44B95848F689416B40C4F.edm" localSheetId="4" hidden="1">#REF!</definedName>
    <definedName name="_bdm.FBC8F4734CD44B95848F689416B40C4F.edm" localSheetId="8" hidden="1">#REF!</definedName>
    <definedName name="_bdm.FBC8F4734CD44B95848F689416B40C4F.edm" localSheetId="9" hidden="1">#REF!</definedName>
    <definedName name="_bdm.FBC8F4734CD44B95848F689416B40C4F.edm" localSheetId="10" hidden="1">#REF!</definedName>
    <definedName name="_bdm.FBC8F4734CD44B95848F689416B40C4F.edm" localSheetId="3" hidden="1">#REF!</definedName>
    <definedName name="_bdm.FBC8F4734CD44B95848F689416B40C4F.edm" hidden="1">#REF!</definedName>
    <definedName name="_Dist_Values" localSheetId="4" hidden="1">#REF!</definedName>
    <definedName name="_Dist_Values" localSheetId="8" hidden="1">#REF!</definedName>
    <definedName name="_Dist_Values" localSheetId="9" hidden="1">#REF!</definedName>
    <definedName name="_Dist_Values" localSheetId="10" hidden="1">#REF!</definedName>
    <definedName name="_Dist_Values" localSheetId="3" hidden="1">#REF!</definedName>
    <definedName name="_Dist_Values" hidden="1">#REF!</definedName>
    <definedName name="_Dist_Values2" localSheetId="4" hidden="1">#REF!</definedName>
    <definedName name="_Dist_Values2" localSheetId="8" hidden="1">#REF!</definedName>
    <definedName name="_Dist_Values2" localSheetId="9" hidden="1">#REF!</definedName>
    <definedName name="_Dist_Values2" localSheetId="3" hidden="1">#REF!</definedName>
    <definedName name="_Dist_Values2" hidden="1">#REF!</definedName>
    <definedName name="_Fill" localSheetId="4" hidden="1">#REF!</definedName>
    <definedName name="_Fill" localSheetId="8" hidden="1">#REF!</definedName>
    <definedName name="_Fill" localSheetId="9" hidden="1">#REF!</definedName>
    <definedName name="_Fill" localSheetId="10" hidden="1">#REF!</definedName>
    <definedName name="_Fill" localSheetId="3" hidden="1">#REF!</definedName>
    <definedName name="_Fill" hidden="1">#REF!</definedName>
    <definedName name="_Fill2" localSheetId="4" hidden="1">#REF!</definedName>
    <definedName name="_Fill2" localSheetId="8" hidden="1">#REF!</definedName>
    <definedName name="_Fill2" localSheetId="9" hidden="1">#REF!</definedName>
    <definedName name="_Fill2" localSheetId="3" hidden="1">#REF!</definedName>
    <definedName name="_Fill2" hidden="1">#REF!</definedName>
    <definedName name="_I2" localSheetId="4" hidden="1">{"PVGraph2",#N/A,FALSE,"PV Data"}</definedName>
    <definedName name="_I2" localSheetId="7" hidden="1">{"PVGraph2",#N/A,FALSE,"PV Data"}</definedName>
    <definedName name="_I2" localSheetId="8" hidden="1">{"PVGraph2",#N/A,FALSE,"PV Data"}</definedName>
    <definedName name="_I2" localSheetId="9" hidden="1">{"PVGraph2",#N/A,FALSE,"PV Data"}</definedName>
    <definedName name="_I2" localSheetId="10" hidden="1">{"PVGraph2",#N/A,FALSE,"PV Data"}</definedName>
    <definedName name="_I2" localSheetId="3" hidden="1">{"PVGraph2",#N/A,FALSE,"PV Data"}</definedName>
    <definedName name="_I2" localSheetId="6" hidden="1">{"PVGraph2",#N/A,FALSE,"PV Data"}</definedName>
    <definedName name="_I2" localSheetId="5" hidden="1">{"PVGraph2",#N/A,FALSE,"PV Data"}</definedName>
    <definedName name="_I2" localSheetId="11" hidden="1">{"PVGraph2",#N/A,FALSE,"PV Data"}</definedName>
    <definedName name="_I2" hidden="1">{"PVGraph2",#N/A,FALSE,"PV Data"}</definedName>
    <definedName name="_I3" localSheetId="4" hidden="1">{"PVGraph2",#N/A,FALSE,"PV Data"}</definedName>
    <definedName name="_I3" localSheetId="7" hidden="1">{"PVGraph2",#N/A,FALSE,"PV Data"}</definedName>
    <definedName name="_I3" localSheetId="8" hidden="1">{"PVGraph2",#N/A,FALSE,"PV Data"}</definedName>
    <definedName name="_I3" localSheetId="9" hidden="1">{"PVGraph2",#N/A,FALSE,"PV Data"}</definedName>
    <definedName name="_I3" localSheetId="10" hidden="1">{"PVGraph2",#N/A,FALSE,"PV Data"}</definedName>
    <definedName name="_I3" localSheetId="3" hidden="1">{"PVGraph2",#N/A,FALSE,"PV Data"}</definedName>
    <definedName name="_I3" localSheetId="6" hidden="1">{"PVGraph2",#N/A,FALSE,"PV Data"}</definedName>
    <definedName name="_I3" localSheetId="5" hidden="1">{"PVGraph2",#N/A,FALSE,"PV Data"}</definedName>
    <definedName name="_I3" localSheetId="11" hidden="1">{"PVGraph2",#N/A,FALSE,"PV Data"}</definedName>
    <definedName name="_I3" hidden="1">{"PVGraph2",#N/A,FALSE,"PV Data"}</definedName>
    <definedName name="_Key1" localSheetId="4" hidden="1">#REF!</definedName>
    <definedName name="_Key1" localSheetId="8" hidden="1">#REF!</definedName>
    <definedName name="_Key1" localSheetId="9" hidden="1">#REF!</definedName>
    <definedName name="_Key1" localSheetId="10" hidden="1">#REF!</definedName>
    <definedName name="_Key1" localSheetId="3" hidden="1">#REF!</definedName>
    <definedName name="_Key1" hidden="1">#REF!</definedName>
    <definedName name="_Key2" localSheetId="4" hidden="1">#REF!</definedName>
    <definedName name="_Key2" localSheetId="8" hidden="1">#REF!</definedName>
    <definedName name="_Key2" localSheetId="9" hidden="1">#REF!</definedName>
    <definedName name="_Key2" localSheetId="10" hidden="1">#REF!</definedName>
    <definedName name="_Key2" localSheetId="3" hidden="1">#REF!</definedName>
    <definedName name="_Key2" hidden="1">#REF!</definedName>
    <definedName name="_m" localSheetId="4" hidden="1">#REF!</definedName>
    <definedName name="_m" localSheetId="8" hidden="1">#REF!</definedName>
    <definedName name="_m" localSheetId="9" hidden="1">#REF!</definedName>
    <definedName name="_m" localSheetId="10" hidden="1">#REF!</definedName>
    <definedName name="_m" localSheetId="3" hidden="1">#REF!</definedName>
    <definedName name="_m" hidden="1">#REF!</definedName>
    <definedName name="_Order1" localSheetId="10" hidden="1">0</definedName>
    <definedName name="_Order1" hidden="1">255</definedName>
    <definedName name="_Order2" hidden="1">255</definedName>
    <definedName name="_s1" hidden="1">'[7]sales vol.'!$J$34:$J$37</definedName>
    <definedName name="_s2" hidden="1">'[7]sales vol.'!$J$398:$J$401</definedName>
    <definedName name="_s3" hidden="1">'[7]sales vol.'!$J$211:$J$214</definedName>
    <definedName name="_s4" hidden="1">'[7]sales vol.'!$I$1121:$I$1122</definedName>
    <definedName name="_s5" hidden="1">'[7]sales vol.'!$I$1632:$I$1635</definedName>
    <definedName name="_s6" hidden="1">'[7]sales vol.'!$I$2248:$I$2251</definedName>
    <definedName name="_Sort" localSheetId="4" hidden="1">#REF!</definedName>
    <definedName name="_Sort" localSheetId="8" hidden="1">#REF!</definedName>
    <definedName name="_Sort" localSheetId="9" hidden="1">#REF!</definedName>
    <definedName name="_Sort" localSheetId="10" hidden="1">#REF!</definedName>
    <definedName name="_Sort" localSheetId="3" hidden="1">#REF!</definedName>
    <definedName name="_Sort" hidden="1">#REF!</definedName>
    <definedName name="_Table1_In1" localSheetId="4" hidden="1">#REF!</definedName>
    <definedName name="_Table1_In1" localSheetId="8" hidden="1">#REF!</definedName>
    <definedName name="_Table1_In1" localSheetId="9" hidden="1">#REF!</definedName>
    <definedName name="_Table1_In1" localSheetId="10" hidden="1">#REF!</definedName>
    <definedName name="_Table1_In1" localSheetId="3" hidden="1">#REF!</definedName>
    <definedName name="_Table1_In1" hidden="1">#REF!</definedName>
    <definedName name="_Table1_In2" localSheetId="4" hidden="1">#REF!</definedName>
    <definedName name="_Table1_In2" localSheetId="8" hidden="1">#REF!</definedName>
    <definedName name="_Table1_In2" localSheetId="9" hidden="1">#REF!</definedName>
    <definedName name="_Table1_In2" localSheetId="3" hidden="1">#REF!</definedName>
    <definedName name="_Table1_In2" hidden="1">#REF!</definedName>
    <definedName name="_Table1_Out" localSheetId="4" hidden="1">#REF!</definedName>
    <definedName name="_Table1_Out" localSheetId="8" hidden="1">#REF!</definedName>
    <definedName name="_Table1_Out" localSheetId="9" hidden="1">#REF!</definedName>
    <definedName name="_Table1_Out" localSheetId="10" hidden="1">#REF!</definedName>
    <definedName name="_Table1_Out" localSheetId="3" hidden="1">#REF!</definedName>
    <definedName name="_Table1_Out" hidden="1">#REF!</definedName>
    <definedName name="_Table1_Out2" localSheetId="4" hidden="1">#REF!</definedName>
    <definedName name="_Table1_Out2" localSheetId="8" hidden="1">#REF!</definedName>
    <definedName name="_Table1_Out2" localSheetId="9" hidden="1">#REF!</definedName>
    <definedName name="_Table1_Out2" localSheetId="3" hidden="1">#REF!</definedName>
    <definedName name="_Table1_Out2" hidden="1">#REF!</definedName>
    <definedName name="_Table2_In1" localSheetId="4" hidden="1">#REF!</definedName>
    <definedName name="_Table2_In1" localSheetId="8" hidden="1">#REF!</definedName>
    <definedName name="_Table2_In1" localSheetId="9" hidden="1">#REF!</definedName>
    <definedName name="_Table2_In1" localSheetId="10" hidden="1">#REF!</definedName>
    <definedName name="_Table2_In1" localSheetId="3" hidden="1">#REF!</definedName>
    <definedName name="_Table2_In1" hidden="1">#REF!</definedName>
    <definedName name="_Table2_In2" localSheetId="4" hidden="1">#REF!</definedName>
    <definedName name="_Table2_In2" localSheetId="8" hidden="1">#REF!</definedName>
    <definedName name="_Table2_In2" localSheetId="9" hidden="1">#REF!</definedName>
    <definedName name="_Table2_In2" localSheetId="10" hidden="1">#REF!</definedName>
    <definedName name="_Table2_In2" localSheetId="3" hidden="1">#REF!</definedName>
    <definedName name="_Table2_In2" hidden="1">#REF!</definedName>
    <definedName name="_Table2_In3" localSheetId="4" hidden="1">#REF!</definedName>
    <definedName name="_Table2_In3" localSheetId="8" hidden="1">#REF!</definedName>
    <definedName name="_Table2_In3" localSheetId="9" hidden="1">#REF!</definedName>
    <definedName name="_Table2_In3" localSheetId="3" hidden="1">#REF!</definedName>
    <definedName name="_Table2_In3" hidden="1">#REF!</definedName>
    <definedName name="_Table2_Out" localSheetId="4" hidden="1">#REF!</definedName>
    <definedName name="_Table2_Out" localSheetId="8" hidden="1">#REF!</definedName>
    <definedName name="_Table2_Out" localSheetId="9" hidden="1">#REF!</definedName>
    <definedName name="_Table2_Out" localSheetId="10" hidden="1">#REF!</definedName>
    <definedName name="_Table2_Out" localSheetId="3" hidden="1">#REF!</definedName>
    <definedName name="_Table2_Out" hidden="1">#REF!</definedName>
    <definedName name="_Table2_Out2" localSheetId="4" hidden="1">#REF!</definedName>
    <definedName name="_Table2_Out2" localSheetId="8" hidden="1">#REF!</definedName>
    <definedName name="_Table2_Out2" localSheetId="9" hidden="1">#REF!</definedName>
    <definedName name="_Table2_Out2" localSheetId="3" hidden="1">#REF!</definedName>
    <definedName name="_Table2_Out2" hidden="1">#REF!</definedName>
    <definedName name="_w1" localSheetId="4" hidden="1">{"PVGraph2",#N/A,FALSE,"PV Data"}</definedName>
    <definedName name="_w1" localSheetId="7" hidden="1">{"PVGraph2",#N/A,FALSE,"PV Data"}</definedName>
    <definedName name="_w1" localSheetId="8" hidden="1">{"PVGraph2",#N/A,FALSE,"PV Data"}</definedName>
    <definedName name="_w1" localSheetId="9" hidden="1">{"PVGraph2",#N/A,FALSE,"PV Data"}</definedName>
    <definedName name="_w1" localSheetId="10" hidden="1">{"PVGraph2",#N/A,FALSE,"PV Data"}</definedName>
    <definedName name="_w1" localSheetId="3" hidden="1">{"PVGraph2",#N/A,FALSE,"PV Data"}</definedName>
    <definedName name="_w1" localSheetId="6" hidden="1">{"PVGraph2",#N/A,FALSE,"PV Data"}</definedName>
    <definedName name="_w1" localSheetId="5" hidden="1">{"PVGraph2",#N/A,FALSE,"PV Data"}</definedName>
    <definedName name="_w1" localSheetId="11" hidden="1">{"PVGraph2",#N/A,FALSE,"PV Data"}</definedName>
    <definedName name="_w1" hidden="1">{"PVGraph2",#N/A,FALSE,"PV Data"}</definedName>
    <definedName name="_w2" localSheetId="4" hidden="1">{"PVGraph2",#N/A,FALSE,"PV Data"}</definedName>
    <definedName name="_w2" localSheetId="7" hidden="1">{"PVGraph2",#N/A,FALSE,"PV Data"}</definedName>
    <definedName name="_w2" localSheetId="8" hidden="1">{"PVGraph2",#N/A,FALSE,"PV Data"}</definedName>
    <definedName name="_w2" localSheetId="9" hidden="1">{"PVGraph2",#N/A,FALSE,"PV Data"}</definedName>
    <definedName name="_w2" localSheetId="10" hidden="1">{"PVGraph2",#N/A,FALSE,"PV Data"}</definedName>
    <definedName name="_w2" localSheetId="3" hidden="1">{"PVGraph2",#N/A,FALSE,"PV Data"}</definedName>
    <definedName name="_w2" localSheetId="6" hidden="1">{"PVGraph2",#N/A,FALSE,"PV Data"}</definedName>
    <definedName name="_w2" localSheetId="5" hidden="1">{"PVGraph2",#N/A,FALSE,"PV Data"}</definedName>
    <definedName name="_w2" localSheetId="11" hidden="1">{"PVGraph2",#N/A,FALSE,"PV Data"}</definedName>
    <definedName name="_w2" hidden="1">{"PVGraph2",#N/A,FALSE,"PV Data"}</definedName>
    <definedName name="_w3" localSheetId="4" hidden="1">{"PVGraph2",#N/A,FALSE,"PV Data"}</definedName>
    <definedName name="_w3" localSheetId="7" hidden="1">{"PVGraph2",#N/A,FALSE,"PV Data"}</definedName>
    <definedName name="_w3" localSheetId="8" hidden="1">{"PVGraph2",#N/A,FALSE,"PV Data"}</definedName>
    <definedName name="_w3" localSheetId="9" hidden="1">{"PVGraph2",#N/A,FALSE,"PV Data"}</definedName>
    <definedName name="_w3" localSheetId="10" hidden="1">{"PVGraph2",#N/A,FALSE,"PV Data"}</definedName>
    <definedName name="_w3" localSheetId="3" hidden="1">{"PVGraph2",#N/A,FALSE,"PV Data"}</definedName>
    <definedName name="_w3" localSheetId="6" hidden="1">{"PVGraph2",#N/A,FALSE,"PV Data"}</definedName>
    <definedName name="_w3" localSheetId="5" hidden="1">{"PVGraph2",#N/A,FALSE,"PV Data"}</definedName>
    <definedName name="_w3" localSheetId="11" hidden="1">{"PVGraph2",#N/A,FALSE,"PV Data"}</definedName>
    <definedName name="_w3" hidden="1">{"PVGraph2",#N/A,FALSE,"PV Data"}</definedName>
    <definedName name="_y2" localSheetId="4" hidden="1">{"PVGraph2",#N/A,FALSE,"PV Data"}</definedName>
    <definedName name="_y2" localSheetId="7" hidden="1">{"PVGraph2",#N/A,FALSE,"PV Data"}</definedName>
    <definedName name="_y2" localSheetId="8" hidden="1">{"PVGraph2",#N/A,FALSE,"PV Data"}</definedName>
    <definedName name="_y2" localSheetId="9" hidden="1">{"PVGraph2",#N/A,FALSE,"PV Data"}</definedName>
    <definedName name="_y2" localSheetId="10" hidden="1">{"PVGraph2",#N/A,FALSE,"PV Data"}</definedName>
    <definedName name="_y2" localSheetId="3" hidden="1">{"PVGraph2",#N/A,FALSE,"PV Data"}</definedName>
    <definedName name="_y2" localSheetId="6" hidden="1">{"PVGraph2",#N/A,FALSE,"PV Data"}</definedName>
    <definedName name="_y2" localSheetId="5" hidden="1">{"PVGraph2",#N/A,FALSE,"PV Data"}</definedName>
    <definedName name="_y2" localSheetId="11" hidden="1">{"PVGraph2",#N/A,FALSE,"PV Data"}</definedName>
    <definedName name="_y2" hidden="1">{"PVGraph2",#N/A,FALSE,"PV Data"}</definedName>
    <definedName name="a" localSheetId="10" hidden="1">{#N/A,#N/A,FALSE,"IS";#N/A,#N/A,FALSE,"BS";#N/A,#N/A,FALSE,"RMA";#N/A,#N/A,FALSE,"INCOME";#N/A,#N/A,FALSE,"DCF";#N/A,#N/A,FALSE,"MARKET"}</definedName>
    <definedName name="a" hidden="1">{#N/A,#N/A,FALSE,"IS";#N/A,#N/A,FALSE,"BS";#N/A,#N/A,FALSE,"RMA";#N/A,#N/A,FALSE,"INCOME";#N/A,#N/A,FALSE,"DCF";#N/A,#N/A,FALSE,"MARKET"}</definedName>
    <definedName name="ABC" localSheetId="4" hidden="1">#REF!</definedName>
    <definedName name="ABC" localSheetId="8" hidden="1">#REF!</definedName>
    <definedName name="ABC" localSheetId="9" hidden="1">#REF!</definedName>
    <definedName name="ABC" localSheetId="10" hidden="1">#REF!</definedName>
    <definedName name="ABC" localSheetId="3" hidden="1">#REF!</definedName>
    <definedName name="ABC" hidden="1">#REF!</definedName>
    <definedName name="ABS" localSheetId="4" hidden="1">#REF!</definedName>
    <definedName name="ABS" localSheetId="8" hidden="1">#REF!</definedName>
    <definedName name="ABS" localSheetId="9" hidden="1">#REF!</definedName>
    <definedName name="ABS" localSheetId="10" hidden="1">#REF!</definedName>
    <definedName name="ABS" localSheetId="3" hidden="1">#REF!</definedName>
    <definedName name="ABS" hidden="1">#REF!</definedName>
    <definedName name="AccessDatabase" hidden="1">"I:\DEPT8900\OEL\FY01\Reports\Budget Comparison\Comparitive Budget TEST.mdb"</definedName>
    <definedName name="adsf" localSheetId="4" hidden="1">#REF!</definedName>
    <definedName name="adsf" localSheetId="8" hidden="1">#REF!</definedName>
    <definedName name="adsf" localSheetId="9" hidden="1">#REF!</definedName>
    <definedName name="adsf" localSheetId="10" hidden="1">#REF!</definedName>
    <definedName name="adsf" localSheetId="3" hidden="1">#REF!</definedName>
    <definedName name="adsf" hidden="1">#REF!</definedName>
    <definedName name="Alignment" hidden="1">"a1"</definedName>
    <definedName name="anscount" hidden="1">6</definedName>
    <definedName name="as" localSheetId="10" hidden="1">{"ModelPage1",#N/A,TRUE,"Model";"ModelSum_Debt",#N/A,TRUE,"Model"}</definedName>
    <definedName name="as" hidden="1">{"ModelPage1",#N/A,TRUE,"Model";"ModelSum_Debt",#N/A,TRUE,"Model"}</definedName>
    <definedName name="AS2DocOpenMode" hidden="1">"AS2DocumentEdit"</definedName>
    <definedName name="AS2HasNoAutoHeaderFooter" hidden="1">" "</definedName>
    <definedName name="AS2NamedRange" hidden="1">6</definedName>
    <definedName name="AS2ReportLS" hidden="1">1</definedName>
    <definedName name="AS2SyncStepLS" hidden="1">0</definedName>
    <definedName name="AS2VersionLS" hidden="1">300</definedName>
    <definedName name="asd" localSheetId="10" hidden="1">{"DCF","UPSIDE CASE",FALSE,"Sheet1";"DCF","BASE CASE",FALSE,"Sheet1";"DCF","DOWNSIDE CASE",FALSE,"Sheet1"}</definedName>
    <definedName name="asdfasdfdddd" localSheetId="10" hidden="1">{"DCF","UPSIDE CASE",FALSE,"Sheet1";"DCF","BASE CASE",FALSE,"Sheet1";"DCF","DOWNSIDE CASE",FALSE,"Sheet1"}</definedName>
    <definedName name="asdfasdfdddd" hidden="1">{"DCF","UPSIDE CASE",FALSE,"Sheet1";"DCF","BASE CASE",FALSE,"Sheet1";"DCF","DOWNSIDE CASE",FALSE,"Sheet1"}</definedName>
    <definedName name="avegmultiple" localSheetId="4" hidden="1">#REF!</definedName>
    <definedName name="avegmultiple" localSheetId="8" hidden="1">#REF!</definedName>
    <definedName name="avegmultiple" localSheetId="9" hidden="1">#REF!</definedName>
    <definedName name="avegmultiple" localSheetId="10" hidden="1">#REF!</definedName>
    <definedName name="avegmultiple" localSheetId="3" hidden="1">#REF!</definedName>
    <definedName name="avegmultiple" hidden="1">#REF!</definedName>
    <definedName name="bei" localSheetId="10" hidden="1">{#N/A,#N/A,FALSE,"softdraw";#N/A,#N/A,FALSE,"linereclass";"northpint loan",#N/A,FALSE,"LOAN"}</definedName>
    <definedName name="bei" hidden="1">{#N/A,#N/A,FALSE,"softdraw";#N/A,#N/A,FALSE,"linereclass";"northpint loan",#N/A,FALSE,"LOAN"}</definedName>
    <definedName name="BG_Del" hidden="1">15</definedName>
    <definedName name="BG_Ins" hidden="1">4</definedName>
    <definedName name="BG_Mod" hidden="1">6</definedName>
    <definedName name="BLPH1" localSheetId="4" hidden="1">#REF!</definedName>
    <definedName name="BLPH1" localSheetId="8" hidden="1">#REF!</definedName>
    <definedName name="BLPH1" localSheetId="9" hidden="1">#REF!</definedName>
    <definedName name="BLPH1" localSheetId="10" hidden="1">#REF!</definedName>
    <definedName name="BLPH1" localSheetId="3" hidden="1">#REF!</definedName>
    <definedName name="BLPH1" hidden="1">#REF!</definedName>
    <definedName name="BLPH10" localSheetId="4" hidden="1">#REF!</definedName>
    <definedName name="BLPH10" localSheetId="8" hidden="1">#REF!</definedName>
    <definedName name="BLPH10" localSheetId="9" hidden="1">#REF!</definedName>
    <definedName name="BLPH10" localSheetId="10" hidden="1">#REF!</definedName>
    <definedName name="BLPH10" localSheetId="3" hidden="1">#REF!</definedName>
    <definedName name="BLPH10" hidden="1">#REF!</definedName>
    <definedName name="BLPH11" localSheetId="4" hidden="1">#REF!</definedName>
    <definedName name="BLPH11" localSheetId="8" hidden="1">#REF!</definedName>
    <definedName name="BLPH11" localSheetId="9" hidden="1">#REF!</definedName>
    <definedName name="BLPH11" localSheetId="10" hidden="1">#REF!</definedName>
    <definedName name="BLPH11" localSheetId="3" hidden="1">#REF!</definedName>
    <definedName name="BLPH11" hidden="1">#REF!</definedName>
    <definedName name="BLPH12" localSheetId="4" hidden="1">#REF!</definedName>
    <definedName name="BLPH12" localSheetId="8" hidden="1">#REF!</definedName>
    <definedName name="BLPH12" localSheetId="9" hidden="1">#REF!</definedName>
    <definedName name="BLPH12" localSheetId="10" hidden="1">#REF!</definedName>
    <definedName name="BLPH12" localSheetId="3" hidden="1">#REF!</definedName>
    <definedName name="BLPH12" hidden="1">#REF!</definedName>
    <definedName name="BLPH13" localSheetId="4" hidden="1">#REF!</definedName>
    <definedName name="BLPH13" localSheetId="8" hidden="1">#REF!</definedName>
    <definedName name="BLPH13" localSheetId="9" hidden="1">#REF!</definedName>
    <definedName name="BLPH13" localSheetId="10" hidden="1">#REF!</definedName>
    <definedName name="BLPH13" localSheetId="3" hidden="1">#REF!</definedName>
    <definedName name="BLPH13" hidden="1">#REF!</definedName>
    <definedName name="BLPH14" localSheetId="4" hidden="1">#REF!</definedName>
    <definedName name="BLPH14" localSheetId="8" hidden="1">#REF!</definedName>
    <definedName name="BLPH14" localSheetId="9" hidden="1">#REF!</definedName>
    <definedName name="BLPH14" localSheetId="10" hidden="1">#REF!</definedName>
    <definedName name="BLPH14" localSheetId="3" hidden="1">#REF!</definedName>
    <definedName name="BLPH14" hidden="1">#REF!</definedName>
    <definedName name="BLPH15" localSheetId="4" hidden="1">#REF!</definedName>
    <definedName name="BLPH15" localSheetId="8" hidden="1">#REF!</definedName>
    <definedName name="BLPH15" localSheetId="9" hidden="1">#REF!</definedName>
    <definedName name="BLPH15" localSheetId="10" hidden="1">#REF!</definedName>
    <definedName name="BLPH15" localSheetId="3" hidden="1">#REF!</definedName>
    <definedName name="BLPH15" hidden="1">#REF!</definedName>
    <definedName name="BLPH16" localSheetId="4" hidden="1">#REF!</definedName>
    <definedName name="BLPH16" localSheetId="8" hidden="1">#REF!</definedName>
    <definedName name="BLPH16" localSheetId="9" hidden="1">#REF!</definedName>
    <definedName name="BLPH16" localSheetId="10" hidden="1">#REF!</definedName>
    <definedName name="BLPH16" localSheetId="3" hidden="1">#REF!</definedName>
    <definedName name="BLPH16" hidden="1">#REF!</definedName>
    <definedName name="BLPH2" localSheetId="4" hidden="1">#REF!</definedName>
    <definedName name="BLPH2" localSheetId="8" hidden="1">#REF!</definedName>
    <definedName name="BLPH2" localSheetId="9" hidden="1">#REF!</definedName>
    <definedName name="BLPH2" localSheetId="10" hidden="1">#REF!</definedName>
    <definedName name="BLPH2" localSheetId="3" hidden="1">#REF!</definedName>
    <definedName name="BLPH2" hidden="1">#REF!</definedName>
    <definedName name="BLPH3" localSheetId="4" hidden="1">#REF!</definedName>
    <definedName name="BLPH3" localSheetId="8" hidden="1">#REF!</definedName>
    <definedName name="BLPH3" localSheetId="9" hidden="1">#REF!</definedName>
    <definedName name="BLPH3" localSheetId="10" hidden="1">#REF!</definedName>
    <definedName name="BLPH3" localSheetId="3" hidden="1">#REF!</definedName>
    <definedName name="BLPH3" hidden="1">#REF!</definedName>
    <definedName name="BLPH4" localSheetId="4" hidden="1">#REF!</definedName>
    <definedName name="BLPH4" localSheetId="8" hidden="1">#REF!</definedName>
    <definedName name="BLPH4" localSheetId="9" hidden="1">#REF!</definedName>
    <definedName name="BLPH4" localSheetId="10" hidden="1">#REF!</definedName>
    <definedName name="BLPH4" localSheetId="3" hidden="1">#REF!</definedName>
    <definedName name="BLPH4" hidden="1">#REF!</definedName>
    <definedName name="BLPH5" localSheetId="4" hidden="1">#REF!</definedName>
    <definedName name="BLPH5" localSheetId="8" hidden="1">#REF!</definedName>
    <definedName name="BLPH5" localSheetId="9" hidden="1">#REF!</definedName>
    <definedName name="BLPH5" localSheetId="10" hidden="1">#REF!</definedName>
    <definedName name="BLPH5" localSheetId="3" hidden="1">#REF!</definedName>
    <definedName name="BLPH5" hidden="1">#REF!</definedName>
    <definedName name="BLPH6" localSheetId="4" hidden="1">#REF!</definedName>
    <definedName name="BLPH6" localSheetId="8" hidden="1">#REF!</definedName>
    <definedName name="BLPH6" localSheetId="9" hidden="1">#REF!</definedName>
    <definedName name="BLPH6" localSheetId="10" hidden="1">#REF!</definedName>
    <definedName name="BLPH6" localSheetId="3" hidden="1">#REF!</definedName>
    <definedName name="BLPH6" hidden="1">#REF!</definedName>
    <definedName name="BLPH7" localSheetId="4" hidden="1">#REF!</definedName>
    <definedName name="BLPH7" localSheetId="8" hidden="1">#REF!</definedName>
    <definedName name="BLPH7" localSheetId="9" hidden="1">#REF!</definedName>
    <definedName name="BLPH7" localSheetId="10" hidden="1">#REF!</definedName>
    <definedName name="BLPH7" localSheetId="3" hidden="1">#REF!</definedName>
    <definedName name="BLPH7" hidden="1">#REF!</definedName>
    <definedName name="BLPH8" localSheetId="4" hidden="1">#REF!</definedName>
    <definedName name="BLPH8" localSheetId="8" hidden="1">#REF!</definedName>
    <definedName name="BLPH8" localSheetId="9" hidden="1">#REF!</definedName>
    <definedName name="BLPH8" localSheetId="10" hidden="1">#REF!</definedName>
    <definedName name="BLPH8" localSheetId="3" hidden="1">#REF!</definedName>
    <definedName name="BLPH8" hidden="1">#REF!</definedName>
    <definedName name="BLPH9" localSheetId="4" hidden="1">#REF!</definedName>
    <definedName name="BLPH9" localSheetId="8" hidden="1">#REF!</definedName>
    <definedName name="BLPH9" localSheetId="9" hidden="1">#REF!</definedName>
    <definedName name="BLPH9" localSheetId="10" hidden="1">#REF!</definedName>
    <definedName name="BLPH9" localSheetId="3" hidden="1">#REF!</definedName>
    <definedName name="BLPH9" hidden="1">#REF!</definedName>
    <definedName name="BNE_MESSAGES_HIDDEN" localSheetId="4" hidden="1">#REF!</definedName>
    <definedName name="BNE_MESSAGES_HIDDEN" localSheetId="8" hidden="1">#REF!</definedName>
    <definedName name="BNE_MESSAGES_HIDDEN" localSheetId="9" hidden="1">#REF!</definedName>
    <definedName name="BNE_MESSAGES_HIDDEN" localSheetId="10" hidden="1">#REF!</definedName>
    <definedName name="BNE_MESSAGES_HIDDEN" localSheetId="3" hidden="1">#REF!</definedName>
    <definedName name="BNE_MESSAGES_HIDDEN" hidden="1">#REF!</definedName>
    <definedName name="Bridge_mo" localSheetId="10" hidden="1">{#N/A,#N/A,FALSE,"Model";#N/A,#N/A,FALSE,"Gen Pts &amp; Rts 2000";#N/A,#N/A,FALSE,"AcqsAss";#N/A,#N/A,FALSE,"Acqs &amp; De Novos"}</definedName>
    <definedName name="Bridge_mo" hidden="1">{#N/A,#N/A,FALSE,"Model";#N/A,#N/A,FALSE,"Gen Pts &amp; Rts 2000";#N/A,#N/A,FALSE,"AcqsAss";#N/A,#N/A,FALSE,"Acqs &amp; De Novos"}</definedName>
    <definedName name="bridge_month" localSheetId="10" hidden="1">{#N/A,#N/A,FALSE,"Model";#N/A,#N/A,FALSE,"Gen Pts &amp; Rts 2000";#N/A,#N/A,FALSE,"AcqsAss";#N/A,#N/A,FALSE,"Acqs &amp; De Novos"}</definedName>
    <definedName name="bridge_month" hidden="1">{#N/A,#N/A,FALSE,"Model";#N/A,#N/A,FALSE,"Gen Pts &amp; Rts 2000";#N/A,#N/A,FALSE,"AcqsAss";#N/A,#N/A,FALSE,"Acqs &amp; De Novos"}</definedName>
    <definedName name="bridge_qtr" localSheetId="10" hidden="1">{#N/A,#N/A,FALSE,"Model";#N/A,#N/A,FALSE,"Gen Pts &amp; Rts 2000";#N/A,#N/A,FALSE,"AcqsAss";#N/A,#N/A,FALSE,"Acqs &amp; De Novos"}</definedName>
    <definedName name="bridge_qtr" hidden="1">{#N/A,#N/A,FALSE,"Model";#N/A,#N/A,FALSE,"Gen Pts &amp; Rts 2000";#N/A,#N/A,FALSE,"AcqsAss";#N/A,#N/A,FALSE,"Acqs &amp; De Novos"}</definedName>
    <definedName name="bridger_qtr" localSheetId="10" hidden="1">{#N/A,#N/A,FALSE,"Model";#N/A,#N/A,FALSE,"Gen Pts &amp; Rts 2000";#N/A,#N/A,FALSE,"AcqsAss";#N/A,#N/A,FALSE,"Acqs &amp; De Novos"}</definedName>
    <definedName name="bridger_qtr" hidden="1">{#N/A,#N/A,FALSE,"Model";#N/A,#N/A,FALSE,"Gen Pts &amp; Rts 2000";#N/A,#N/A,FALSE,"AcqsAss";#N/A,#N/A,FALSE,"Acqs &amp; De Novos"}</definedName>
    <definedName name="build" localSheetId="10" hidden="1">{#N/A,#N/A,FALSE,"softdraw";#N/A,#N/A,FALSE,"linereclass";"northpint loan",#N/A,FALSE,"LOAN"}</definedName>
    <definedName name="build" hidden="1">{#N/A,#N/A,FALSE,"softdraw";#N/A,#N/A,FALSE,"linereclass";"northpint loan",#N/A,FALSE,"LOAN"}</definedName>
    <definedName name="CBWorkbookPriority" hidden="1">-1959504492</definedName>
    <definedName name="CIQWBGuid" localSheetId="4" hidden="1">"4c317e69-d429-41e3-b46a-b4c398e620fd"</definedName>
    <definedName name="CIQWBGuid" localSheetId="7" hidden="1">"4c317e69-d429-41e3-b46a-b4c398e620fd"</definedName>
    <definedName name="CIQWBGuid" localSheetId="8" hidden="1">"4c317e69-d429-41e3-b46a-b4c398e620fd"</definedName>
    <definedName name="CIQWBGuid" localSheetId="9" hidden="1">"4c317e69-d429-41e3-b46a-b4c398e620fd"</definedName>
    <definedName name="CIQWBGuid" localSheetId="10" hidden="1">"4c317e69-d429-41e3-b46a-b4c398e620fd"</definedName>
    <definedName name="CIQWBGuid" localSheetId="3" hidden="1">"4c317e69-d429-41e3-b46a-b4c398e620fd"</definedName>
    <definedName name="CIQWBGuid" localSheetId="6" hidden="1">"4c317e69-d429-41e3-b46a-b4c398e620fd"</definedName>
    <definedName name="CIQWBGuid" localSheetId="5" hidden="1">"4c317e69-d429-41e3-b46a-b4c398e620fd"</definedName>
    <definedName name="CIQWBGuid" localSheetId="11" hidden="1">"4c317e69-d429-41e3-b46a-b4c398e620fd"</definedName>
    <definedName name="CIQWBGuid" hidden="1">"11f7eb92-933d-479e-9d77-16f4a3395159"</definedName>
    <definedName name="CIQWBGuid2" hidden="1">"f85ff77f-824d-4f3f-a631-cc3a67ab4a20"</definedName>
    <definedName name="ClientMatter" hidden="1">"b1"</definedName>
    <definedName name="COBRA" localSheetId="10" hidden="1">{#N/A,#N/A,FALSE,"softdraw";#N/A,#N/A,FALSE,"linereclass";"northpint loan",#N/A,FALSE,"LOAN"}</definedName>
    <definedName name="COBRA" hidden="1">{#N/A,#N/A,FALSE,"softdraw";#N/A,#N/A,FALSE,"linereclass";"northpint loan",#N/A,FALSE,"LOAN"}</definedName>
    <definedName name="COBRA1" localSheetId="10" hidden="1">{#N/A,#N/A,FALSE,"softdraw";#N/A,#N/A,FALSE,"linereclass";"northpint loan",#N/A,FALSE,"LOAN"}</definedName>
    <definedName name="COBRA1" hidden="1">{#N/A,#N/A,FALSE,"softdraw";#N/A,#N/A,FALSE,"linereclass";"northpint loan",#N/A,FALSE,"LOAN"}</definedName>
    <definedName name="Company_Name" hidden="1">[8]Settings!$C$56</definedName>
    <definedName name="compnam" localSheetId="4" hidden="1">[9]KeyMultInputs!#REF!</definedName>
    <definedName name="compnam" localSheetId="8" hidden="1">[9]KeyMultInputs!#REF!</definedName>
    <definedName name="compnam" localSheetId="9" hidden="1">[9]KeyMultInputs!#REF!</definedName>
    <definedName name="compnam" localSheetId="10" hidden="1">[9]KeyMultInputs!#REF!</definedName>
    <definedName name="compnam" localSheetId="3" hidden="1">[9]KeyMultInputs!#REF!</definedName>
    <definedName name="compnam" hidden="1">[9]KeyMultInputs!#REF!</definedName>
    <definedName name="copy" localSheetId="10" hidden="1">{#N/A,#N/A,FALSE,"Title Page";#N/A,#N/A,FALSE,"Conclusions";#N/A,#N/A,FALSE,"Assum.";#N/A,#N/A,FALSE,"Sun  DCF-WC-Dep";#N/A,#N/A,FALSE,"MarketValue";#N/A,#N/A,FALSE,"BalSheet";#N/A,#N/A,FALSE,"WACC";#N/A,#N/A,FALSE,"PC+ Info.";#N/A,#N/A,FALSE,"PC+Info_2"}</definedName>
    <definedName name="copy" hidden="1">{#N/A,#N/A,FALSE,"Title Page";#N/A,#N/A,FALSE,"Conclusions";#N/A,#N/A,FALSE,"Assum.";#N/A,#N/A,FALSE,"Sun  DCF-WC-Dep";#N/A,#N/A,FALSE,"MarketValue";#N/A,#N/A,FALSE,"BalSheet";#N/A,#N/A,FALSE,"WACC";#N/A,#N/A,FALSE,"PC+ Info.";#N/A,#N/A,FALSE,"PC+Info_2"}</definedName>
    <definedName name="CVM_m" localSheetId="10" hidden="1">{"PVGraph2",#N/A,FALSE,"PV Data"}</definedName>
    <definedName name="CVM_m" hidden="1">{"PVGraph2",#N/A,FALSE,"PV Data"}</definedName>
    <definedName name="DA_2164615669000001165" localSheetId="4" hidden="1">'[10]2 Monthly Expense Actuals'!#REF!</definedName>
    <definedName name="DA_2164615669000001165" localSheetId="8" hidden="1">'[10]2 Monthly Expense Actuals'!#REF!</definedName>
    <definedName name="DA_2164615669000001165" localSheetId="9" hidden="1">'[10]2 Monthly Expense Actuals'!#REF!</definedName>
    <definedName name="DA_2164615669000001165" localSheetId="10" hidden="1">'[10]2 Monthly Expense Actuals'!#REF!</definedName>
    <definedName name="DA_2164615669000001165" localSheetId="3" hidden="1">'[10]2 Monthly Expense Actuals'!#REF!</definedName>
    <definedName name="DA_2164615669000001165" hidden="1">'[10]2 Monthly Expense Actuals'!#REF!</definedName>
    <definedName name="Data.Dump" localSheetId="4" hidden="1">OFFSET([11]!Data.Top.Left,1,0)</definedName>
    <definedName name="Data.Dump" localSheetId="8" hidden="1">OFFSET([11]!Data.Top.Left,1,0)</definedName>
    <definedName name="Data.Dump" localSheetId="9" hidden="1">OFFSET([11]!Data.Top.Left,1,0)</definedName>
    <definedName name="Data.Dump" localSheetId="10" hidden="1">OFFSET([0]!Data.Top.Left,1,0)</definedName>
    <definedName name="Data.Dump" localSheetId="3" hidden="1">OFFSET([11]!Data.Top.Left,1,0)</definedName>
    <definedName name="Data.Dump" hidden="1">OFFSET([11]!Data.Top.Left,1,0)</definedName>
    <definedName name="dd" localSheetId="10" hidden="1">{#N/A,#N/A,FALSE,"Bakersfield PCs";#N/A,#N/A,FALSE,"Bremer PCs";#N/A,#N/A,FALSE,"Bakersfield Notebooks"}</definedName>
    <definedName name="dd" hidden="1">{#N/A,#N/A,FALSE,"Bakersfield PCs";#N/A,#N/A,FALSE,"Bremer PCs";#N/A,#N/A,FALSE,"Bakersfield Notebooks"}</definedName>
    <definedName name="dddddddddddddddd" localSheetId="4" hidden="1">Main.SAPF4Help()</definedName>
    <definedName name="dddddddddddddddd" localSheetId="8" hidden="1">Main.SAPF4Help()</definedName>
    <definedName name="dddddddddddddddd" localSheetId="9" hidden="1">Main.SAPF4Help()</definedName>
    <definedName name="dddddddddddddddd" localSheetId="10" hidden="1">Main.SAPF4Help()</definedName>
    <definedName name="dddddddddddddddd" localSheetId="3" hidden="1">Main.SAPF4Help()</definedName>
    <definedName name="dddddddddddddddd" hidden="1">Main.SAPF4Help()</definedName>
    <definedName name="del" localSheetId="10" hidden="1">{#N/A,#N/A,FALSE,"Cov";#N/A,#N/A,FALSE,"sum";#N/A,#N/A,FALSE,"baladj";#N/A,#N/A,FALSE,"bs";#N/A,#N/A,FALSE,"is";#N/A,#N/A,FALSE,"pis";#N/A,#N/A,FALSE,"pis";#N/A,#N/A,FALSE,"cf";#N/A,#N/A,FALSE,"balhist";#N/A,#N/A,FALSE,"wc";#N/A,#N/A,FALSE,"ltd";#N/A,#N/A,FALSE,"cover";#N/A,#N/A,FALSE,"fa";#N/A,#N/A,FALSE,"tax";#N/A,#N/A,FALSE,"irr";#N/A,#N/A,FALSE,"in";#N/A,#N/A,FALSE,"DCF Cov";#N/A,#N/A,FALSE,"dcf"}</definedName>
    <definedName name="del" hidden="1">{#N/A,#N/A,FALSE,"Cov";#N/A,#N/A,FALSE,"sum";#N/A,#N/A,FALSE,"baladj";#N/A,#N/A,FALSE,"bs";#N/A,#N/A,FALSE,"is";#N/A,#N/A,FALSE,"pis";#N/A,#N/A,FALSE,"pis";#N/A,#N/A,FALSE,"cf";#N/A,#N/A,FALSE,"balhist";#N/A,#N/A,FALSE,"wc";#N/A,#N/A,FALSE,"ltd";#N/A,#N/A,FALSE,"cover";#N/A,#N/A,FALSE,"fa";#N/A,#N/A,FALSE,"tax";#N/A,#N/A,FALSE,"irr";#N/A,#N/A,FALSE,"in";#N/A,#N/A,FALSE,"DCF Cov";#N/A,#N/A,FALSE,"dcf"}</definedName>
    <definedName name="dele" localSheetId="10" hidden="1">{#N/A,#N/A,FALSE,"Cov";#N/A,#N/A,FALSE,"sum";#N/A,#N/A,FALSE,"baladj";#N/A,#N/A,FALSE,"bs";#N/A,#N/A,FALSE,"is";#N/A,#N/A,FALSE,"pis";#N/A,#N/A,FALSE,"cf";#N/A,#N/A,FALSE,"balhist";#N/A,#N/A,FALSE,"wc";#N/A,#N/A,FALSE,"ltd";#N/A,#N/A,FALSE,"cover";#N/A,#N/A,FALSE,"fa";#N/A,#N/A,FALSE,"tax";#N/A,#N/A,FALSE,"irr";#N/A,#N/A,FALSE,"in"}</definedName>
    <definedName name="dele" hidden="1">{#N/A,#N/A,FALSE,"Cov";#N/A,#N/A,FALSE,"sum";#N/A,#N/A,FALSE,"baladj";#N/A,#N/A,FALSE,"bs";#N/A,#N/A,FALSE,"is";#N/A,#N/A,FALSE,"pis";#N/A,#N/A,FALSE,"cf";#N/A,#N/A,FALSE,"balhist";#N/A,#N/A,FALSE,"wc";#N/A,#N/A,FALSE,"ltd";#N/A,#N/A,FALSE,"cover";#N/A,#N/A,FALSE,"fa";#N/A,#N/A,FALSE,"tax";#N/A,#N/A,FALSE,"irr";#N/A,#N/A,FALSE,"in"}</definedName>
    <definedName name="delete" localSheetId="10" hidden="1">{#N/A,#N/A,FALSE,"DCF Cov";#N/A,#N/A,FALSE,"dcf"}</definedName>
    <definedName name="delete" hidden="1">{#N/A,#N/A,FALSE,"DCF Cov";#N/A,#N/A,FALSE,"dcf"}</definedName>
    <definedName name="DocumentName" hidden="1">"b1"</definedName>
    <definedName name="DocumentNum" hidden="1">"a1"</definedName>
    <definedName name="dse" localSheetId="10" hidden="1">{#N/A,#N/A,FALSE,"Model";#N/A,#N/A,FALSE,"Gen Pts &amp; Rts 2000";#N/A,#N/A,FALSE,"AcqsAss";#N/A,#N/A,FALSE,"Acqs &amp; De Novos"}</definedName>
    <definedName name="dse" hidden="1">{#N/A,#N/A,FALSE,"Model";#N/A,#N/A,FALSE,"Gen Pts &amp; Rts 2000";#N/A,#N/A,FALSE,"AcqsAss";#N/A,#N/A,FALSE,"Acqs &amp; De Novos"}</definedName>
    <definedName name="ef." localSheetId="10" hidden="1">{#N/A,"A",FALSE,"DCF"}</definedName>
    <definedName name="ef." hidden="1">{#N/A,"A",FALSE,"DCF"}</definedName>
    <definedName name="Error_Amount" hidden="1">"'Error_Checks'!B10"</definedName>
    <definedName name="Error_Check" hidden="1">"ABS(Error_Amount)&gt;Error_Threshold"</definedName>
    <definedName name="Error_Threshold" hidden="1">0.05</definedName>
    <definedName name="ev.Calculation" hidden="1">-4105</definedName>
    <definedName name="ev.Initialized" hidden="1">FALSE</definedName>
    <definedName name="ExactAddinReports" hidden="1">1</definedName>
    <definedName name="ExbMult_Total" localSheetId="4" hidden="1">#REF!</definedName>
    <definedName name="ExbMult_Total" localSheetId="8" hidden="1">#REF!</definedName>
    <definedName name="ExbMult_Total" localSheetId="9" hidden="1">#REF!</definedName>
    <definedName name="ExbMult_Total" localSheetId="10" hidden="1">#REF!</definedName>
    <definedName name="ExbMult_Total" localSheetId="3" hidden="1">#REF!</definedName>
    <definedName name="ExbMult_Total" hidden="1">#REF!</definedName>
    <definedName name="finres" localSheetId="4" hidden="1">#REF!</definedName>
    <definedName name="finres" localSheetId="8" hidden="1">#REF!</definedName>
    <definedName name="finres" localSheetId="9" hidden="1">#REF!</definedName>
    <definedName name="finres" localSheetId="10" hidden="1">#REF!</definedName>
    <definedName name="finres" localSheetId="3" hidden="1">#REF!</definedName>
    <definedName name="finres" hidden="1">#REF!</definedName>
    <definedName name="fw" localSheetId="10" hidden="1">{#N/A,#N/A,FALSE,"Model";#N/A,#N/A,FALSE,"Gen Pts &amp; Rts 2000";#N/A,#N/A,FALSE,"AcqsAss";#N/A,#N/A,FALSE,"Acqs &amp; De Novos"}</definedName>
    <definedName name="fw" hidden="1">{#N/A,#N/A,FALSE,"Model";#N/A,#N/A,FALSE,"Gen Pts &amp; Rts 2000";#N/A,#N/A,FALSE,"AcqsAss";#N/A,#N/A,FALSE,"Acqs &amp; De Novos"}</definedName>
    <definedName name="gin" localSheetId="4" hidden="1">#REF!</definedName>
    <definedName name="gin" localSheetId="8" hidden="1">#REF!</definedName>
    <definedName name="gin" localSheetId="9" hidden="1">#REF!</definedName>
    <definedName name="gin" localSheetId="10" hidden="1">#REF!</definedName>
    <definedName name="gin" localSheetId="3" hidden="1">#REF!</definedName>
    <definedName name="gin" hidden="1">#REF!</definedName>
    <definedName name="hh" localSheetId="10" hidden="1">{#N/A,#N/A,FALSE,"Bakersfield PCs";#N/A,#N/A,FALSE,"Bremer PCs";#N/A,#N/A,FALSE,"Bakersfield Notebooks"}</definedName>
    <definedName name="hh" hidden="1">{#N/A,#N/A,FALSE,"Bakersfield PCs";#N/A,#N/A,FALSE,"Bremer PCs";#N/A,#N/A,FALSE,"Bakersfield Notebooks"}</definedName>
    <definedName name="hhhh" localSheetId="10" hidden="1">{#N/A,#N/A,FALSE,"Bakersfield PCs";#N/A,#N/A,FALSE,"Bremer PCs";#N/A,#N/A,FALSE,"Bakersfield Notebooks"}</definedName>
    <definedName name="hhhh" hidden="1">{#N/A,#N/A,FALSE,"Bakersfield PCs";#N/A,#N/A,FALSE,"Bremer PCs";#N/A,#N/A,FALSE,"Bakersfield Notebooks"}</definedName>
    <definedName name="hhhhh" localSheetId="10" hidden="1">{#N/A,#N/A,FALSE,"Bakersfield PCs";#N/A,#N/A,FALSE,"Bremer PCs";#N/A,#N/A,FALSE,"Bakersfield Notebooks"}</definedName>
    <definedName name="hhhhh" hidden="1">{#N/A,#N/A,FALSE,"Bakersfield PCs";#N/A,#N/A,FALSE,"Bremer PCs";#N/A,#N/A,FALSE,"Bakersfield Notebooks"}</definedName>
    <definedName name="hhhw" localSheetId="10" hidden="1">{#N/A,#N/A,FALSE,"Bakersfield PCs";#N/A,#N/A,FALSE,"Bremer PCs";#N/A,#N/A,FALSE,"Bakersfield Notebooks"}</definedName>
    <definedName name="hhhw" hidden="1">{#N/A,#N/A,FALSE,"Bakersfield PCs";#N/A,#N/A,FALSE,"Bremer PCs";#N/A,#N/A,FALSE,"Bakersfield Notebooks"}</definedName>
    <definedName name="hn.ExtDb" hidden="1">FALSE</definedName>
    <definedName name="hn.ModelType" hidden="1">"DEAL"</definedName>
    <definedName name="hn.ModelVersion" hidden="1">1</definedName>
    <definedName name="hn.NoUpload" hidden="1">0</definedName>
    <definedName name="HTML_CodePage" hidden="1">1252</definedName>
    <definedName name="HTML_Control" localSheetId="10" hidden="1">{"'Leverage'!$B$2:$M$418"}</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PathFileMac" hidden="1">"Macintosh HD:HomePageStuff:New_Home_Page:datafile:ctryprem.html"</definedName>
    <definedName name="HTML_Title" hidden="1">"leverage"</definedName>
    <definedName name="HTML1_1" localSheetId="10" hidden="1">"[BC死亡者数.xls]BCpts!$A$2:$I$51"</definedName>
    <definedName name="HTML1_1" hidden="1">"[FCFF3]Sheet1!$A$1:$L$34"</definedName>
    <definedName name="HTML1_10" hidden="1">""</definedName>
    <definedName name="HTML1_11" hidden="1">1</definedName>
    <definedName name="HTML1_12" localSheetId="10" hidden="1">"O:\CTAT\Z-mate\厚生省\BC-death.htm"</definedName>
    <definedName name="HTML1_12" hidden="1">"Aswath:Adobe SiteMill™ 1.0.2:MyHomePage:FCFF3.html"</definedName>
    <definedName name="HTML1_2" hidden="1">1</definedName>
    <definedName name="HTML1_3" localSheetId="10" hidden="1">"BC死亡者数.xls"</definedName>
    <definedName name="HTML1_3" hidden="1">"FCFF3"</definedName>
    <definedName name="HTML1_4" localSheetId="10" hidden="1">"BCpts"</definedName>
    <definedName name="HTML1_4" hidden="1">"Three-Stage FCFF Model"</definedName>
    <definedName name="HTML1_5" hidden="1">""</definedName>
    <definedName name="HTML1_6" hidden="1">-4146</definedName>
    <definedName name="HTML1_7" hidden="1">-4146</definedName>
    <definedName name="HTML1_8" localSheetId="10" hidden="1">"98/06/04"</definedName>
    <definedName name="HTML1_8" hidden="1">"10/22/96"</definedName>
    <definedName name="HTML1_9" localSheetId="10" hidden="1">"j631091"</definedName>
    <definedName name="HTML1_9" hidden="1">"Aswath Damodaran"</definedName>
    <definedName name="HTMLCount" hidden="1">1</definedName>
    <definedName name="iiii" localSheetId="10" hidden="1">{#N/A,#N/A,FALSE,"Bakersfield PCs";#N/A,#N/A,FALSE,"Bremer PCs";#N/A,#N/A,FALSE,"Bakersfield Notebooks"}</definedName>
    <definedName name="iiii" hidden="1">{#N/A,#N/A,FALSE,"Bakersfield PCs";#N/A,#N/A,FALSE,"Bremer PCs";#N/A,#N/A,FALSE,"Bakersfield Notebooks"}</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"c7"</definedName>
    <definedName name="IQ_ACCUMULATED_PENSION_OBLIGATION" hidden="1">"c2108"</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"c39"</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"c1471"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FAX" hidden="1">"c2100"</definedName>
    <definedName name="IQ_BOARD_MEMBER_OFFICE" hidden="1">"c2098"</definedName>
    <definedName name="IQ_BOARD_MEMBER_PHONE" hidden="1">"c2099"</definedName>
    <definedName name="IQ_BOARD_MEMBER_TITLE" hidden="1">"c97"</definedName>
    <definedName name="IQ_BONDRATING_FITCH" hidden="1">"c223"</definedName>
    <definedName name="IQ_BONDRATING_FITCH_DATE" hidden="1">"c241"</definedName>
    <definedName name="IQ_BONDRATING_SP" hidden="1">"c224"</definedName>
    <definedName name="IQ_BONDRATING_SP_DATE" hidden="1">"c242"</definedName>
    <definedName name="IQ_BOOK_VALUE" hidden="1">"IQ_BOOK_VALUE"</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OVER_SHARES" hidden="1">"c100"</definedName>
    <definedName name="IQ_BV_SHARE" hidden="1">"c100"</definedName>
    <definedName name="IQ_BV_STDDEV_EST_REUT" hidden="1">"c5408"</definedName>
    <definedName name="IQ_BV_STDDEV_EST_THOM" hidden="1">"c5152"</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_REUT" hidden="1">"c6800"</definedName>
    <definedName name="IQ_CAL_Y" hidden="1">"c102"</definedName>
    <definedName name="IQ_CAL_Y_EST_REUT" hidden="1">"c6801"</definedName>
    <definedName name="IQ_CALC_TYPE_BS" hidden="1">"c3086"</definedName>
    <definedName name="IQ_CALC_TYPE_CF" hidden="1">"c3085"</definedName>
    <definedName name="IQ_CALC_TYPE_IS" hidden="1">"c3084"</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"c118"</definedName>
    <definedName name="IQ_CASH_ACQUIRE_CF" hidden="1">"c1630"</definedName>
    <definedName name="IQ_CASH_CONVERSION" hidden="1">"c117"</definedName>
    <definedName name="IQ_CASH_DIVIDENDS_NET_INCOME_FDIC" hidden="1">"c6738"</definedName>
    <definedName name="IQ_CASH_DUE_BANKS" hidden="1">"c118"</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"c124"</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DET_EST_REUT_CURRENCY_CURRENCY_REUT" hidden="1">"c12526"</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RATE" hidden="1">"c2192"</definedName>
    <definedName name="IQ_CONVERT" hidden="1">"c2536"</definedName>
    <definedName name="IQ_CONVERT_DEBT" hidden="1">"c224"</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5000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"c315"</definedName>
    <definedName name="IQ_DEFERRED_TAXES" hidden="1">"c147"</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S_FDIC" hidden="1">"c6523"</definedName>
    <definedName name="IQ_DESCRIPTION_LONG" hidden="1">"c322"</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"c2106"</definedName>
    <definedName name="IQ_DIV_RECORD_DATE" hidden="1">"c2105"</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 hidden="1">"c2801"</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Q_INC" hidden="1">"c3498"</definedName>
    <definedName name="IQ_EBIT_EQ_INC_EXCL_SBC" hidden="1">"c3502"</definedName>
    <definedName name="IQ_EBIT_EST" hidden="1">"c1681"</definedName>
    <definedName name="IQ_EBIT_EXCL_SBC" hidden="1">"c3082"</definedName>
    <definedName name="IQ_EBIT_GROWTH_1" hidden="1">"c157"</definedName>
    <definedName name="IQ_EBIT_GROWTH_2" hidden="1">"c161"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"c360"</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GROWTH_1" hidden="1">"c156"</definedName>
    <definedName name="IQ_EBITDA_GROWTH_2" hidden="1">"c160"</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O_EST" hidden="1">"c267"</definedName>
    <definedName name="IQ_EBITDA_NUM_EST" hidden="1">"c374"</definedName>
    <definedName name="IQ_EBITDA_NUM_EST_REUT" hidden="1">"c3644"</definedName>
    <definedName name="IQ_EBITDA_OVER_TOTAL_IE" hidden="1">"c373"</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"c84"</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EST_REUT" hidden="1">"c5453"</definedName>
    <definedName name="IQ_EPS_GW_DET_EST_REUT_CURRENCY_CURRENCY_REUT" hidden="1">"c12533"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_EST" hidden="1">"c271"</definedName>
    <definedName name="IQ_EPS_NORM" hidden="1">"c1902"</definedName>
    <definedName name="IQ_EPS_NORM_EST_REUT" hidden="1">"c5326"</definedName>
    <definedName name="IQ_EPS_NORM_HIGH_EST_REUT" hidden="1">"c5328"</definedName>
    <definedName name="IQ_EPS_NORM_LOW_EST_REUT" hidden="1">"c5329"</definedName>
    <definedName name="IQ_EPS_NORM_MEDIAN_EST_REUT" hidden="1">"c5327"</definedName>
    <definedName name="IQ_EPS_NORM_NUM_EST_REUT" hidden="1">"c5330"</definedName>
    <definedName name="IQ_EPS_NORM_STDDEV_EST_REUT" hidden="1">"c5331"</definedName>
    <definedName name="IQ_EPS_NUM_EST" hidden="1">"c402"</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TDDEV_EST" hidden="1">"c403"</definedName>
    <definedName name="IQ_EPS_STDDEV_EST_REUT" hidden="1">"c5452"</definedName>
    <definedName name="IQ_EQUITY_AFFIL" hidden="1">"c552"</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"c739"</definedName>
    <definedName name="IQ_ESOP_DEBT" hidden="1">"c1597"</definedName>
    <definedName name="IQ_EST_ACT_BV_REUT" hidden="1">"c5409"</definedName>
    <definedName name="IQ_EST_ACT_BV_THOM" hidden="1">"c5153"</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GW_REUT" hidden="1">"c5395"</definedName>
    <definedName name="IQ_EST_ACT_EPS_NORM_REUT" hidden="1">"c5332"</definedName>
    <definedName name="IQ_EST_ACT_EPS_PRIMARY" hidden="1">"c2232"</definedName>
    <definedName name="IQ_EST_ACT_EPS_REPORTED" hidden="1">"c1750"</definedName>
    <definedName name="IQ_EST_ACT_EPS_REPORTED_REUT" hidden="1">"c5402"</definedName>
    <definedName name="IQ_EST_ACT_FFO" hidden="1">"c1666"</definedName>
    <definedName name="IQ_EST_ACT_FFO_REUT" hidden="1">"c3843"</definedName>
    <definedName name="IQ_EST_ACT_FFO_THOM" hidden="1">"c4005"</definedName>
    <definedName name="IQ_EST_ACT_NAV" hidden="1">"c1757"</definedName>
    <definedName name="IQ_EST_ACT_NI" hidden="1">"c1722"</definedName>
    <definedName name="IQ_EST_ACT_NI_GW" hidden="1">"c1729"</definedName>
    <definedName name="IQ_EST_ACT_NI_GW_THOM" hidden="1">"c5139"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BV_DIFF_CIQ" hidden="1">"c4765"</definedName>
    <definedName name="IQ_EST_BV_DIFF_REUT" hidden="1">"c5433"</definedName>
    <definedName name="IQ_EST_BV_DIFF_THOM" hidden="1">"c5204"</definedName>
    <definedName name="IQ_EST_BV_SURPRISE_PERCENT_CIQ" hidden="1">"c4766"</definedName>
    <definedName name="IQ_EST_BV_SURPRISE_PERCENT_REUT" hidden="1">"c5434"</definedName>
    <definedName name="IQ_EST_BV_SURPRISE_PERCENT_THOM" hidden="1">"c5205"</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CURRENCY_REUT" hidden="1">"c5437"</definedName>
    <definedName name="IQ_EST_DATE" hidden="1">"c1634"</definedName>
    <definedName name="IQ_EST_DATE_REUT" hidden="1">"c5438"</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_REUT" hidden="1">"c5411"</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DIFF_REUT" hidden="1">"c3890"</definedName>
    <definedName name="IQ_EST_FFO_DIFF_THOM" hidden="1">"c5186"</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FFO_SURPRISE_PERCENT_REUT" hidden="1">"c3891"</definedName>
    <definedName name="IQ_EST_FFO_SURPRISE_PERCENT_THOM" hidden="1">"c5187"</definedName>
    <definedName name="IQ_EST_NAV_DIFF" hidden="1">"c1895"</definedName>
    <definedName name="IQ_EST_NAV_SURPRISE_PERCENT" hidden="1">"c1896"</definedName>
    <definedName name="IQ_EST_NI_DIFF" hidden="1">"c1885"</definedName>
    <definedName name="IQ_EST_NI_GW_DIFF" hidden="1">"c1887"</definedName>
    <definedName name="IQ_EST_NI_GW_DIFF_THOM" hidden="1">"c5200"</definedName>
    <definedName name="IQ_EST_NI_GW_SURPRISE_PERCENT" hidden="1">"c1888"</definedName>
    <definedName name="IQ_EST_NI_GW_SURPRISE_PERCENT_THOM" hidden="1">"c5201"</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BUY_CIQ" hidden="1">"c3700"</definedName>
    <definedName name="IQ_EST_NUM_BUY_REUT" hidden="1">"c3869"</definedName>
    <definedName name="IQ_EST_NUM_BUY_THOM" hidden="1">"c5165"</definedName>
    <definedName name="IQ_EST_NUM_HOLD" hidden="1">"c1761"</definedName>
    <definedName name="IQ_EST_NUM_HOLD_CIQ" hidden="1">"c3702"</definedName>
    <definedName name="IQ_EST_NUM_HOLD_REUT" hidden="1">"c3871"</definedName>
    <definedName name="IQ_EST_NUM_HOLD_THOM" hidden="1">"c5167"</definedName>
    <definedName name="IQ_EST_NUM_NO_OPINION" hidden="1">"c1758"</definedName>
    <definedName name="IQ_EST_NUM_OUTPERFORM" hidden="1">"c1760"</definedName>
    <definedName name="IQ_EST_NUM_OUTPERFORM_CIQ" hidden="1">"c3701"</definedName>
    <definedName name="IQ_EST_NUM_OUTPERFORM_REUT" hidden="1">"c3870"</definedName>
    <definedName name="IQ_EST_NUM_OUTPERFORM_THOM" hidden="1">"c5166"</definedName>
    <definedName name="IQ_EST_NUM_SELL" hidden="1">"c1763"</definedName>
    <definedName name="IQ_EST_NUM_SELL_CIQ" hidden="1">"c3704"</definedName>
    <definedName name="IQ_EST_NUM_SELL_REUT" hidden="1">"c3873"</definedName>
    <definedName name="IQ_EST_NUM_SELL_THOM" hidden="1">"c5169"</definedName>
    <definedName name="IQ_EST_NUM_UNDERPERFORM" hidden="1">"c1762"</definedName>
    <definedName name="IQ_EST_NUM_UNDERPERFORM_CIQ" hidden="1">"c3703"</definedName>
    <definedName name="IQ_EST_NUM_UNDERPERFORM_REUT" hidden="1">"c3872"</definedName>
    <definedName name="IQ_EST_NUM_UNDERPERFORM_THOM" hidden="1">"c5168"</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UT_ACT_CAPEX" hidden="1">"c3975"</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_OVER_REVENUE_EST" hidden="1">"c165"</definedName>
    <definedName name="IQ_EV_OVER_REVENUE_EST_1" hidden="1">"c166"</definedName>
    <definedName name="IQ_EXCHANGE" hidden="1">"c405"</definedName>
    <definedName name="IQ_EXERCISE_PRICE" hidden="1">"c406"</definedName>
    <definedName name="IQ_EXERCISED" hidden="1">"c406"</definedName>
    <definedName name="IQ_EXP_RETURN_PENSION_DOMESTIC" hidden="1">"c407"</definedName>
    <definedName name="IQ_EXP_RETURN_PENSION_FOREIGN" hidden="1">"c408"</definedName>
    <definedName name="IQ_EXPENSE_CODE_" hidden="1">"ajsdasd"</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"c3668"</definedName>
    <definedName name="IQ_FFO_EST_DET_EST" hidden="1">"c12059"</definedName>
    <definedName name="IQ_FFO_EST_DET_EST_CIQ" hidden="1">"c12121"</definedName>
    <definedName name="IQ_FFO_EST_DET_EST_CURRENCY" hidden="1">"c12466"</definedName>
    <definedName name="IQ_FFO_EST_DET_EST_CURRENCY_CIQ" hidden="1">"c12512"</definedName>
    <definedName name="IQ_FFO_EST_DET_EST_CURRENCY_REUT" hidden="1">"c12536"</definedName>
    <definedName name="IQ_FFO_EST_DET_EST_DATE" hidden="1">"c12212"</definedName>
    <definedName name="IQ_FFO_EST_DET_EST_DATE_CIQ" hidden="1">"c12267"</definedName>
    <definedName name="IQ_FFO_EST_DET_EST_DATE_REUT" hidden="1">"c12295"</definedName>
    <definedName name="IQ_FFO_EST_DET_EST_INCL" hidden="1">"c12349"</definedName>
    <definedName name="IQ_FFO_EST_DET_EST_INCL_CIQ" hidden="1">"c12395"</definedName>
    <definedName name="IQ_FFO_EST_DET_EST_INCL_REUT" hidden="1">"c12419"</definedName>
    <definedName name="IQ_FFO_EST_DET_EST_ORIGIN" hidden="1">"c12722"</definedName>
    <definedName name="IQ_FFO_EST_DET_EST_ORIGIN_CIQ" hidden="1">"c12720"</definedName>
    <definedName name="IQ_FFO_EST_DET_EST_ORIGIN_REUT" hidden="1">"c12724"</definedName>
    <definedName name="IQ_FFO_EST_DET_EST_REUT" hidden="1">"c12153"</definedName>
    <definedName name="IQ_FFO_EST_REUT" hidden="1">"c3837"</definedName>
    <definedName name="IQ_FFO_EST_THOM" hidden="1">"c3999"</definedName>
    <definedName name="IQ_FFO_HIGH_EST" hidden="1">"c419"</definedName>
    <definedName name="IQ_FFO_HIGH_EST_CIQ" hidden="1">"c3670"</definedName>
    <definedName name="IQ_FFO_HIGH_EST_REUT" hidden="1">"c3839"</definedName>
    <definedName name="IQ_FFO_HIGH_EST_THOM" hidden="1">"c4001"</definedName>
    <definedName name="IQ_FFO_LOW_EST" hidden="1">"c420"</definedName>
    <definedName name="IQ_FFO_LOW_EST_CIQ" hidden="1">"c3671"</definedName>
    <definedName name="IQ_FFO_LOW_EST_REUT" hidden="1">"c3840"</definedName>
    <definedName name="IQ_FFO_LOW_EST_THOM" hidden="1">"c4002"</definedName>
    <definedName name="IQ_FFO_MEDIAN_EST" hidden="1">"c1665"</definedName>
    <definedName name="IQ_FFO_MEDIAN_EST_CIQ" hidden="1">"c3669"</definedName>
    <definedName name="IQ_FFO_MEDIAN_EST_REUT" hidden="1">"c3838"</definedName>
    <definedName name="IQ_FFO_MEDIAN_EST_THOM" hidden="1">"c4000"</definedName>
    <definedName name="IQ_FFO_NO_EST" hidden="1">"c276"</definedName>
    <definedName name="IQ_FFO_NUM_EST" hidden="1">"c421"</definedName>
    <definedName name="IQ_FFO_NUM_EST_CIQ" hidden="1">"c3672"</definedName>
    <definedName name="IQ_FFO_NUM_EST_REUT" hidden="1">"c3841"</definedName>
    <definedName name="IQ_FFO_NUM_EST_THOM" hidden="1">"c4003"</definedName>
    <definedName name="IQ_FFO_PAYOUT_RATIO" hidden="1">"c3492"</definedName>
    <definedName name="IQ_FFO_STDDEV_EST" hidden="1">"c422"</definedName>
    <definedName name="IQ_FFO_STDDEV_EST_CIQ" hidden="1">"c3673"</definedName>
    <definedName name="IQ_FFO_STDDEV_EST_REUT" hidden="1">"c3842"</definedName>
    <definedName name="IQ_FFO_STDDEV_EST_THOM" hidden="1">"c4004"</definedName>
    <definedName name="IQ_FH">100000</definedName>
    <definedName name="IQ_FHLB_ADVANCES_FDIC" hidden="1">"c6366"</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_REUT" hidden="1">"c6798"</definedName>
    <definedName name="IQ_FISCAL_Y" hidden="1">"c441"</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SPOT_FDIC" hidden="1">"c6356"</definedName>
    <definedName name="IQ_FY">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"c511"</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_TARGET_PRICE_REUT" hidden="1">"c5317"</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PROVIDED_DIVIDEND" hidden="1">"c19252"</definedName>
    <definedName name="IQ_INDEXCONSTITUENT_CLOSEPRICE" hidden="1">"c19241"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"c907"</definedName>
    <definedName name="IQ_INTEL_EPS_EST" hidden="1">"c24729"</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"c619"</definedName>
    <definedName name="IQ_INTEREST_INVEST_INC" hidden="1">"c619"</definedName>
    <definedName name="IQ_INTEREST_LT_DEBT" hidden="1">"c2086"</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"c751"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ISTING_CURRENCY" hidden="1">"c2127"</definedName>
    <definedName name="IQ_LL" hidden="1">"c656"</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DATE" hidden="1">"IQ_LTM_DATE"</definedName>
    <definedName name="IQ_LTM_REVENUE_OVER_EMPLOYEES" hidden="1">"c1304"</definedName>
    <definedName name="IQ_LTMMONTH" hidden="1">120000</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REPAIR" hidden="1">"c2087"</definedName>
    <definedName name="IQ_MARKET_CAP_LFCF" hidden="1">"c2209"</definedName>
    <definedName name="IQ_MARKETCAP" hidden="1">"c712"</definedName>
    <definedName name="IQ_MARKETING" hidden="1">"c2239"</definedName>
    <definedName name="IQ_MARKTCAP" hidden="1">"c258"</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localSheetId="4" hidden="1">42472.9587847222</definedName>
    <definedName name="IQ_NAMES_REVISION_DATE_" localSheetId="7" hidden="1">42472.9587847222</definedName>
    <definedName name="IQ_NAMES_REVISION_DATE_" localSheetId="8" hidden="1">42472.9587847222</definedName>
    <definedName name="IQ_NAMES_REVISION_DATE_" localSheetId="9" hidden="1">42472.9587847222</definedName>
    <definedName name="IQ_NAMES_REVISION_DATE_" localSheetId="6" hidden="1">42472.9587847222</definedName>
    <definedName name="IQ_NAMES_REVISION_DATE_" localSheetId="11" hidden="1">42472.9587847222</definedName>
    <definedName name="IQ_NAMES_REVISION_DATE_" hidden="1">43496.9169212963</definedName>
    <definedName name="IQ_NAMES_REVISION_DATE__1" hidden="1">41449.5435763889</definedName>
    <definedName name="IQ_NAMES_REVISION_DATE_1" hidden="1">42469.6971527778</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"c781"</definedName>
    <definedName name="IQ_NET_INC_10K" hidden="1">"IQ_NET_INC_10K"</definedName>
    <definedName name="IQ_NET_INC_10Q" hidden="1">"IQ_NET_INC_10Q"</definedName>
    <definedName name="IQ_NET_INC_10Q1" hidden="1">"IQ_NET_INC_10Q1"</definedName>
    <definedName name="IQ_NET_INC_BEFORE" hidden="1">"c344"</definedName>
    <definedName name="IQ_NET_INC_CF" hidden="1">"c793"</definedName>
    <definedName name="IQ_NET_INC_GROWTH_1" hidden="1">"c158"</definedName>
    <definedName name="IQ_NET_INC_GROWTH_2" hidden="1">"c162"</definedName>
    <definedName name="IQ_NET_INC_MARGIN" hidden="1">"c794"</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EST_THOM" hidden="1">"c5133"</definedName>
    <definedName name="IQ_NI_GW_HIGH_EST" hidden="1">"c1725"</definedName>
    <definedName name="IQ_NI_GW_HIGH_EST_THOM" hidden="1">"c5135"</definedName>
    <definedName name="IQ_NI_GW_LOW_EST" hidden="1">"c1726"</definedName>
    <definedName name="IQ_NI_GW_LOW_EST_THOM" hidden="1">"c5136"</definedName>
    <definedName name="IQ_NI_GW_MEDIAN_EST" hidden="1">"c1724"</definedName>
    <definedName name="IQ_NI_GW_MEDIAN_EST_THOM" hidden="1">"c5134"</definedName>
    <definedName name="IQ_NI_GW_NUM_EST" hidden="1">"c1727"</definedName>
    <definedName name="IQ_NI_GW_NUM_EST_THOM" hidden="1">"c5137"</definedName>
    <definedName name="IQ_NI_GW_STDDEV_EST" hidden="1">"c1728"</definedName>
    <definedName name="IQ_NI_GW_STDDEV_EST_THOM" hidden="1">"c5138"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OFFIC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"c362"</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"c868"</definedName>
    <definedName name="IQ_OTHER_CURRENT_LIAB" hidden="1">"c877"</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"c1022"</definedName>
    <definedName name="IQ_OUTSTANDING_FILING_DATE" hidden="1">"c1023"</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CENT_INSURED_FDIC" hidden="1">"c6374"</definedName>
    <definedName name="IQ_PERIODDATE" hidden="1">"c1034"</definedName>
    <definedName name="IQ_PERIODDATE_BS" hidden="1">"c1032"</definedName>
    <definedName name="IQ_PERIODDATE_CF" hidden="1">"c1033"</definedName>
    <definedName name="IQ_PERIODDATE_FDIC" hidden="1">"c13646"</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ICE_OVER_BVPS" hidden="1">"c1026"</definedName>
    <definedName name="IQ_PRICE_OVER_EPS_EST" hidden="1">"c174"</definedName>
    <definedName name="IQ_PRICE_OVER_EPS_EST_1" hidden="1">"c175"</definedName>
    <definedName name="IQ_PRICE_OVER_LTM_EPS" hidden="1">"c1029"</definedName>
    <definedName name="IQ_PRICE_TARGET" hidden="1">"c82"</definedName>
    <definedName name="IQ_PRICE_TARGET_REUT" hidden="1">"c3631"</definedName>
    <definedName name="IQ_PRICEDATE" hidden="1">"c1069"</definedName>
    <definedName name="IQ_PRICEDATETIME" hidden="1">"IQ_PRICEDATETIME"</definedName>
    <definedName name="IQ_PRICING_DATE" hidden="1">"c1613"</definedName>
    <definedName name="IQ_PRIMARY_EPS_TYPE_THOM" hidden="1">"c5297"</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"c1092"</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"c1122"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EST_REUT" hidden="1">"c3634"</definedName>
    <definedName name="IQ_REVENUE_GROWTH_1" hidden="1">"c155"</definedName>
    <definedName name="IQ_REVENUE_GROWTH_2" hidden="1">"c159"</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O_EST" hidden="1">"c263"</definedName>
    <definedName name="IQ_REVENUE_NUM_EST" hidden="1">"c1129"</definedName>
    <definedName name="IQ_REVENUE_NUM_EST_REUT" hidden="1">"c3638"</definedName>
    <definedName name="IQ_Revision_date_2" hidden="1">38784.4474652778</definedName>
    <definedName name="IQ_REVOLVING_SECURED_1_–4_NON_ACCRUAL_FFIEC" hidden="1">"c15565"</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_ISSUE_LC_ACTION" hidden="1">"c2644"</definedName>
    <definedName name="IQ_SP_ISSUE_LC_DATE" hidden="1">"c2643"</definedName>
    <definedName name="IQ_SP_ISSUE_LC_LT" hidden="1">"c2645"</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GS_FIN" hidden="1">"c2998"</definedName>
    <definedName name="IQ_STOCK_BASED_COGS_UTIL" hidden="1">"c2997"</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LASTCLOSE" hidden="1">"c1855"</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HURN" hidden="1">"c2122"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DUE" hidden="1">"c2509"</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"c1522"</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"c1294"</definedName>
    <definedName name="IQ_TOTAL_RISK_BASED_CAPITAL_RATIO_FDIC" hidden="1">"c6747"</definedName>
    <definedName name="IQ_TOTAL_SECURITIES_FDIC" hidden="1">"c6306"</definedName>
    <definedName name="IQ_TOTAL_SPECIAL" hidden="1">"c1618"</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ADVISORS" hidden="1">"c2387"</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ADVISORS" hidden="1">"c2388"</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BDEBT" hidden="1">"c2370"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ADVISORS" hidden="1">"c2386"</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 hidden="1">"c2930"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 hidden="1">"c2932"</definedName>
    <definedName name="IQ_US_GAAP_CL_ADJ" hidden="1">"c2927"</definedName>
    <definedName name="IQ_US_GAAP_COST_REV" hidden="1">"c2965"</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 hidden="1">"c2973"</definedName>
    <definedName name="IQ_US_GAAP_DO_ADJ" hidden="1">"c2959"</definedName>
    <definedName name="IQ_US_GAAP_EXTRA_ACC_ITEMS" hidden="1">"c2972"</definedName>
    <definedName name="IQ_US_GAAP_EXTRA_ACC_ITEMS_ADJ" hidden="1">"c2958"</definedName>
    <definedName name="IQ_US_GAAP_INC_TAX" hidden="1">"c2975"</definedName>
    <definedName name="IQ_US_GAAP_INC_TAX_ADJ" hidden="1">"c2961"</definedName>
    <definedName name="IQ_US_GAAP_INTEREST_EXP" hidden="1">"c2971"</definedName>
    <definedName name="IQ_US_GAAP_INTEREST_EXP_ADJ" hidden="1">"c2957"</definedName>
    <definedName name="IQ_US_GAAP_LIAB_LT" hidden="1">"c2933"</definedName>
    <definedName name="IQ_US_GAAP_LIAB_LT_ADJ" hidden="1">"c2928"</definedName>
    <definedName name="IQ_US_GAAP_LIAB_TOTAL_LIAB" hidden="1">"c2933"</definedName>
    <definedName name="IQ_US_GAAP_MINORITY_INTEREST_IS" hidden="1">"c2974"</definedName>
    <definedName name="IQ_US_GAAP_MINORITY_INTEREST_IS_ADJ" hidden="1">"c2960"</definedName>
    <definedName name="IQ_US_GAAP_NCA" hidden="1">"c2931"</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EXCL" hidden="1">"c2977"</definedName>
    <definedName name="IQ_US_GAAP_NI_AVAIL_INCL" hidden="1">"c2978"</definedName>
    <definedName name="IQ_US_GAAP_OTHER_ADJ_ADJ" hidden="1">"c2962"</definedName>
    <definedName name="IQ_US_GAAP_OTHER_NON_OPER" hidden="1">"c2969"</definedName>
    <definedName name="IQ_US_GAAP_OTHER_NON_OPER_ADJ" hidden="1">"c2955"</definedName>
    <definedName name="IQ_US_GAAP_OTHER_OPER" hidden="1">"c2968"</definedName>
    <definedName name="IQ_US_GAAP_OTHER_OPER_ADJ" hidden="1">"c2954"</definedName>
    <definedName name="IQ_US_GAAP_RD" hidden="1">"c2967"</definedName>
    <definedName name="IQ_US_GAAP_RD_ADJ" hidden="1">"c2953"</definedName>
    <definedName name="IQ_US_GAAP_SGA" hidden="1">"c2966"</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 hidden="1">"c2964"</definedName>
    <definedName name="IQ_US_GAAP_TOTAL_REV_ADJ" hidden="1">"c2950"</definedName>
    <definedName name="IQ_US_GAAP_TOTAL_UNUSUAL" hidden="1">"c2970"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3000</definedName>
    <definedName name="IQ_YTDMONTH" hidden="1">130000</definedName>
    <definedName name="IQ_Z_SCORE" hidden="1">"c1339"</definedName>
    <definedName name="IQRA1" hidden="1">"$A$2:$A$368"</definedName>
    <definedName name="IQRA22" hidden="1">"$A$23:$A$42"</definedName>
    <definedName name="IQRA5" hidden="1">"$A$6"</definedName>
    <definedName name="IQRA8" hidden="1">"$A$9:$A$260"</definedName>
    <definedName name="IQRAB22" hidden="1">"$AB$23:$AB$42"</definedName>
    <definedName name="IQRAE22" hidden="1">"$AE$23:$AE$42"</definedName>
    <definedName name="IQRAF16" hidden="1">"$AF$17:$AF$268"</definedName>
    <definedName name="IQRAF17" hidden="1">"$AF$18:$AF$269"</definedName>
    <definedName name="IQRAH22" hidden="1">"$AH$23:$AH$42"</definedName>
    <definedName name="IQRAK22" hidden="1">"$AK$23:$AK$42"</definedName>
    <definedName name="IQRAN22" hidden="1">"$AN$23:$AN$42"</definedName>
    <definedName name="IQRAQ22" hidden="1">"$AQ$23:$AQ$42"</definedName>
    <definedName name="IQRB14" hidden="1">"$B$15:$B$518"</definedName>
    <definedName name="IQRB16" hidden="1">"$B$17:$B$520"</definedName>
    <definedName name="IQRB17" localSheetId="10" hidden="1">"$B$18:$B$78"</definedName>
    <definedName name="IQRB17" hidden="1">"$B$18:$B$80"</definedName>
    <definedName name="IQRB17_1" hidden="1">"$B$18:$B$78"</definedName>
    <definedName name="IQRB18" hidden="1">"$B$19:$B$522"</definedName>
    <definedName name="IQRB8" hidden="1">"$B$9:$B$260"</definedName>
    <definedName name="IQRBB17" hidden="1">"$BB$18:$BB$1299"</definedName>
    <definedName name="IQRBetaDATASHEETB17" localSheetId="4" hidden="1">#REF!</definedName>
    <definedName name="IQRBetaDATASHEETB17" localSheetId="8" hidden="1">#REF!</definedName>
    <definedName name="IQRBetaDATASHEETB17" localSheetId="9" hidden="1">#REF!</definedName>
    <definedName name="IQRBetaDATASHEETB17" localSheetId="3" hidden="1">#REF!</definedName>
    <definedName name="IQRBetaDATASHEETB17" hidden="1">#REF!</definedName>
    <definedName name="IQRC14" hidden="1">"$C$15:$C$119"</definedName>
    <definedName name="IQRC5" hidden="1">"$C$6:$C$70"</definedName>
    <definedName name="IQRC8" hidden="1">"$C$9:$C$260"</definedName>
    <definedName name="IQRCapitalIQDATAJ8" localSheetId="4" hidden="1">#REF!</definedName>
    <definedName name="IQRCapitalIQDATAJ8" localSheetId="8" hidden="1">#REF!</definedName>
    <definedName name="IQRCapitalIQDATAJ8" localSheetId="9" hidden="1">#REF!</definedName>
    <definedName name="IQRCapitalIQDATAJ8" localSheetId="10" hidden="1">#REF!</definedName>
    <definedName name="IQRCapitalIQDATAJ8" localSheetId="3" hidden="1">#REF!</definedName>
    <definedName name="IQRCapitalIQDATAJ8" hidden="1">#REF!</definedName>
    <definedName name="IQRCapitalIQDATAK8" localSheetId="4" hidden="1">#REF!</definedName>
    <definedName name="IQRCapitalIQDATAK8" localSheetId="8" hidden="1">#REF!</definedName>
    <definedName name="IQRCapitalIQDATAK8" localSheetId="9" hidden="1">#REF!</definedName>
    <definedName name="IQRCapitalIQDATAK8" localSheetId="10" hidden="1">#REF!</definedName>
    <definedName name="IQRCapitalIQDATAK8" localSheetId="3" hidden="1">#REF!</definedName>
    <definedName name="IQRCapitalIQDATAK8" hidden="1">#REF!</definedName>
    <definedName name="IQRCapitalIQDATAL8" localSheetId="4" hidden="1">#REF!</definedName>
    <definedName name="IQRCapitalIQDATAL8" localSheetId="8" hidden="1">#REF!</definedName>
    <definedName name="IQRCapitalIQDATAL8" localSheetId="9" hidden="1">#REF!</definedName>
    <definedName name="IQRCapitalIQDATAL8" localSheetId="10" hidden="1">#REF!</definedName>
    <definedName name="IQRCapitalIQDATAL8" localSheetId="3" hidden="1">#REF!</definedName>
    <definedName name="IQRCapitalIQDATAL8" hidden="1">#REF!</definedName>
    <definedName name="IQRCapitalIQDATAM8" localSheetId="4" hidden="1">#REF!</definedName>
    <definedName name="IQRCapitalIQDATAM8" localSheetId="8" hidden="1">#REF!</definedName>
    <definedName name="IQRCapitalIQDATAM8" localSheetId="9" hidden="1">#REF!</definedName>
    <definedName name="IQRCapitalIQDATAM8" localSheetId="10" hidden="1">#REF!</definedName>
    <definedName name="IQRCapitalIQDATAM8" localSheetId="3" hidden="1">#REF!</definedName>
    <definedName name="IQRCapitalIQDATAM8" hidden="1">#REF!</definedName>
    <definedName name="IQRD14" hidden="1">"$D$15:$D$38"</definedName>
    <definedName name="IQRD22" hidden="1">"$D$23:$D$42"</definedName>
    <definedName name="IQRD5" hidden="1">"$D$6:$D$70"</definedName>
    <definedName name="IQRE5" hidden="1">"$E$6:$E$70"</definedName>
    <definedName name="IQRF3" hidden="1">"$F$4:$F$68"</definedName>
    <definedName name="IQRF5" hidden="1">"$F$6:$F$70"</definedName>
    <definedName name="IQRF8" hidden="1">"$F$9:$F$269"</definedName>
    <definedName name="IQRG22" hidden="1">"$G$23:$G$42"</definedName>
    <definedName name="IQRG3" hidden="1">"$G$4:$G$68"</definedName>
    <definedName name="IQRG41" hidden="1">"$G$42:$G$1300"</definedName>
    <definedName name="IQRG5" hidden="1">"$G$6:$G$70"</definedName>
    <definedName name="IQRHistoricMultiplesAR9" localSheetId="4" hidden="1">#REF!</definedName>
    <definedName name="IQRHistoricMultiplesAR9" localSheetId="8" hidden="1">#REF!</definedName>
    <definedName name="IQRHistoricMultiplesAR9" localSheetId="9" hidden="1">#REF!</definedName>
    <definedName name="IQRHistoricMultiplesAR9" localSheetId="10" hidden="1">#REF!</definedName>
    <definedName name="IQRHistoricMultiplesAR9" localSheetId="3" hidden="1">#REF!</definedName>
    <definedName name="IQRHistoricMultiplesAR9" hidden="1">#REF!</definedName>
    <definedName name="IQRHistoricMultiplesAW9" localSheetId="4" hidden="1">#REF!</definedName>
    <definedName name="IQRHistoricMultiplesAW9" localSheetId="8" hidden="1">#REF!</definedName>
    <definedName name="IQRHistoricMultiplesAW9" localSheetId="9" hidden="1">#REF!</definedName>
    <definedName name="IQRHistoricMultiplesAW9" localSheetId="10" hidden="1">#REF!</definedName>
    <definedName name="IQRHistoricMultiplesAW9" localSheetId="3" hidden="1">#REF!</definedName>
    <definedName name="IQRHistoricMultiplesAW9" hidden="1">#REF!</definedName>
    <definedName name="IQRHistoricMultiplesBB9" localSheetId="4" hidden="1">#REF!</definedName>
    <definedName name="IQRHistoricMultiplesBB9" localSheetId="8" hidden="1">#REF!</definedName>
    <definedName name="IQRHistoricMultiplesBB9" localSheetId="9" hidden="1">#REF!</definedName>
    <definedName name="IQRHistoricMultiplesBB9" localSheetId="10" hidden="1">#REF!</definedName>
    <definedName name="IQRHistoricMultiplesBB9" localSheetId="3" hidden="1">#REF!</definedName>
    <definedName name="IQRHistoricMultiplesBB9" hidden="1">#REF!</definedName>
    <definedName name="IQRHistoricMultiplesBG9" localSheetId="4" hidden="1">#REF!</definedName>
    <definedName name="IQRHistoricMultiplesBG9" localSheetId="8" hidden="1">#REF!</definedName>
    <definedName name="IQRHistoricMultiplesBG9" localSheetId="9" hidden="1">#REF!</definedName>
    <definedName name="IQRHistoricMultiplesBG9" localSheetId="10" hidden="1">#REF!</definedName>
    <definedName name="IQRHistoricMultiplesBG9" localSheetId="3" hidden="1">#REF!</definedName>
    <definedName name="IQRHistoricMultiplesBG9" hidden="1">#REF!</definedName>
    <definedName name="IQRHistoricMultiplesBL9" localSheetId="4" hidden="1">#REF!</definedName>
    <definedName name="IQRHistoricMultiplesBL9" localSheetId="8" hidden="1">#REF!</definedName>
    <definedName name="IQRHistoricMultiplesBL9" localSheetId="9" hidden="1">#REF!</definedName>
    <definedName name="IQRHistoricMultiplesBL9" localSheetId="10" hidden="1">#REF!</definedName>
    <definedName name="IQRHistoricMultiplesBL9" localSheetId="3" hidden="1">#REF!</definedName>
    <definedName name="IQRHistoricMultiplesBL9" hidden="1">#REF!</definedName>
    <definedName name="IQRHistoricMultiplesBQ9" localSheetId="4" hidden="1">#REF!</definedName>
    <definedName name="IQRHistoricMultiplesBQ9" localSheetId="8" hidden="1">#REF!</definedName>
    <definedName name="IQRHistoricMultiplesBQ9" localSheetId="9" hidden="1">#REF!</definedName>
    <definedName name="IQRHistoricMultiplesBQ9" localSheetId="10" hidden="1">#REF!</definedName>
    <definedName name="IQRHistoricMultiplesBQ9" localSheetId="3" hidden="1">#REF!</definedName>
    <definedName name="IQRHistoricMultiplesBQ9" hidden="1">#REF!</definedName>
    <definedName name="IQRHistoricMultiplesBV9" localSheetId="4" hidden="1">#REF!</definedName>
    <definedName name="IQRHistoricMultiplesBV9" localSheetId="8" hidden="1">#REF!</definedName>
    <definedName name="IQRHistoricMultiplesBV9" localSheetId="9" hidden="1">#REF!</definedName>
    <definedName name="IQRHistoricMultiplesBV9" localSheetId="10" hidden="1">#REF!</definedName>
    <definedName name="IQRHistoricMultiplesBV9" localSheetId="3" hidden="1">#REF!</definedName>
    <definedName name="IQRHistoricMultiplesBV9" hidden="1">#REF!</definedName>
    <definedName name="IQRHistoricMultiplesCA9" localSheetId="4" hidden="1">#REF!</definedName>
    <definedName name="IQRHistoricMultiplesCA9" localSheetId="8" hidden="1">#REF!</definedName>
    <definedName name="IQRHistoricMultiplesCA9" localSheetId="9" hidden="1">#REF!</definedName>
    <definedName name="IQRHistoricMultiplesCA9" localSheetId="10" hidden="1">#REF!</definedName>
    <definedName name="IQRHistoricMultiplesCA9" localSheetId="3" hidden="1">#REF!</definedName>
    <definedName name="IQRHistoricMultiplesCA9" hidden="1">#REF!</definedName>
    <definedName name="IQRHistoricMultiplesCF9" localSheetId="4" hidden="1">#REF!</definedName>
    <definedName name="IQRHistoricMultiplesCF9" localSheetId="8" hidden="1">#REF!</definedName>
    <definedName name="IQRHistoricMultiplesCF9" localSheetId="9" hidden="1">#REF!</definedName>
    <definedName name="IQRHistoricMultiplesCF9" localSheetId="10" hidden="1">#REF!</definedName>
    <definedName name="IQRHistoricMultiplesCF9" localSheetId="3" hidden="1">#REF!</definedName>
    <definedName name="IQRHistoricMultiplesCF9" hidden="1">#REF!</definedName>
    <definedName name="IQRHistoricMultiplesCK9" localSheetId="4" hidden="1">#REF!</definedName>
    <definedName name="IQRHistoricMultiplesCK9" localSheetId="8" hidden="1">#REF!</definedName>
    <definedName name="IQRHistoricMultiplesCK9" localSheetId="9" hidden="1">#REF!</definedName>
    <definedName name="IQRHistoricMultiplesCK9" localSheetId="10" hidden="1">#REF!</definedName>
    <definedName name="IQRHistoricMultiplesCK9" localSheetId="3" hidden="1">#REF!</definedName>
    <definedName name="IQRHistoricMultiplesCK9" hidden="1">#REF!</definedName>
    <definedName name="IQRI9" hidden="1">"$I$10:$I$1267"</definedName>
    <definedName name="IQRIPOAF12" localSheetId="4" hidden="1">#REF!</definedName>
    <definedName name="IQRIPOAF12" localSheetId="8" hidden="1">#REF!</definedName>
    <definedName name="IQRIPOAF12" localSheetId="9" hidden="1">#REF!</definedName>
    <definedName name="IQRIPOAF12" localSheetId="10" hidden="1">#REF!</definedName>
    <definedName name="IQRIPOAF12" localSheetId="3" hidden="1">#REF!</definedName>
    <definedName name="IQRIPOAF12" hidden="1">#REF!</definedName>
    <definedName name="IQRIPOAF13" localSheetId="4" hidden="1">#REF!</definedName>
    <definedName name="IQRIPOAF13" localSheetId="8" hidden="1">#REF!</definedName>
    <definedName name="IQRIPOAF13" localSheetId="9" hidden="1">#REF!</definedName>
    <definedName name="IQRIPOAF13" localSheetId="10" hidden="1">#REF!</definedName>
    <definedName name="IQRIPOAF13" localSheetId="3" hidden="1">#REF!</definedName>
    <definedName name="IQRIPOAF13" hidden="1">#REF!</definedName>
    <definedName name="IQRIPOAF14" localSheetId="4" hidden="1">[12]IPO!#REF!</definedName>
    <definedName name="IQRIPOAF14" localSheetId="8" hidden="1">[12]IPO!#REF!</definedName>
    <definedName name="IQRIPOAF14" localSheetId="9" hidden="1">[12]IPO!#REF!</definedName>
    <definedName name="IQRIPOAF14" localSheetId="10" hidden="1">[13]IPO!#REF!</definedName>
    <definedName name="IQRIPOAF14" localSheetId="3" hidden="1">[12]IPO!#REF!</definedName>
    <definedName name="IQRIPOAF14" hidden="1">[12]IPO!#REF!</definedName>
    <definedName name="IQRIPOAF15" localSheetId="4" hidden="1">#REF!</definedName>
    <definedName name="IQRIPOAF15" localSheetId="8" hidden="1">#REF!</definedName>
    <definedName name="IQRIPOAF15" localSheetId="9" hidden="1">#REF!</definedName>
    <definedName name="IQRIPOAF15" localSheetId="10" hidden="1">#REF!</definedName>
    <definedName name="IQRIPOAF15" localSheetId="3" hidden="1">#REF!</definedName>
    <definedName name="IQRIPOAF15" hidden="1">#REF!</definedName>
    <definedName name="IQRIPOAF16" localSheetId="4" hidden="1">#REF!</definedName>
    <definedName name="IQRIPOAF16" localSheetId="8" hidden="1">#REF!</definedName>
    <definedName name="IQRIPOAF16" localSheetId="9" hidden="1">#REF!</definedName>
    <definedName name="IQRIPOAF16" localSheetId="10" hidden="1">#REF!</definedName>
    <definedName name="IQRIPOAF16" localSheetId="3" hidden="1">#REF!</definedName>
    <definedName name="IQRIPOAF16" hidden="1">#REF!</definedName>
    <definedName name="IQRIPOAF17" localSheetId="4" hidden="1">#REF!</definedName>
    <definedName name="IQRIPOAF17" localSheetId="8" hidden="1">#REF!</definedName>
    <definedName name="IQRIPOAF17" localSheetId="9" hidden="1">#REF!</definedName>
    <definedName name="IQRIPOAF17" localSheetId="10" hidden="1">#REF!</definedName>
    <definedName name="IQRIPOAF17" localSheetId="3" hidden="1">#REF!</definedName>
    <definedName name="IQRIPOAF17" hidden="1">#REF!</definedName>
    <definedName name="IQRIPOAF18" localSheetId="4" hidden="1">#REF!</definedName>
    <definedName name="IQRIPOAF18" localSheetId="8" hidden="1">#REF!</definedName>
    <definedName name="IQRIPOAF18" localSheetId="9" hidden="1">#REF!</definedName>
    <definedName name="IQRIPOAF18" localSheetId="10" hidden="1">#REF!</definedName>
    <definedName name="IQRIPOAF18" localSheetId="3" hidden="1">#REF!</definedName>
    <definedName name="IQRIPOAF18" hidden="1">#REF!</definedName>
    <definedName name="IQRIPOAF19" localSheetId="4" hidden="1">#REF!</definedName>
    <definedName name="IQRIPOAF19" localSheetId="8" hidden="1">#REF!</definedName>
    <definedName name="IQRIPOAF19" localSheetId="9" hidden="1">#REF!</definedName>
    <definedName name="IQRIPOAF19" localSheetId="10" hidden="1">#REF!</definedName>
    <definedName name="IQRIPOAF19" localSheetId="3" hidden="1">#REF!</definedName>
    <definedName name="IQRIPOAF19" hidden="1">#REF!</definedName>
    <definedName name="IQRIPOAF20" localSheetId="4" hidden="1">#REF!</definedName>
    <definedName name="IQRIPOAF20" localSheetId="8" hidden="1">#REF!</definedName>
    <definedName name="IQRIPOAF20" localSheetId="9" hidden="1">#REF!</definedName>
    <definedName name="IQRIPOAF20" localSheetId="10" hidden="1">#REF!</definedName>
    <definedName name="IQRIPOAF20" localSheetId="3" hidden="1">#REF!</definedName>
    <definedName name="IQRIPOAF20" hidden="1">#REF!</definedName>
    <definedName name="IQRIPOAF21" localSheetId="4" hidden="1">#REF!</definedName>
    <definedName name="IQRIPOAF21" localSheetId="8" hidden="1">#REF!</definedName>
    <definedName name="IQRIPOAF21" localSheetId="9" hidden="1">#REF!</definedName>
    <definedName name="IQRIPOAF21" localSheetId="10" hidden="1">#REF!</definedName>
    <definedName name="IQRIPOAF21" localSheetId="3" hidden="1">#REF!</definedName>
    <definedName name="IQRIPOAF21" hidden="1">#REF!</definedName>
    <definedName name="IQRIPOAF22" localSheetId="4" hidden="1">#REF!</definedName>
    <definedName name="IQRIPOAF22" localSheetId="8" hidden="1">#REF!</definedName>
    <definedName name="IQRIPOAF22" localSheetId="9" hidden="1">#REF!</definedName>
    <definedName name="IQRIPOAF22" localSheetId="10" hidden="1">#REF!</definedName>
    <definedName name="IQRIPOAF22" localSheetId="3" hidden="1">#REF!</definedName>
    <definedName name="IQRIPOAF22" hidden="1">#REF!</definedName>
    <definedName name="IQRIPOAF23" localSheetId="4" hidden="1">#REF!</definedName>
    <definedName name="IQRIPOAF23" localSheetId="8" hidden="1">#REF!</definedName>
    <definedName name="IQRIPOAF23" localSheetId="9" hidden="1">#REF!</definedName>
    <definedName name="IQRIPOAF23" localSheetId="10" hidden="1">#REF!</definedName>
    <definedName name="IQRIPOAF23" localSheetId="3" hidden="1">#REF!</definedName>
    <definedName name="IQRIPOAF23" hidden="1">#REF!</definedName>
    <definedName name="IQRIPOAF24" localSheetId="4" hidden="1">#REF!</definedName>
    <definedName name="IQRIPOAF24" localSheetId="8" hidden="1">#REF!</definedName>
    <definedName name="IQRIPOAF24" localSheetId="9" hidden="1">#REF!</definedName>
    <definedName name="IQRIPOAF24" localSheetId="10" hidden="1">#REF!</definedName>
    <definedName name="IQRIPOAF24" localSheetId="3" hidden="1">#REF!</definedName>
    <definedName name="IQRIPOAF24" hidden="1">#REF!</definedName>
    <definedName name="IQRIPOAF25" localSheetId="4" hidden="1">[12]IPO!#REF!</definedName>
    <definedName name="IQRIPOAF25" localSheetId="8" hidden="1">[12]IPO!#REF!</definedName>
    <definedName name="IQRIPOAF25" localSheetId="9" hidden="1">[12]IPO!#REF!</definedName>
    <definedName name="IQRIPOAF25" localSheetId="10" hidden="1">[13]IPO!#REF!</definedName>
    <definedName name="IQRIPOAF25" localSheetId="3" hidden="1">[12]IPO!#REF!</definedName>
    <definedName name="IQRIPOAF25" hidden="1">[12]IPO!#REF!</definedName>
    <definedName name="IQRIPOAF26" localSheetId="4" hidden="1">#REF!</definedName>
    <definedName name="IQRIPOAF26" localSheetId="8" hidden="1">#REF!</definedName>
    <definedName name="IQRIPOAF26" localSheetId="9" hidden="1">#REF!</definedName>
    <definedName name="IQRIPOAF26" localSheetId="10" hidden="1">#REF!</definedName>
    <definedName name="IQRIPOAF26" localSheetId="3" hidden="1">#REF!</definedName>
    <definedName name="IQRIPOAF26" hidden="1">#REF!</definedName>
    <definedName name="IQRIPOAF27" localSheetId="4" hidden="1">#REF!</definedName>
    <definedName name="IQRIPOAF27" localSheetId="8" hidden="1">#REF!</definedName>
    <definedName name="IQRIPOAF27" localSheetId="9" hidden="1">#REF!</definedName>
    <definedName name="IQRIPOAF27" localSheetId="10" hidden="1">#REF!</definedName>
    <definedName name="IQRIPOAF27" localSheetId="3" hidden="1">#REF!</definedName>
    <definedName name="IQRIPOAF27" hidden="1">#REF!</definedName>
    <definedName name="IQRIPOAF28" localSheetId="4" hidden="1">#REF!</definedName>
    <definedName name="IQRIPOAF28" localSheetId="8" hidden="1">#REF!</definedName>
    <definedName name="IQRIPOAF28" localSheetId="9" hidden="1">#REF!</definedName>
    <definedName name="IQRIPOAF28" localSheetId="10" hidden="1">#REF!</definedName>
    <definedName name="IQRIPOAF28" localSheetId="3" hidden="1">#REF!</definedName>
    <definedName name="IQRIPOAF28" hidden="1">#REF!</definedName>
    <definedName name="IQRIPOAF29" localSheetId="4" hidden="1">[12]IPO!#REF!</definedName>
    <definedName name="IQRIPOAF29" localSheetId="8" hidden="1">[12]IPO!#REF!</definedName>
    <definedName name="IQRIPOAF29" localSheetId="9" hidden="1">[12]IPO!#REF!</definedName>
    <definedName name="IQRIPOAF29" localSheetId="10" hidden="1">[13]IPO!#REF!</definedName>
    <definedName name="IQRIPOAF29" localSheetId="3" hidden="1">[12]IPO!#REF!</definedName>
    <definedName name="IQRIPOAF29" hidden="1">[12]IPO!#REF!</definedName>
    <definedName name="IQRJ22" hidden="1">"$J$23:$J$42"</definedName>
    <definedName name="IQRK9" hidden="1">"$K$10:$K$1268"</definedName>
    <definedName name="IQRL3" hidden="1">"$L$4:$L$55"</definedName>
    <definedName name="IQRM22" hidden="1">"$M$23:$M$42"</definedName>
    <definedName name="IQRM3" hidden="1">"$M$4:$M$55"</definedName>
    <definedName name="IQRN3" hidden="1">"$N$4:$N$67"</definedName>
    <definedName name="IQROptionValI16" localSheetId="4" hidden="1">'[14]Option Val.'!#REF!</definedName>
    <definedName name="IQROptionValI16" localSheetId="8" hidden="1">'[14]Option Val.'!#REF!</definedName>
    <definedName name="IQROptionValI16" localSheetId="9" hidden="1">'[14]Option Val.'!#REF!</definedName>
    <definedName name="IQROptionValI16" localSheetId="10" hidden="1">'[14]Option Val.'!#REF!</definedName>
    <definedName name="IQROptionValI16" localSheetId="3" hidden="1">'[14]Option Val.'!#REF!</definedName>
    <definedName name="IQROptionValI16" hidden="1">'[14]Option Val.'!#REF!</definedName>
    <definedName name="IQRP22" hidden="1">"$P$23:$P$42"</definedName>
    <definedName name="IQRS22" hidden="1">"$S$23:$S$42"</definedName>
    <definedName name="IQRT22" hidden="1">"$T$23:$T$32"</definedName>
    <definedName name="IQRU14" hidden="1">"$U$15:$U$266"</definedName>
    <definedName name="IQRV22" hidden="1">"$V$23:$V$42"</definedName>
    <definedName name="IQRWACCCapIQBV10" localSheetId="4" hidden="1">#REF!</definedName>
    <definedName name="IQRWACCCapIQBV10" localSheetId="8" hidden="1">#REF!</definedName>
    <definedName name="IQRWACCCapIQBV10" localSheetId="9" hidden="1">#REF!</definedName>
    <definedName name="IQRWACCCapIQBV10" localSheetId="10" hidden="1">#REF!</definedName>
    <definedName name="IQRWACCCapIQBV10" localSheetId="3" hidden="1">#REF!</definedName>
    <definedName name="IQRWACCCapIQBV10" hidden="1">#REF!</definedName>
    <definedName name="IQRWACCCapIQCD10" localSheetId="4" hidden="1">#REF!</definedName>
    <definedName name="IQRWACCCapIQCD10" localSheetId="8" hidden="1">#REF!</definedName>
    <definedName name="IQRWACCCapIQCD10" localSheetId="9" hidden="1">#REF!</definedName>
    <definedName name="IQRWACCCapIQCD10" localSheetId="10" hidden="1">#REF!</definedName>
    <definedName name="IQRWACCCapIQCD10" localSheetId="3" hidden="1">#REF!</definedName>
    <definedName name="IQRWACCCapIQCD10" hidden="1">#REF!</definedName>
    <definedName name="IQRY22" hidden="1">"$Y$23:$Y$42"</definedName>
    <definedName name="IsColHidden" hidden="1">FALSE</definedName>
    <definedName name="IsLTMColHidden" hidden="1">FALSE</definedName>
    <definedName name="jjj" localSheetId="10" hidden="1">{#N/A,#N/A,FALSE,"Bakersfield PCs";#N/A,#N/A,FALSE,"Bremer PCs";#N/A,#N/A,FALSE,"Bakersfield Notebooks"}</definedName>
    <definedName name="jjj" hidden="1">{#N/A,#N/A,FALSE,"Bakersfield PCs";#N/A,#N/A,FALSE,"Bremer PCs";#N/A,#N/A,FALSE,"Bakersfield Notebooks"}</definedName>
    <definedName name="jlklkjlk" localSheetId="10" hidden="1">{#N/A,#N/A,FALSE,"Bakersfield PCs";#N/A,#N/A,FALSE,"Bremer PCs";#N/A,#N/A,FALSE,"Bakersfield Notebooks"}</definedName>
    <definedName name="jlklkjlk" hidden="1">{#N/A,#N/A,FALSE,"Bakersfield PCs";#N/A,#N/A,FALSE,"Bremer PCs";#N/A,#N/A,FALSE,"Bakersfield Notebooks"}</definedName>
    <definedName name="K2_WBEVMODE" hidden="1">-1</definedName>
    <definedName name="kin" localSheetId="4" hidden="1">#REF!</definedName>
    <definedName name="kin" localSheetId="8" hidden="1">#REF!</definedName>
    <definedName name="kin" localSheetId="9" hidden="1">#REF!</definedName>
    <definedName name="kin" localSheetId="10" hidden="1">#REF!</definedName>
    <definedName name="kin" localSheetId="3" hidden="1">#REF!</definedName>
    <definedName name="kin" hidden="1">#REF!</definedName>
    <definedName name="Ledger_Code" hidden="1">" "</definedName>
    <definedName name="Ledger_Selection" hidden="1">" "</definedName>
    <definedName name="Library" hidden="1">"a1"</definedName>
    <definedName name="limcount" hidden="1">2</definedName>
    <definedName name="lin" localSheetId="4" hidden="1">#REF!</definedName>
    <definedName name="lin" localSheetId="8" hidden="1">#REF!</definedName>
    <definedName name="lin" localSheetId="9" hidden="1">#REF!</definedName>
    <definedName name="lin" localSheetId="10" hidden="1">#REF!</definedName>
    <definedName name="lin" localSheetId="3" hidden="1">#REF!</definedName>
    <definedName name="lin" hidden="1">#REF!</definedName>
    <definedName name="ListOffset" hidden="1">1</definedName>
    <definedName name="MA" localSheetId="4" hidden="1">#REF!</definedName>
    <definedName name="MA" localSheetId="8" hidden="1">#REF!</definedName>
    <definedName name="MA" localSheetId="9" hidden="1">#REF!</definedName>
    <definedName name="MA" localSheetId="10" hidden="1">#REF!</definedName>
    <definedName name="MA" localSheetId="3" hidden="1">#REF!</definedName>
    <definedName name="MA" hidden="1">#REF!</definedName>
    <definedName name="mb_inputLocation" localSheetId="4" hidden="1">#REF!</definedName>
    <definedName name="mb_inputLocation" localSheetId="8" hidden="1">#REF!</definedName>
    <definedName name="mb_inputLocation" localSheetId="9" hidden="1">#REF!</definedName>
    <definedName name="mb_inputLocation" localSheetId="10" hidden="1">#REF!</definedName>
    <definedName name="mb_inputLocation" localSheetId="3" hidden="1">#REF!</definedName>
    <definedName name="mb_inputLocation" hidden="1">#REF!</definedName>
    <definedName name="medmult" localSheetId="4" hidden="1">#REF!</definedName>
    <definedName name="medmult" localSheetId="8" hidden="1">#REF!</definedName>
    <definedName name="medmult" localSheetId="9" hidden="1">#REF!</definedName>
    <definedName name="medmult" localSheetId="10" hidden="1">#REF!</definedName>
    <definedName name="medmult" localSheetId="3" hidden="1">#REF!</definedName>
    <definedName name="medmult" hidden="1">#REF!</definedName>
    <definedName name="MLNK095f577ec7854aeb98efbc368cd2c535" localSheetId="4" hidden="1">#REF!</definedName>
    <definedName name="MLNK095f577ec7854aeb98efbc368cd2c535" localSheetId="8" hidden="1">#REF!</definedName>
    <definedName name="MLNK095f577ec7854aeb98efbc368cd2c535" localSheetId="9" hidden="1">#REF!</definedName>
    <definedName name="MLNK095f577ec7854aeb98efbc368cd2c535" localSheetId="10" hidden="1">#REF!</definedName>
    <definedName name="MLNK095f577ec7854aeb98efbc368cd2c535" localSheetId="3" hidden="1">#REF!</definedName>
    <definedName name="MLNK095f577ec7854aeb98efbc368cd2c535" hidden="1">#REF!</definedName>
    <definedName name="Month_ID" hidden="1">" "</definedName>
    <definedName name="New" localSheetId="4" hidden="1">{#N/A,#N/A,FALSE,"Title Page";#N/A,#N/A,FALSE,"Conclusions";#N/A,#N/A,FALSE,"Assum.";#N/A,#N/A,FALSE,"Sun  DCF-WC-Dep";#N/A,#N/A,FALSE,"MarketValue";#N/A,#N/A,FALSE,"BalSheet";#N/A,#N/A,FALSE,"WACC";#N/A,#N/A,FALSE,"PC+ Info.";#N/A,#N/A,FALSE,"PC+Info_2"}</definedName>
    <definedName name="New" localSheetId="7" hidden="1">{#N/A,#N/A,FALSE,"Title Page";#N/A,#N/A,FALSE,"Conclusions";#N/A,#N/A,FALSE,"Assum.";#N/A,#N/A,FALSE,"Sun  DCF-WC-Dep";#N/A,#N/A,FALSE,"MarketValue";#N/A,#N/A,FALSE,"BalSheet";#N/A,#N/A,FALSE,"WACC";#N/A,#N/A,FALSE,"PC+ Info.";#N/A,#N/A,FALSE,"PC+Info_2"}</definedName>
    <definedName name="New" localSheetId="8" hidden="1">{#N/A,#N/A,FALSE,"Title Page";#N/A,#N/A,FALSE,"Conclusions";#N/A,#N/A,FALSE,"Assum.";#N/A,#N/A,FALSE,"Sun  DCF-WC-Dep";#N/A,#N/A,FALSE,"MarketValue";#N/A,#N/A,FALSE,"BalSheet";#N/A,#N/A,FALSE,"WACC";#N/A,#N/A,FALSE,"PC+ Info.";#N/A,#N/A,FALSE,"PC+Info_2"}</definedName>
    <definedName name="New" localSheetId="9" hidden="1">{#N/A,#N/A,FALSE,"Title Page";#N/A,#N/A,FALSE,"Conclusions";#N/A,#N/A,FALSE,"Assum.";#N/A,#N/A,FALSE,"Sun  DCF-WC-Dep";#N/A,#N/A,FALSE,"MarketValue";#N/A,#N/A,FALSE,"BalSheet";#N/A,#N/A,FALSE,"WACC";#N/A,#N/A,FALSE,"PC+ Info.";#N/A,#N/A,FALSE,"PC+Info_2"}</definedName>
    <definedName name="New" localSheetId="10" hidden="1">{#N/A,#N/A,FALSE,"Title Page";#N/A,#N/A,FALSE,"Conclusions";#N/A,#N/A,FALSE,"Assum.";#N/A,#N/A,FALSE,"Sun  DCF-WC-Dep";#N/A,#N/A,FALSE,"MarketValue";#N/A,#N/A,FALSE,"BalSheet";#N/A,#N/A,FALSE,"WACC";#N/A,#N/A,FALSE,"PC+ Info.";#N/A,#N/A,FALSE,"PC+Info_2"}</definedName>
    <definedName name="New" localSheetId="3" hidden="1">{#N/A,#N/A,FALSE,"Title Page";#N/A,#N/A,FALSE,"Conclusions";#N/A,#N/A,FALSE,"Assum.";#N/A,#N/A,FALSE,"Sun  DCF-WC-Dep";#N/A,#N/A,FALSE,"MarketValue";#N/A,#N/A,FALSE,"BalSheet";#N/A,#N/A,FALSE,"WACC";#N/A,#N/A,FALSE,"PC+ Info.";#N/A,#N/A,FALSE,"PC+Info_2"}</definedName>
    <definedName name="New" localSheetId="6" hidden="1">{#N/A,#N/A,FALSE,"Title Page";#N/A,#N/A,FALSE,"Conclusions";#N/A,#N/A,FALSE,"Assum.";#N/A,#N/A,FALSE,"Sun  DCF-WC-Dep";#N/A,#N/A,FALSE,"MarketValue";#N/A,#N/A,FALSE,"BalSheet";#N/A,#N/A,FALSE,"WACC";#N/A,#N/A,FALSE,"PC+ Info.";#N/A,#N/A,FALSE,"PC+Info_2"}</definedName>
    <definedName name="New" localSheetId="5" hidden="1">{#N/A,#N/A,FALSE,"Title Page";#N/A,#N/A,FALSE,"Conclusions";#N/A,#N/A,FALSE,"Assum.";#N/A,#N/A,FALSE,"Sun  DCF-WC-Dep";#N/A,#N/A,FALSE,"MarketValue";#N/A,#N/A,FALSE,"BalSheet";#N/A,#N/A,FALSE,"WACC";#N/A,#N/A,FALSE,"PC+ Info.";#N/A,#N/A,FALSE,"PC+Info_2"}</definedName>
    <definedName name="New" localSheetId="11" hidden="1">{#N/A,#N/A,FALSE,"Title Page";#N/A,#N/A,FALSE,"Conclusions";#N/A,#N/A,FALSE,"Assum.";#N/A,#N/A,FALSE,"Sun  DCF-WC-Dep";#N/A,#N/A,FALSE,"MarketValue";#N/A,#N/A,FALSE,"BalSheet";#N/A,#N/A,FALSE,"WACC";#N/A,#N/A,FALSE,"PC+ Info.";#N/A,#N/A,FALSE,"PC+Info_2"}</definedName>
    <definedName name="New" hidden="1">{#N/A,#N/A,FALSE,"Title Page";#N/A,#N/A,FALSE,"Conclusions";#N/A,#N/A,FALSE,"Assum.";#N/A,#N/A,FALSE,"Sun  DCF-WC-Dep";#N/A,#N/A,FALSE,"MarketValue";#N/A,#N/A,FALSE,"BalSheet";#N/A,#N/A,FALSE,"WACC";#N/A,#N/A,FALSE,"PC+ Info.";#N/A,#N/A,FALSE,"PC+Info_2"}</definedName>
    <definedName name="newJSECcustomer" localSheetId="10" hidden="1">{#N/A,#N/A,FALSE,"Title Page";#N/A,#N/A,FALSE,"Conclusions";#N/A,#N/A,FALSE,"Assum.";#N/A,#N/A,FALSE,"Sun  DCF-WC-Dep";#N/A,#N/A,FALSE,"MarketValue";#N/A,#N/A,FALSE,"BalSheet";#N/A,#N/A,FALSE,"WACC";#N/A,#N/A,FALSE,"PC+ Info.";#N/A,#N/A,FALSE,"PC+Info_2"}</definedName>
    <definedName name="newJSECcustomer" hidden="1">{#N/A,#N/A,FALSE,"Title Page";#N/A,#N/A,FALSE,"Conclusions";#N/A,#N/A,FALSE,"Assum.";#N/A,#N/A,FALSE,"Sun  DCF-WC-Dep";#N/A,#N/A,FALSE,"MarketValue";#N/A,#N/A,FALSE,"BalSheet";#N/A,#N/A,FALSE,"WACC";#N/A,#N/A,FALSE,"PC+ Info.";#N/A,#N/A,FALSE,"PC+Info_2"}</definedName>
    <definedName name="nn" localSheetId="10" hidden="1">{#N/A,#N/A,FALSE,"Bakersfield PCs";#N/A,#N/A,FALSE,"Bremer PCs";#N/A,#N/A,FALSE,"Bakersfield Notebooks"}</definedName>
    <definedName name="nn" hidden="1">{#N/A,#N/A,FALSE,"Bakersfield PCs";#N/A,#N/A,FALSE,"Bremer PCs";#N/A,#N/A,FALSE,"Bakersfield Notebooks"}</definedName>
    <definedName name="o" localSheetId="10" hidden="1">{#N/A,#N/A,FALSE,"New Depr Sch-150% DB";#N/A,#N/A,FALSE,"Cash Flows RLP";#N/A,#N/A,FALSE,"IRR";#N/A,#N/A,FALSE,"Proforma IS";#N/A,#N/A,FALSE,"Assumptions"}</definedName>
    <definedName name="o" hidden="1">{#N/A,#N/A,FALSE,"New Depr Sch-150% DB";#N/A,#N/A,FALSE,"Cash Flows RLP";#N/A,#N/A,FALSE,"IRR";#N/A,#N/A,FALSE,"Proforma IS";#N/A,#N/A,FALSE,"Assumptions"}</definedName>
    <definedName name="o_1" hidden="1">{#N/A,#N/A,FALSE,"New Depr Sch-150% DB";#N/A,#N/A,FALSE,"Cash Flows RLP";#N/A,#N/A,FALSE,"IRR";#N/A,#N/A,FALSE,"Proforma IS";#N/A,#N/A,FALSE,"Assumptions"}</definedName>
    <definedName name="ok" localSheetId="10" hidden="1">{"Opsys",#N/A,FALSE,"NPV_OPsys";"NT",#N/A,FALSE,"NPV_NT";"DevP",#N/A,FALSE,"NPV_DevPdt";"Office",#N/A,FALSE,"NPV_Office"}</definedName>
    <definedName name="ok" hidden="1">{"Opsys",#N/A,FALSE,"NPV_OPsys";"NT",#N/A,FALSE,"NPV_NT";"DevP",#N/A,FALSE,"NPV_DevPdt";"Office",#N/A,FALSE,"NPV_Office"}</definedName>
    <definedName name="oooo" localSheetId="10" hidden="1">{#N/A,#N/A,FALSE,"Bakersfield PCs";#N/A,#N/A,FALSE,"Bremer PCs";#N/A,#N/A,FALSE,"Bakersfield Notebooks"}</definedName>
    <definedName name="oooo" hidden="1">{#N/A,#N/A,FALSE,"Bakersfield PCs";#N/A,#N/A,FALSE,"Bremer PCs";#N/A,#N/A,FALSE,"Bakersfield Notebooks"}</definedName>
    <definedName name="Ownership" localSheetId="4" hidden="1">OFFSET([11]!Data.Top.Left,1,0)</definedName>
    <definedName name="Ownership" localSheetId="8" hidden="1">OFFSET([11]!Data.Top.Left,1,0)</definedName>
    <definedName name="Ownership" localSheetId="9" hidden="1">OFFSET([11]!Data.Top.Left,1,0)</definedName>
    <definedName name="Ownership" localSheetId="10" hidden="1">OFFSET([0]!Data.Top.Left,1,0)</definedName>
    <definedName name="Ownership" localSheetId="3" hidden="1">OFFSET([11]!Data.Top.Left,1,0)</definedName>
    <definedName name="Ownership" hidden="1">OFFSET([11]!Data.Top.Left,1,0)</definedName>
    <definedName name="PCCnewcustomer" localSheetId="10" hidden="1">{#N/A,#N/A,FALSE,"Title Page";#N/A,#N/A,FALSE,"Conclusions";#N/A,#N/A,FALSE,"Assum.";#N/A,#N/A,FALSE,"Sun  DCF-WC-Dep";#N/A,#N/A,FALSE,"MarketValue";#N/A,#N/A,FALSE,"BalSheet";#N/A,#N/A,FALSE,"WACC";#N/A,#N/A,FALSE,"PC+ Info.";#N/A,#N/A,FALSE,"PC+Info_2"}</definedName>
    <definedName name="PCCnewcustomer" hidden="1">{#N/A,#N/A,FALSE,"Title Page";#N/A,#N/A,FALSE,"Conclusions";#N/A,#N/A,FALSE,"Assum.";#N/A,#N/A,FALSE,"Sun  DCF-WC-Dep";#N/A,#N/A,FALSE,"MarketValue";#N/A,#N/A,FALSE,"BalSheet";#N/A,#N/A,FALSE,"WACC";#N/A,#N/A,FALSE,"PC+ Info.";#N/A,#N/A,FALSE,"PC+Info_2"}</definedName>
    <definedName name="ppp" localSheetId="10" hidden="1">{#N/A,#N/A,FALSE,"Bakersfield PCs";#N/A,#N/A,FALSE,"Bremer PCs";#N/A,#N/A,FALSE,"Bakersfield Notebooks"}</definedName>
    <definedName name="ppp" hidden="1">{#N/A,#N/A,FALSE,"Bakersfield PCs";#N/A,#N/A,FALSE,"Bremer PCs";#N/A,#N/A,FALSE,"Bakersfield Notebooks"}</definedName>
    <definedName name="_xlnm.Print_Area" localSheetId="4">'9 Factor Discount Analysis'!$A$1:$K$23</definedName>
    <definedName name="_xlnm.Print_Area" localSheetId="7">'Asset Vol_2'!$A$1:$Z$41</definedName>
    <definedName name="_xlnm.Print_Area" localSheetId="8">'Asset Vol_3'!$A$1:$Z$41</definedName>
    <definedName name="_xlnm.Print_Area" localSheetId="9">'Asset Vol_4'!$A$1:$Z$41</definedName>
    <definedName name="_xlnm.Print_Area" localSheetId="10">'Control Premium Summary'!$A$1:$N$56</definedName>
    <definedName name="_xlnm.Print_Area" localSheetId="3">'Discount Summary'!$A$1:$H$19</definedName>
    <definedName name="_xlnm.Print_Area" localSheetId="6">'DLOM Restricted Stock Studies'!$A$1:$K$21</definedName>
    <definedName name="_xlnm.Print_Area" localSheetId="5">'DLOM_Quantitative Methods'!$A$1:$I$53</definedName>
    <definedName name="_xlnm.Print_Area" localSheetId="12">'Equity Vol'!$A$1:$L$30</definedName>
    <definedName name="_xlnm.Print_Area" localSheetId="14">'Equity Volatility - Output'!$A$1:$P$49</definedName>
    <definedName name="_xlnm.Print_Area" localSheetId="1">Outline!$A$1:$K$18</definedName>
    <definedName name="_xlnm.Print_Area" localSheetId="11">'Risk-Free Rates'!$A$1:$G$49</definedName>
    <definedName name="_xlnm.Print_Area" localSheetId="0">Title!$A$1:$G$24</definedName>
    <definedName name="_xlnm.Print_Area">#N/A</definedName>
    <definedName name="Print_Area_Reset" localSheetId="4">OFFSET(Full_Print,0,0,[0]!Last_Row)</definedName>
    <definedName name="Print_Area_Reset" localSheetId="8">OFFSET(Full_Print,0,0,[0]!Last_Row)</definedName>
    <definedName name="Print_Area_Reset" localSheetId="9">OFFSET(Full_Print,0,0,[0]!Last_Row)</definedName>
    <definedName name="Print_Area_Reset" localSheetId="10">OFFSET(Full_Print,0,0,[0]!Last_Row)</definedName>
    <definedName name="Print_Area_Reset" localSheetId="3">OFFSET(Full_Print,0,0,[0]!Last_Row)</definedName>
    <definedName name="Print_Area_Reset">OFFSET(Full_Print,0,0,Last_Row)</definedName>
    <definedName name="_xlnm.Print_Titles" localSheetId="4">'9 Factor Discount Analysis'!$1:$5</definedName>
    <definedName name="_xlnm.Print_Titles" localSheetId="7">'Asset Vol_2'!$1:$10</definedName>
    <definedName name="_xlnm.Print_Titles" localSheetId="8">'Asset Vol_3'!$1:$10</definedName>
    <definedName name="_xlnm.Print_Titles" localSheetId="9">'Asset Vol_4'!$1:$10</definedName>
    <definedName name="_xlnm.Print_Titles" localSheetId="10">'Control Premium Summary'!$1:$24</definedName>
    <definedName name="_xlnm.Print_Titles" localSheetId="3">'Discount Summary'!$1:$5</definedName>
    <definedName name="_xlnm.Print_Titles" localSheetId="6">'DLOM Restricted Stock Studies'!$1:$5</definedName>
    <definedName name="_xlnm.Print_Titles" localSheetId="5">'DLOM_Quantitative Methods'!$1:$5</definedName>
    <definedName name="_xlnm.Print_Titles" localSheetId="12">'Equity Vol'!$1:$9</definedName>
    <definedName name="_xlnm.Print_Titles" localSheetId="1">Outline!$1:$6</definedName>
    <definedName name="_xlnm.Print_Titles" localSheetId="11">'Risk-Free Rates'!$1:$20</definedName>
    <definedName name="q" localSheetId="10" hidden="1">{#N/A,#N/A,FALSE,"Bakersfield PCs";#N/A,#N/A,FALSE,"Bremer PCs";#N/A,#N/A,FALSE,"Bakersfield Notebooks"}</definedName>
    <definedName name="q" hidden="1">{#N/A,#N/A,FALSE,"Bakersfield PCs";#N/A,#N/A,FALSE,"Bremer PCs";#N/A,#N/A,FALSE,"Bakersfield Notebooks"}</definedName>
    <definedName name="rarte" localSheetId="10" hidden="1">{#N/A,#N/A,FALSE,"Bakersfield PCs";#N/A,#N/A,FALSE,"Bremer PCs";#N/A,#N/A,FALSE,"Bakersfield Notebooks"}</definedName>
    <definedName name="rarte" hidden="1">{#N/A,#N/A,FALSE,"Bakersfield PCs";#N/A,#N/A,FALSE,"Bremer PCs";#N/A,#N/A,FALSE,"Bakersfield Notebooks"}</definedName>
    <definedName name="reality" localSheetId="10" hidden="1">{#N/A,#N/A,FALSE,"Title Page";#N/A,#N/A,FALSE,"Conclusions";#N/A,#N/A,FALSE,"Assum.";#N/A,#N/A,FALSE,"Sun  DCF-WC-Dep";#N/A,#N/A,FALSE,"MarketValue";#N/A,#N/A,FALSE,"BalSheet";#N/A,#N/A,FALSE,"WACC";#N/A,#N/A,FALSE,"PC+ Info.";#N/A,#N/A,FALSE,"PC+Info_2"}</definedName>
    <definedName name="reality" hidden="1">{#N/A,#N/A,FALSE,"Title Page";#N/A,#N/A,FALSE,"Conclusions";#N/A,#N/A,FALSE,"Assum.";#N/A,#N/A,FALSE,"Sun  DCF-WC-Dep";#N/A,#N/A,FALSE,"MarketValue";#N/A,#N/A,FALSE,"BalSheet";#N/A,#N/A,FALSE,"WACC";#N/A,#N/A,FALSE,"PC+ Info.";#N/A,#N/A,FALSE,"PC+Info_2"}</definedName>
    <definedName name="regmult" localSheetId="4" hidden="1">#REF!</definedName>
    <definedName name="regmult" localSheetId="8" hidden="1">#REF!</definedName>
    <definedName name="regmult" localSheetId="9" hidden="1">#REF!</definedName>
    <definedName name="regmult" localSheetId="10" hidden="1">#REF!</definedName>
    <definedName name="regmult" localSheetId="3" hidden="1">#REF!</definedName>
    <definedName name="regmult" hidden="1">#REF!</definedName>
    <definedName name="relativevalue2" localSheetId="10" hidden="1">{#N/A,#N/A,FALSE,"Bakersfield PCs";#N/A,#N/A,FALSE,"Bremer PCs";#N/A,#N/A,FALSE,"Bakersfield Notebooks"}</definedName>
    <definedName name="relativevalue2" hidden="1">{#N/A,#N/A,FALSE,"Bakersfield PCs";#N/A,#N/A,FALSE,"Bremer PCs";#N/A,#N/A,FALSE,"Bakersfield Notebooks"}</definedName>
    <definedName name="relativevalue3" localSheetId="10" hidden="1">{#N/A,#N/A,FALSE,"Bakersfield PCs";#N/A,#N/A,FALSE,"Bremer PCs";#N/A,#N/A,FALSE,"Bakersfield Notebooks"}</definedName>
    <definedName name="relativevalue3" hidden="1">{#N/A,#N/A,FALSE,"Bakersfield PCs";#N/A,#N/A,FALSE,"Bremer PCs";#N/A,#N/A,FALSE,"Bakersfield Notebooks"}</definedName>
    <definedName name="Report_Divisor" hidden="1">1000</definedName>
    <definedName name="Report_Divisor_000" hidden="1">1000000</definedName>
    <definedName name="Report_ID" hidden="1">"AL"</definedName>
    <definedName name="ReportGroup" hidden="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r" localSheetId="10" hidden="1">{#N/A,#N/A,FALSE,"Bakersfield PCs";#N/A,#N/A,FALSE,"Bremer PCs";#N/A,#N/A,FALSE,"Bakersfield Notebooks"}</definedName>
    <definedName name="rr" hidden="1">{#N/A,#N/A,FALSE,"Bakersfield PCs";#N/A,#N/A,FALSE,"Bremer PCs";#N/A,#N/A,FALSE,"Bakersfield Notebooks"}</definedName>
    <definedName name="SAPBEXrevision" hidden="1">1</definedName>
    <definedName name="SAPBEXsysID" localSheetId="10" hidden="1">"PBL"</definedName>
    <definedName name="SAPBEXsysID" hidden="1">"WBP"</definedName>
    <definedName name="SAPBEXwbID" localSheetId="10" hidden="1">"3JWXP1JGVR0V27DB0INATEIH7"</definedName>
    <definedName name="SAPBEXwbID" hidden="1">"46FXCF2VEJGXTVSCM8SQ5T6I0"</definedName>
    <definedName name="SAPFuncF4Help" localSheetId="4" hidden="1">Main.SAPF4Help()</definedName>
    <definedName name="SAPFuncF4Help" localSheetId="8" hidden="1">Main.SAPF4Help()</definedName>
    <definedName name="SAPFuncF4Help" localSheetId="9" hidden="1">Main.SAPF4Help()</definedName>
    <definedName name="SAPFuncF4Help" localSheetId="10" hidden="1">Main.SAPF4Help()</definedName>
    <definedName name="SAPFuncF4Help" localSheetId="3" hidden="1">Main.SAPF4Help()</definedName>
    <definedName name="SAPFuncF4Help" hidden="1">Main.SAPF4Help()</definedName>
    <definedName name="Sc" localSheetId="4" hidden="1">#REF!</definedName>
    <definedName name="Sc" localSheetId="8" hidden="1">#REF!</definedName>
    <definedName name="Sc" localSheetId="9" hidden="1">#REF!</definedName>
    <definedName name="Sc" localSheetId="10" hidden="1">#REF!</definedName>
    <definedName name="Sc" localSheetId="3" hidden="1">#REF!</definedName>
    <definedName name="Sc" hidden="1">#REF!</definedName>
    <definedName name="Science" localSheetId="10" hidden="1">{#N/A,#N/A,FALSE,"DCF Cov";#N/A,#N/A,FALSE,"dcf"}</definedName>
    <definedName name="Science" hidden="1">{#N/A,#N/A,FALSE,"DCF Cov";#N/A,#N/A,FALSE,"dcf"}</definedName>
    <definedName name="sdf" localSheetId="10" hidden="1">{#N/A,"A",FALSE,"DCF"}</definedName>
    <definedName name="sdf" hidden="1">{#N/A,"A",FALSE,"DCF"}</definedName>
    <definedName name="sencount" hidden="1">2</definedName>
    <definedName name="Sheeet1" localSheetId="10" hidden="1">{#N/A,#N/A,FALSE,"Summary";#N/A,#N/A,FALSE,"Proforma";#N/A,#N/A,FALSE,"Tx"}</definedName>
    <definedName name="Sheeet1" hidden="1">{#N/A,#N/A,FALSE,"Summary";#N/A,#N/A,FALSE,"Proforma";#N/A,#N/A,FALSE,"Tx"}</definedName>
    <definedName name="sheet" localSheetId="10" hidden="1">{#N/A,#N/A,FALSE,"Summary";#N/A,#N/A,FALSE,"Proforma";#N/A,#N/A,FALSE,"Tx"}</definedName>
    <definedName name="sheet" hidden="1">{#N/A,#N/A,FALSE,"Summary";#N/A,#N/A,FALSE,"Proforma";#N/A,#N/A,FALSE,"Tx"}</definedName>
    <definedName name="sheet1" localSheetId="10" hidden="1">{#N/A,#N/A,FALSE,"Summary";#N/A,#N/A,FALSE,"Proforma";#N/A,#N/A,FALSE,"Tx"}</definedName>
    <definedName name="sheet1" hidden="1">{#N/A,#N/A,FALSE,"Summary";#N/A,#N/A,FALSE,"Proforma";#N/A,#N/A,FALSE,"Tx"}</definedName>
    <definedName name="solver_lin" hidden="1">0</definedName>
    <definedName name="solver_num" hidden="1">0</definedName>
    <definedName name="solver_typ" hidden="1">3</definedName>
    <definedName name="solver_val" hidden="1">0</definedName>
    <definedName name="Ss" localSheetId="10" hidden="1">{#N/A,#N/A,FALSE,"Model";#N/A,#N/A,FALSE,"Gen Pts &amp; Rts 2000";#N/A,#N/A,FALSE,"AcqsAss";#N/A,#N/A,FALSE,"Acqs &amp; De Novos"}</definedName>
    <definedName name="Ss" hidden="1">{#N/A,#N/A,FALSE,"Model";#N/A,#N/A,FALSE,"Gen Pts &amp; Rts 2000";#N/A,#N/A,FALSE,"AcqsAss";#N/A,#N/A,FALSE,"Acqs &amp; De Novos"}</definedName>
    <definedName name="steve" localSheetId="10" hidden="1">{#N/A,#N/A,FALSE,"Bakersfield PCs";#N/A,#N/A,FALSE,"Bremer PCs";#N/A,#N/A,FALSE,"Bakersfield Notebooks"}</definedName>
    <definedName name="steve" hidden="1">{#N/A,#N/A,FALSE,"Bakersfield PCs";#N/A,#N/A,FALSE,"Bremer PCs";#N/A,#N/A,FALSE,"Bakersfield Notebooks"}</definedName>
    <definedName name="steve2" localSheetId="10" hidden="1">{#N/A,#N/A,FALSE,"Bakersfield PCs";#N/A,#N/A,FALSE,"Bremer PCs";#N/A,#N/A,FALSE,"Bakersfield Notebooks"}</definedName>
    <definedName name="steve2" hidden="1">{#N/A,#N/A,FALSE,"Bakersfield PCs";#N/A,#N/A,FALSE,"Bremer PCs";#N/A,#N/A,FALSE,"Bakersfield Notebooks"}</definedName>
    <definedName name="suckit" localSheetId="4" hidden="1">#REF!</definedName>
    <definedName name="suckit" localSheetId="8" hidden="1">#REF!</definedName>
    <definedName name="suckit" localSheetId="9" hidden="1">#REF!</definedName>
    <definedName name="suckit" localSheetId="10" hidden="1">#REF!</definedName>
    <definedName name="suckit" localSheetId="3" hidden="1">#REF!</definedName>
    <definedName name="suckit" hidden="1">#REF!</definedName>
    <definedName name="SuppressPressed" hidden="1">FALSE</definedName>
    <definedName name="t" localSheetId="10" hidden="1">{"bs",#N/A,FALSE,"SCF"}</definedName>
    <definedName name="t" hidden="1">{"bs",#N/A,FALSE,"SCF"}</definedName>
    <definedName name="tejhre" localSheetId="10" hidden="1">{#N/A,#N/A,FALSE,"Bakersfield PCs";#N/A,#N/A,FALSE,"Bremer PCs";#N/A,#N/A,FALSE,"Bakersfield Notebooks"}</definedName>
    <definedName name="tejhre" hidden="1">{#N/A,#N/A,FALSE,"Bakersfield PCs";#N/A,#N/A,FALSE,"Bremer PCs";#N/A,#N/A,FALSE,"Bakersfield Notebooks"}</definedName>
    <definedName name="temp" localSheetId="10" hidden="1">{#N/A,#N/A,FALSE,"Bakersfield PCs";#N/A,#N/A,FALSE,"Bremer PCs";#N/A,#N/A,FALSE,"Bakersfield Notebooks"}</definedName>
    <definedName name="temp" hidden="1">{#N/A,#N/A,FALSE,"Bakersfield PCs";#N/A,#N/A,FALSE,"Bremer PCs";#N/A,#N/A,FALSE,"Bakersfield Notebooks"}</definedName>
    <definedName name="test" localSheetId="10" hidden="1">{#N/A,#N/A,TRUE,"Tax";#N/A,#N/A,TRUE,"Structure";#N/A,#N/A,TRUE,"Accounting";#N/A,#N/A,TRUE,"Equipment"}</definedName>
    <definedName name="test" hidden="1">{#N/A,#N/A,TRUE,"Tax";#N/A,#N/A,TRUE,"Structure";#N/A,#N/A,TRUE,"Accounting";#N/A,#N/A,TRUE,"Equipment"}</definedName>
    <definedName name="TextRefCopyRangeCount" hidden="1">4</definedName>
    <definedName name="Time" hidden="1">"b1"</definedName>
    <definedName name="Toggle_DB_Location" hidden="1">2</definedName>
    <definedName name="Toggle_Freeze_View" hidden="1">0</definedName>
    <definedName name="totcap" localSheetId="4" hidden="1">#REF!,#REF!,#REF!,#REF!</definedName>
    <definedName name="totcap" localSheetId="8" hidden="1">#REF!,#REF!,#REF!,#REF!</definedName>
    <definedName name="totcap" localSheetId="9" hidden="1">#REF!,#REF!,#REF!,#REF!</definedName>
    <definedName name="totcap" localSheetId="10" hidden="1">#REF!,#REF!,#REF!,#REF!</definedName>
    <definedName name="totcap" localSheetId="3" hidden="1">#REF!,#REF!,#REF!,#REF!</definedName>
    <definedName name="totcap" hidden="1">#REF!,#REF!,#REF!,#REF!</definedName>
    <definedName name="Typist" hidden="1">"b1"</definedName>
    <definedName name="Version" hidden="1">"a1"</definedName>
    <definedName name="Version_Nbr" hidden="1">1</definedName>
    <definedName name="VersionNumber" hidden="1">"4.6.6278"</definedName>
    <definedName name="willie" localSheetId="10" hidden="1">{#N/A,#N/A,FALSE,"Bakersfield PCs";#N/A,#N/A,FALSE,"Bremer PCs";#N/A,#N/A,FALSE,"Bakersfield Notebooks"}</definedName>
    <definedName name="willie" hidden="1">{#N/A,#N/A,FALSE,"Bakersfield PCs";#N/A,#N/A,FALSE,"Bremer PCs";#N/A,#N/A,FALSE,"Bakersfield Notebooks"}</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_.Sites." localSheetId="10" hidden="1">{#N/A,#N/A,FALSE,"Bakersfield PCs";#N/A,#N/A,FALSE,"Bremer PCs";#N/A,#N/A,FALSE,"Bakersfield Notebooks"}</definedName>
    <definedName name="wrn.All._.Sites." hidden="1">{#N/A,#N/A,FALSE,"Bakersfield PCs";#N/A,#N/A,FALSE,"Bremer PCs";#N/A,#N/A,FALSE,"Bakersfield Notebooks"}</definedName>
    <definedName name="wrn.BAC" localSheetId="10" hidden="1">{#N/A,#N/A,TRUE,"Tax";#N/A,#N/A,TRUE,"Structure";#N/A,#N/A,TRUE,"Accounting";#N/A,#N/A,TRUE,"Equipment"}</definedName>
    <definedName name="wrn.BAC" hidden="1">{#N/A,#N/A,TRUE,"Tax";#N/A,#N/A,TRUE,"Structure";#N/A,#N/A,TRUE,"Accounting";#N/A,#N/A,TRUE,"Equipment"}</definedName>
    <definedName name="wrn.balance._.sheet." localSheetId="10" hidden="1">{"bs",#N/A,FALSE,"SCF"}</definedName>
    <definedName name="wrn.balance._.sheet." hidden="1">{"bs",#N/A,FALSE,"SCF"}</definedName>
    <definedName name="wrn.Basic._.Report." localSheetId="10" hidden="1">{#N/A,#N/A,FALSE,"New Depr Sch-150% DB";#N/A,#N/A,FALSE,"Cash Flows RLP";#N/A,#N/A,FALSE,"IRR";#N/A,#N/A,FALSE,"Proforma IS";#N/A,#N/A,FALSE,"Assumptions"}</definedName>
    <definedName name="wrn.Basic._.Report." hidden="1">{#N/A,#N/A,FALSE,"New Depr Sch-150% DB";#N/A,#N/A,FALSE,"Cash Flows RLP";#N/A,#N/A,FALSE,"IRR";#N/A,#N/A,FALSE,"Proforma IS";#N/A,#N/A,FALSE,"Assumptions"}</definedName>
    <definedName name="wrn.Basic._.Report.1" hidden="1">{#N/A,#N/A,FALSE,"New Depr Sch-150% DB";#N/A,#N/A,FALSE,"Cash Flows RLP";#N/A,#N/A,FALSE,"IRR";#N/A,#N/A,FALSE,"Proforma IS";#N/A,#N/A,FALSE,"Assumptions"}</definedName>
    <definedName name="wrn.BoeingAircraftChecklist." localSheetId="10" hidden="1">{#N/A,#N/A,TRUE,"Tax";#N/A,#N/A,TRUE,"Structure";#N/A,#N/A,TRUE,"Accounting";#N/A,#N/A,TRUE,"Equipment"}</definedName>
    <definedName name="wrn.BoeingAircraftChecklist." hidden="1">{#N/A,#N/A,TRUE,"Tax";#N/A,#N/A,TRUE,"Structure";#N/A,#N/A,TRUE,"Accounting";#N/A,#N/A,TRUE,"Equipment"}</definedName>
    <definedName name="wrn.brisbane." localSheetId="10" hidden="1">{#N/A,#N/A,FALSE,"LOAN";#N/A,#N/A,FALSE,"linereclass";#N/A,#N/A,FALSE,"softdraw"}</definedName>
    <definedName name="wrn.brisbane." hidden="1">{#N/A,#N/A,FALSE,"LOAN";#N/A,#N/A,FALSE,"linereclass";#N/A,#N/A,FALSE,"softdraw"}</definedName>
    <definedName name="wrn.clientcopy." localSheetId="10"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localSheetId="10" hidden="1">{#N/A,#N/A,FALSE,"Assumptions";#N/A,#N/A,FALSE,"Proforma IS";#N/A,#N/A,FALSE,"Cash Flows RLP";#N/A,#N/A,FALSE,"IRR";#N/A,#N/A,FALSE,"New Depr Sch-150% DB";#N/A,#N/A,FALSE,"Comments"}</definedName>
    <definedName name="wrn.Complete._.Report." hidden="1">{#N/A,#N/A,FALSE,"Assumptions";#N/A,#N/A,FALSE,"Proforma IS";#N/A,#N/A,FALSE,"Cash Flows RLP";#N/A,#N/A,FALSE,"IRR";#N/A,#N/A,FALSE,"New Depr Sch-150% DB";#N/A,#N/A,FALSE,"Comments"}</definedName>
    <definedName name="wrn.contributory._.asset._.charges." localSheetId="10" hidden="1">{"contributory1",#N/A,FALSE,"Contributory Assets Detail";"contributory2",#N/A,FALSE,"Contributory Assets Detail"}</definedName>
    <definedName name="wrn.contributory._.asset._.charges." hidden="1">{"contributory1",#N/A,FALSE,"Contributory Assets Detail";"contributory2",#N/A,FALSE,"Contributory Assets Detail"}</definedName>
    <definedName name="wrn.Customer_base." localSheetId="10" hidden="1">{"customer base",#N/A,FALSE,"customer_base";"customer base perf estimates",#N/A,FALSE,"customer_base"}</definedName>
    <definedName name="wrn.Customer_base." hidden="1">{"customer base",#N/A,FALSE,"customer_base";"customer base perf estimates",#N/A,FALSE,"customer_base"}</definedName>
    <definedName name="wrn.DCF." localSheetId="10" hidden="1">{#N/A,#N/A,FALSE,"DCF Cov";#N/A,#N/A,FALSE,"dcf"}</definedName>
    <definedName name="wrn.DCF." hidden="1">{#N/A,#N/A,FALSE,"DCF Cov";#N/A,#N/A,FALSE,"dcf"}</definedName>
    <definedName name="wrn.documentation." localSheetId="10" hidden="1">{"documentation1",#N/A,FALSE,"Documentation";"documentation2",#N/A,FALSE,"Documentation"}</definedName>
    <definedName name="wrn.documentation." hidden="1">{"documentation1",#N/A,FALSE,"Documentation";"documentation2",#N/A,FALSE,"Documentation"}</definedName>
    <definedName name="wrn.ESPP." localSheetId="10" hidden="1">{#N/A,#N/A,FALSE,"REPORT"}</definedName>
    <definedName name="wrn.ESPP." hidden="1">{#N/A,#N/A,FALSE,"REPORT"}</definedName>
    <definedName name="wrn.exhibits." localSheetId="10" hidden="1">{#N/A,#N/A,FALSE,"IS";#N/A,#N/A,FALSE,"BS";#N/A,#N/A,FALSE,"RMA";#N/A,#N/A,FALSE,"INCOME";#N/A,#N/A,FALSE,"DCF";#N/A,#N/A,FALSE,"MARKET"}</definedName>
    <definedName name="wrn.exhibits." hidden="1">{#N/A,#N/A,FALSE,"IS";#N/A,#N/A,FALSE,"BS";#N/A,#N/A,FALSE,"RMA";#N/A,#N/A,FALSE,"INCOME";#N/A,#N/A,FALSE,"DCF";#N/A,#N/A,FALSE,"MARKET"}</definedName>
    <definedName name="wrn.Fcst._.by._.Mon." localSheetId="10" hidden="1">{"Fcst by Mon Full",#N/A,FALSE,"Tot PalmPalm";"Fcst by Mon Full",#N/A,FALSE,"Tot Device";"Fcst by Mon Full",#N/A,FALSE,"Platform";"Fcst by Mon Full",#N/A,FALSE,"Palm.Net";"Fcst by Mon Full",#N/A,FALSE,"Elim"}</definedName>
    <definedName name="wrn.Fcst._.by._.Mon." hidden="1">{"Fcst by Mon Full",#N/A,FALSE,"Tot PalmPalm";"Fcst by Mon Full",#N/A,FALSE,"Tot Device";"Fcst by Mon Full",#N/A,FALSE,"Platform";"Fcst by Mon Full",#N/A,FALSE,"Palm.Net";"Fcst by Mon Full",#N/A,FALSE,"Elim"}</definedName>
    <definedName name="wrn.Fcst._.by._.Qtr." localSheetId="10" hidden="1">{"Fcst by Qtr Full",#N/A,FALSE,"Tot PalmPalm";"Fcst by Qtr Full",#N/A,FALSE,"Tot Device";"Fcst by Qtr Full",#N/A,FALSE,"Platform";"Fcst by Qtr Full",#N/A,FALSE,"Palm.Net";"Fcst by Qtr Full",#N/A,FALSE,"Elim"}</definedName>
    <definedName name="wrn.Fcst._.by._.Qtr." hidden="1">{"Fcst by Qtr Full",#N/A,FALSE,"Tot PalmPalm";"Fcst by Qtr Full",#N/A,FALSE,"Tot Device";"Fcst by Qtr Full",#N/A,FALSE,"Platform";"Fcst by Qtr Full",#N/A,FALSE,"Palm.Net";"Fcst by Qtr Full",#N/A,FALSE,"Elim"}</definedName>
    <definedName name="wrn.File." localSheetId="10" hidden="1">{"Summary",#N/A,FALSE,"SUMMARYPP";"BS",#N/A,FALSE,"BS";"IS",#N/A,FALSE,"IS";"RMA",#N/A,FALSE,"RMA";"VL",#N/A,FALSE,"VL";#N/A,#N/A,FALSE,"WACC";"Adj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 hidden="1">{"Summary",#N/A,FALSE,"SUMMARYPP";"BS",#N/A,FALSE,"BS";"IS",#N/A,FALSE,"IS";"RMA",#N/A,FALSE,"RMA";"VL",#N/A,FALSE,"VL";#N/A,#N/A,FALSE,"WACC";"Adj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copy." localSheetId="10"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ncial._.Statements." localSheetId="10" hidden="1">{#N/A,#N/A,FALSE,"Bal Sheet";#N/A,#N/A,FALSE,"Ret Earngs";#N/A,#N/A,FALSE,"P &amp; L";#N/A,#N/A,FALSE,"Ovhd Exp";#N/A,#N/A,FALSE,"Sales Exp";#N/A,#N/A,FALSE,"G&amp;A Exp";#N/A,#N/A,FALSE,"Other Exp";#N/A,#N/A,FALSE,"Accum Erngs"}</definedName>
    <definedName name="wrn.Financial._.Statements." hidden="1">{#N/A,#N/A,FALSE,"Bal Sheet";#N/A,#N/A,FALSE,"Ret Earngs";#N/A,#N/A,FALSE,"P &amp; L";#N/A,#N/A,FALSE,"Ovhd Exp";#N/A,#N/A,FALSE,"Sales Exp";#N/A,#N/A,FALSE,"G&amp;A Exp";#N/A,#N/A,FALSE,"Other Exp";#N/A,#N/A,FALSE,"Accum Erngs"}</definedName>
    <definedName name="wrn.Full._.Model." localSheetId="10" hidden="1">{#N/A,#N/A,FALSE,"Cov";#N/A,#N/A,FALSE,"sum";#N/A,#N/A,FALSE,"baladj";#N/A,#N/A,FALSE,"bs";#N/A,#N/A,FALSE,"is";#N/A,#N/A,FALSE,"pis";#N/A,#N/A,FALSE,"pis";#N/A,#N/A,FALSE,"cf";#N/A,#N/A,FALSE,"balhist";#N/A,#N/A,FALSE,"wc";#N/A,#N/A,FALSE,"ltd";#N/A,#N/A,FALSE,"cover";#N/A,#N/A,FALSE,"fa";#N/A,#N/A,FALSE,"tax";#N/A,#N/A,FALSE,"irr";#N/A,#N/A,FALSE,"in";#N/A,#N/A,FALSE,"DCF Cov";#N/A,#N/A,FALSE,"dcf"}</definedName>
    <definedName name="wrn.Full._.Model." hidden="1">{#N/A,#N/A,FALSE,"Cov";#N/A,#N/A,FALSE,"sum";#N/A,#N/A,FALSE,"baladj";#N/A,#N/A,FALSE,"bs";#N/A,#N/A,FALSE,"is";#N/A,#N/A,FALSE,"pis";#N/A,#N/A,FALSE,"pis";#N/A,#N/A,FALSE,"cf";#N/A,#N/A,FALSE,"balhist";#N/A,#N/A,FALSE,"wc";#N/A,#N/A,FALSE,"ltd";#N/A,#N/A,FALSE,"cover";#N/A,#N/A,FALSE,"fa";#N/A,#N/A,FALSE,"tax";#N/A,#N/A,FALSE,"irr";#N/A,#N/A,FALSE,"in";#N/A,#N/A,FALSE,"DCF Cov";#N/A,#N/A,FALSE,"dcf"}</definedName>
    <definedName name="wrn.Full._.Print." localSheetId="10" hidden="1">{"IS",#N/A,TRUE,"Consolidated";"IS Quarterly",#N/A,TRUE,"Consolidated";"BS Assets",#N/A,TRUE,"Consolidated";"BS Assets Quarterly",#N/A,TRUE,"Consolidated";"BS Liabilities",#N/A,TRUE,"Consolidated";"BS Liabilities Quarterly",#N/A,TRUE,"Consolidated";"CF",#N/A,TRUE,"Consolidated";"CF Quarterly",#N/A,TRUE,"Consolidated"}</definedName>
    <definedName name="wrn.Full._.Print." hidden="1">{"IS",#N/A,TRUE,"Consolidated";"IS Quarterly",#N/A,TRUE,"Consolidated";"BS Assets",#N/A,TRUE,"Consolidated";"BS Assets Quarterly",#N/A,TRUE,"Consolidated";"BS Liabilities",#N/A,TRUE,"Consolidated";"BS Liabilities Quarterly",#N/A,TRUE,"Consolidated";"CF",#N/A,TRUE,"Consolidated";"CF Quarterly",#N/A,TRUE,"Consolidated"}</definedName>
    <definedName name="wrn.FULL_ACQ." localSheetId="10" hidden="1">{#N/A,#N/A,FALSE,"Summary";#N/A,#N/A,FALSE,"Proforma";#N/A,#N/A,FALSE,"Tx"}</definedName>
    <definedName name="wrn.FULL_ACQ." hidden="1">{#N/A,#N/A,FALSE,"Summary";#N/A,#N/A,FALSE,"Proforma";#N/A,#N/A,FALSE,"Tx"}</definedName>
    <definedName name="wrn.intlandtot" localSheetId="10" hidden="1">{"tot",#N/A,FALSE,"Int'l Cons";"tot",#N/A,FALSE,"UK";"tot",#N/A,FALSE,"GER";"tot",#N/A,FALSE,"AUS";"tot",#N/A,FALSE,"SA";"tot",#N/A,FALSE,"FR";"tot",#N/A,FALSE,"RofW"}</definedName>
    <definedName name="wrn.intlandtot" hidden="1">{"tot",#N/A,FALSE,"Int'l Cons";"tot",#N/A,FALSE,"UK";"tot",#N/A,FALSE,"GER";"tot",#N/A,FALSE,"AUS";"tot",#N/A,FALSE,"SA";"tot",#N/A,FALSE,"FR";"tot",#N/A,FALSE,"RofW"}</definedName>
    <definedName name="wrn.LBO." localSheetId="10" hidden="1">{#N/A,#N/A,FALSE,"Cov";#N/A,#N/A,FALSE,"sum";#N/A,#N/A,FALSE,"baladj";#N/A,#N/A,FALSE,"bs";#N/A,#N/A,FALSE,"is";#N/A,#N/A,FALSE,"pis";#N/A,#N/A,FALSE,"cf";#N/A,#N/A,FALSE,"balhist";#N/A,#N/A,FALSE,"wc";#N/A,#N/A,FALSE,"ltd";#N/A,#N/A,FALSE,"cover";#N/A,#N/A,FALSE,"fa";#N/A,#N/A,FALSE,"tax";#N/A,#N/A,FALSE,"irr";#N/A,#N/A,FALSE,"in"}</definedName>
    <definedName name="wrn.LBO." hidden="1">{#N/A,#N/A,FALSE,"Cov";#N/A,#N/A,FALSE,"sum";#N/A,#N/A,FALSE,"baladj";#N/A,#N/A,FALSE,"bs";#N/A,#N/A,FALSE,"is";#N/A,#N/A,FALSE,"pis";#N/A,#N/A,FALSE,"cf";#N/A,#N/A,FALSE,"balhist";#N/A,#N/A,FALSE,"wc";#N/A,#N/A,FALSE,"ltd";#N/A,#N/A,FALSE,"cover";#N/A,#N/A,FALSE,"fa";#N/A,#N/A,FALSE,"tax";#N/A,#N/A,FALSE,"irr";#N/A,#N/A,FALSE,"in"}</definedName>
    <definedName name="wrn.northpoint." localSheetId="10" hidden="1">{#N/A,#N/A,FALSE,"softdraw";#N/A,#N/A,FALSE,"linereclass";"northpint loan",#N/A,FALSE,"LOAN"}</definedName>
    <definedName name="wrn.northpoint." hidden="1">{#N/A,#N/A,FALSE,"softdraw";#N/A,#N/A,FALSE,"linereclass";"northpint loan",#N/A,FALSE,"LOAN"}</definedName>
    <definedName name="wrn.Olk._.by._.Qtr." localSheetId="10" hidden="1">{"Olk by Qtr Full",#N/A,FALSE,"Tot PalmPalm";"Olk by Qtr Full",#N/A,FALSE,"Tot Device";"Olk by Qtr Full",#N/A,FALSE,"Platform";"Olk by Qtr Full",#N/A,FALSE,"Palm.Net";"Olk by Qtr Full",#N/A,FALSE,"Elim"}</definedName>
    <definedName name="wrn.Olk._.by._.Qtr." hidden="1">{"Olk by Qtr Full",#N/A,FALSE,"Tot PalmPalm";"Olk by Qtr Full",#N/A,FALSE,"Tot Device";"Olk by Qtr Full",#N/A,FALSE,"Platform";"Olk by Qtr Full",#N/A,FALSE,"Palm.Net";"Olk by Qtr Full",#N/A,FALSE,"Elim"}</definedName>
    <definedName name="wrn.OUTPUT." localSheetId="10" hidden="1">{"DCF","UPSIDE CASE",FALSE,"Sheet1";"DCF","BASE CASE",FALSE,"Sheet1";"DCF","DOWNSIDE CASE",FALSE,"Sheet1"}</definedName>
    <definedName name="wrn.OUTPUT." hidden="1">{"DCF","UPSIDE CASE",FALSE,"Sheet1";"DCF","BASE CASE",FALSE,"Sheet1";"DCF","DOWNSIDE CASE",FALSE,"Sheet1"}</definedName>
    <definedName name="wrn.PaperPanel." localSheetId="10" hidden="1">{#N/A,#N/A,FALSE,"Control"}</definedName>
    <definedName name="wrn.PaperPanel." hidden="1">{#N/A,#N/A,FALSE,"Control"}</definedName>
    <definedName name="wrn.partial._.Print." localSheetId="10" hidden="1">{"IS",#N/A,TRUE,"Consolidated";"IS Quarterly",#N/A,TRUE,"Consolidated";"BS Assets",#N/A,TRUE,"Consolidated";"BS Assets Quarterly",#N/A,TRUE,"Consolidated";"BS Liabilities",#N/A,TRUE,"Consolidated";"BS Liabilities Quarterly",#N/A,TRUE,"Consolidated";"CF",#N/A,TRUE,"Consolidated";"CF Quarterly",#N/A,TRUE,"Consolidated"}</definedName>
    <definedName name="wrn.partial._.Print." hidden="1">{"IS",#N/A,TRUE,"Consolidated";"IS Quarterly",#N/A,TRUE,"Consolidated";"BS Assets",#N/A,TRUE,"Consolidated";"BS Assets Quarterly",#N/A,TRUE,"Consolidated";"BS Liabilities",#N/A,TRUE,"Consolidated";"BS Liabilities Quarterly",#N/A,TRUE,"Consolidated";"CF",#N/A,TRUE,"Consolidated";"CF Quarterly",#N/A,TRUE,"Consolidated"}</definedName>
    <definedName name="wrn.PARTNERSHIP." localSheetId="10" hidden="1">{#N/A,#N/A,FALSE,"Ptnr Cash Flow";#N/A,#N/A,FALSE,"Pship Summary";#N/A,#N/A,FALSE,"Pship Proforma";#N/A,#N/A,FALSE,"Tx"}</definedName>
    <definedName name="wrn.PARTNERSHIP." hidden="1">{#N/A,#N/A,FALSE,"Ptnr Cash Flow";#N/A,#N/A,FALSE,"Pship Summary";#N/A,#N/A,FALSE,"Pship Proforma";#N/A,#N/A,FALSE,"Tx"}</definedName>
    <definedName name="wrn.print." localSheetId="10" hidden="1">{#N/A,#N/A,FALSE,"Japan 2003";#N/A,#N/A,FALSE,"Sheet2"}</definedName>
    <definedName name="wrn.print." hidden="1">{#N/A,#N/A,FALSE,"Japan 2003";#N/A,#N/A,FALSE,"Sheet2"}</definedName>
    <definedName name="wrn.print._.all._.sheets." localSheetId="10"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wrn.print._.all._.sheets."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wrn.Print._.Disk." localSheetId="10"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graphs." localSheetId="10"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raw._.data._.entry." localSheetId="10" hidden="1">{"inputs raw data",#N/A,TRUE,"INPUT"}</definedName>
    <definedName name="wrn.print._.raw._.data._.entry." hidden="1">{"inputs raw data",#N/A,TRUE,"INPUT"}</definedName>
    <definedName name="wrn.print._.summary._.sheets." localSheetId="10" hidden="1">{"summary1",#N/A,TRUE,"Comps";"summary2",#N/A,TRUE,"Comps";"summary3",#N/A,TRUE,"Comps"}</definedName>
    <definedName name="wrn.print._.summary._.sheets." hidden="1">{"summary1",#N/A,TRUE,"Comps";"summary2",#N/A,TRUE,"Comps";"summary3",#N/A,TRUE,"Comps"}</definedName>
    <definedName name="wrn.PrintSelected." localSheetId="10" hidden="1">{"ModelPage1",#N/A,TRUE,"Model";"ModelSum_Debt",#N/A,TRUE,"Model"}</definedName>
    <definedName name="wrn.PrintSelected." hidden="1">{"ModelPage1",#N/A,TRUE,"Model";"ModelSum_Debt",#N/A,TRUE,"Model"}</definedName>
    <definedName name="wrn.Relevant." localSheetId="4" hidden="1">{#N/A,#N/A,FALSE,"Title Page";#N/A,#N/A,FALSE,"Conclusions";#N/A,#N/A,FALSE,"Assum.";#N/A,#N/A,FALSE,"Sun  DCF-WC-Dep";#N/A,#N/A,FALSE,"MarketValue";#N/A,#N/A,FALSE,"BalSheet";#N/A,#N/A,FALSE,"WACC";#N/A,#N/A,FALSE,"PC+ Info.";#N/A,#N/A,FALSE,"PC+Info_2"}</definedName>
    <definedName name="wrn.Relevant." localSheetId="7" hidden="1">{#N/A,#N/A,FALSE,"Title Page";#N/A,#N/A,FALSE,"Conclusions";#N/A,#N/A,FALSE,"Assum.";#N/A,#N/A,FALSE,"Sun  DCF-WC-Dep";#N/A,#N/A,FALSE,"MarketValue";#N/A,#N/A,FALSE,"BalSheet";#N/A,#N/A,FALSE,"WACC";#N/A,#N/A,FALSE,"PC+ Info.";#N/A,#N/A,FALSE,"PC+Info_2"}</definedName>
    <definedName name="wrn.Relevant." localSheetId="8" hidden="1">{#N/A,#N/A,FALSE,"Title Page";#N/A,#N/A,FALSE,"Conclusions";#N/A,#N/A,FALSE,"Assum.";#N/A,#N/A,FALSE,"Sun  DCF-WC-Dep";#N/A,#N/A,FALSE,"MarketValue";#N/A,#N/A,FALSE,"BalSheet";#N/A,#N/A,FALSE,"WACC";#N/A,#N/A,FALSE,"PC+ Info.";#N/A,#N/A,FALSE,"PC+Info_2"}</definedName>
    <definedName name="wrn.Relevant." localSheetId="9" hidden="1">{#N/A,#N/A,FALSE,"Title Page";#N/A,#N/A,FALSE,"Conclusions";#N/A,#N/A,FALSE,"Assum.";#N/A,#N/A,FALSE,"Sun  DCF-WC-Dep";#N/A,#N/A,FALSE,"MarketValue";#N/A,#N/A,FALSE,"BalSheet";#N/A,#N/A,FALSE,"WACC";#N/A,#N/A,FALSE,"PC+ Info.";#N/A,#N/A,FALSE,"PC+Info_2"}</definedName>
    <definedName name="wrn.Relevant." localSheetId="10" hidden="1">{#N/A,#N/A,FALSE,"Title Page";#N/A,#N/A,FALSE,"Conclusions";#N/A,#N/A,FALSE,"Assum.";#N/A,#N/A,FALSE,"Sun  DCF-WC-Dep";#N/A,#N/A,FALSE,"MarketValue";#N/A,#N/A,FALSE,"BalSheet";#N/A,#N/A,FALSE,"WACC";#N/A,#N/A,FALSE,"PC+ Info.";#N/A,#N/A,FALSE,"PC+Info_2"}</definedName>
    <definedName name="wrn.Relevant." localSheetId="3" hidden="1">{#N/A,#N/A,FALSE,"Title Page";#N/A,#N/A,FALSE,"Conclusions";#N/A,#N/A,FALSE,"Assum.";#N/A,#N/A,FALSE,"Sun  DCF-WC-Dep";#N/A,#N/A,FALSE,"MarketValue";#N/A,#N/A,FALSE,"BalSheet";#N/A,#N/A,FALSE,"WACC";#N/A,#N/A,FALSE,"PC+ Info.";#N/A,#N/A,FALSE,"PC+Info_2"}</definedName>
    <definedName name="wrn.Relevant." localSheetId="6" hidden="1">{#N/A,#N/A,FALSE,"Title Page";#N/A,#N/A,FALSE,"Conclusions";#N/A,#N/A,FALSE,"Assum.";#N/A,#N/A,FALSE,"Sun  DCF-WC-Dep";#N/A,#N/A,FALSE,"MarketValue";#N/A,#N/A,FALSE,"BalSheet";#N/A,#N/A,FALSE,"WACC";#N/A,#N/A,FALSE,"PC+ Info.";#N/A,#N/A,FALSE,"PC+Info_2"}</definedName>
    <definedName name="wrn.Relevant." localSheetId="5" hidden="1">{#N/A,#N/A,FALSE,"Title Page";#N/A,#N/A,FALSE,"Conclusions";#N/A,#N/A,FALSE,"Assum.";#N/A,#N/A,FALSE,"Sun  DCF-WC-Dep";#N/A,#N/A,FALSE,"MarketValue";#N/A,#N/A,FALSE,"BalSheet";#N/A,#N/A,FALSE,"WACC";#N/A,#N/A,FALSE,"PC+ Info.";#N/A,#N/A,FALSE,"PC+Info_2"}</definedName>
    <definedName name="wrn.Relevant." localSheetId="11" hidden="1">{#N/A,#N/A,FALSE,"Title Page";#N/A,#N/A,FALSE,"Conclusions";#N/A,#N/A,FALSE,"Assum.";#N/A,#N/A,FALSE,"Sun  DCF-WC-Dep";#N/A,#N/A,FALSE,"MarketValue";#N/A,#N/A,FALSE,"BalSheet";#N/A,#N/A,FALSE,"WACC";#N/A,#N/A,FALSE,"PC+ Info.";#N/A,#N/A,FALSE,"PC+Info_2"}</definedName>
    <definedName name="wrn.Relevant." hidden="1">{#N/A,#N/A,FALSE,"Title Page";#N/A,#N/A,FALSE,"Conclusions";#N/A,#N/A,FALSE,"Assum.";#N/A,#N/A,FALSE,"Sun  DCF-WC-Dep";#N/A,#N/A,FALSE,"MarketValue";#N/A,#N/A,FALSE,"BalSheet";#N/A,#N/A,FALSE,"WACC";#N/A,#N/A,FALSE,"PC+ Info.";#N/A,#N/A,FALSE,"PC+Info_2"}</definedName>
    <definedName name="wrn.Relevant1." localSheetId="10" hidden="1">{#N/A,#N/A,FALSE,"Title Page";#N/A,#N/A,FALSE,"Conclusions";#N/A,#N/A,FALSE,"Assum.";#N/A,#N/A,FALSE,"Sun  DCF-WC-Dep";#N/A,#N/A,FALSE,"MarketValue";#N/A,#N/A,FALSE,"BalSheet";#N/A,#N/A,FALSE,"WACC";#N/A,#N/A,FALSE,"PC+ Info.";#N/A,#N/A,FALSE,"PC+Info_2"}</definedName>
    <definedName name="wrn.Relevant1." hidden="1">{#N/A,#N/A,FALSE,"Title Page";#N/A,#N/A,FALSE,"Conclusions";#N/A,#N/A,FALSE,"Assum.";#N/A,#N/A,FALSE,"Sun  DCF-WC-Dep";#N/A,#N/A,FALSE,"MarketValue";#N/A,#N/A,FALSE,"BalSheet";#N/A,#N/A,FALSE,"WACC";#N/A,#N/A,FALSE,"PC+ Info.";#N/A,#N/A,FALSE,"PC+Info_2"}</definedName>
    <definedName name="wrn.rep." localSheetId="10" hidden="1">{#N/A,#N/A,FALSE,"Exh. 5A";#N/A,#N/A,FALSE,"Exh. 6"}</definedName>
    <definedName name="wrn.rep." hidden="1">{#N/A,#N/A,FALSE,"Exh. 5A";#N/A,#N/A,FALSE,"Exh. 6"}</definedName>
    <definedName name="wrn.REPORT." localSheetId="10" hidden="1">{"BS",#N/A,FALSE,"BS";"IS",#N/A,FALSE,"IS";"RMA",#N/A,FALSE,"RMA";"WF exh",#N/A,FALSE,"WORKFORCE";"Software Exh",#N/A,FALSE,"SOFTWARE";"Cust Base Exh 1",#N/A,FALSE,"CUSTOMER BASE";"Cust Base Exh 2",#N/A,FALSE,"DISTRIBUTORS";"TM",#N/A,FALSE,"TM";"Pat 1 Exh",#N/A,FALSE,"PAT(1)";"Pat 2 Exh",#N/A,FALSE,"PAT(2)";"Pat 3 Exh",#N/A,FALSE,"PAT(3)";"Pat 4 Exh",#N/A,FALSE,"PAT(4)";"Pat 5 Exh",#N/A,FALSE,"PAT(5)";"Pat 6 Exh",#N/A,FALSE,"PAT(6)";"Pat 7 Exh",#N/A,FALSE,"PAT(7)";"Pat 8 Exh",#N/A,FALSE,"PAT(8)";"Pat 9 Exh",#N/A,FALSE,"PAT(9)";"Pat 10 Exh",#N/A,FALSE,"PAT(10)";"Non Compete Exh",#N/A,FALSE,"COMPETE"}</definedName>
    <definedName name="wrn.REPORT." hidden="1">{"BS",#N/A,FALSE,"BS";"IS",#N/A,FALSE,"IS";"RMA",#N/A,FALSE,"RMA";"WF exh",#N/A,FALSE,"WORKFORCE";"Software Exh",#N/A,FALSE,"SOFTWARE";"Cust Base Exh 1",#N/A,FALSE,"CUSTOMER BASE";"Cust Base Exh 2",#N/A,FALSE,"DISTRIBUTORS";"TM",#N/A,FALSE,"TM";"Pat 1 Exh",#N/A,FALSE,"PAT(1)";"Pat 2 Exh",#N/A,FALSE,"PAT(2)";"Pat 3 Exh",#N/A,FALSE,"PAT(3)";"Pat 4 Exh",#N/A,FALSE,"PAT(4)";"Pat 5 Exh",#N/A,FALSE,"PAT(5)";"Pat 6 Exh",#N/A,FALSE,"PAT(6)";"Pat 7 Exh",#N/A,FALSE,"PAT(7)";"Pat 8 Exh",#N/A,FALSE,"PAT(8)";"Pat 9 Exh",#N/A,FALSE,"PAT(9)";"Pat 10 Exh",#N/A,FALSE,"PAT(10)";"Non Compete Exh",#N/A,FALSE,"COMPETE"}</definedName>
    <definedName name="wrn.revenue._.detail." localSheetId="10" hidden="1">{"revenue detail 1",#N/A,FALSE,"Revenue Detail";"revenue detail 2",#N/A,FALSE,"Revenue Detail";"revenue detail 3",#N/A,FALSE,"Revenue Detail";"revenue detail 4",#N/A,FALSE,"Revenue Detail"}</definedName>
    <definedName name="wrn.revenue._.detail." hidden="1">{"revenue detail 1",#N/A,FALSE,"Revenue Detail";"revenue detail 2",#N/A,FALSE,"Revenue Detail";"revenue detail 3",#N/A,FALSE,"Revenue Detail";"revenue detail 4",#N/A,FALSE,"Revenue Detail"}</definedName>
    <definedName name="wrn.Revs." localSheetId="4" hidden="1">{"Base_rev",#N/A,FALSE,"Proj_IS_Base";"Projrev",#N/A,FALSE,"Proj_IS_wOTLC";"Delta",#N/A,FALSE,"Delta Rev_PV"}</definedName>
    <definedName name="wrn.Revs." localSheetId="7" hidden="1">{"Base_rev",#N/A,FALSE,"Proj_IS_Base";"Projrev",#N/A,FALSE,"Proj_IS_wOTLC";"Delta",#N/A,FALSE,"Delta Rev_PV"}</definedName>
    <definedName name="wrn.Revs." localSheetId="8" hidden="1">{"Base_rev",#N/A,FALSE,"Proj_IS_Base";"Projrev",#N/A,FALSE,"Proj_IS_wOTLC";"Delta",#N/A,FALSE,"Delta Rev_PV"}</definedName>
    <definedName name="wrn.Revs." localSheetId="9" hidden="1">{"Base_rev",#N/A,FALSE,"Proj_IS_Base";"Projrev",#N/A,FALSE,"Proj_IS_wOTLC";"Delta",#N/A,FALSE,"Delta Rev_PV"}</definedName>
    <definedName name="wrn.Revs." localSheetId="10" hidden="1">{"Base_rev",#N/A,FALSE,"Proj_IS_Base";"Projrev",#N/A,FALSE,"Proj_IS_wOTLC";"Delta",#N/A,FALSE,"Delta Rev_PV"}</definedName>
    <definedName name="wrn.Revs." localSheetId="3" hidden="1">{"Base_rev",#N/A,FALSE,"Proj_IS_Base";"Projrev",#N/A,FALSE,"Proj_IS_wOTLC";"Delta",#N/A,FALSE,"Delta Rev_PV"}</definedName>
    <definedName name="wrn.Revs." localSheetId="6" hidden="1">{"Base_rev",#N/A,FALSE,"Proj_IS_Base";"Projrev",#N/A,FALSE,"Proj_IS_wOTLC";"Delta",#N/A,FALSE,"Delta Rev_PV"}</definedName>
    <definedName name="wrn.Revs." localSheetId="5" hidden="1">{"Base_rev",#N/A,FALSE,"Proj_IS_Base";"Projrev",#N/A,FALSE,"Proj_IS_wOTLC";"Delta",#N/A,FALSE,"Delta Rev_PV"}</definedName>
    <definedName name="wrn.Revs." localSheetId="11" hidden="1">{"Base_rev",#N/A,FALSE,"Proj_IS_Base";"Projrev",#N/A,FALSE,"Proj_IS_wOTLC";"Delta",#N/A,FALSE,"Delta Rev_PV"}</definedName>
    <definedName name="wrn.Revs." hidden="1">{"Base_rev",#N/A,FALSE,"Proj_IS_Base";"Projrev",#N/A,FALSE,"Proj_IS_wOTLC";"Delta",#N/A,FALSE,"Delta Rev_PV"}</definedName>
    <definedName name="wrn.Riverwood_comp_model." localSheetId="10" hidden="1">{#N/A,#N/A,FALSE,"Che-Ga";#N/A,#N/A,FALSE,"Iv-Sm";#N/A,#N/A,FALSE,"So-We";#N/A,#N/A,FALSE,"Me-Po";#N/A,#N/A,FALSE,"Be-Bo";#N/A,#N/A,FALSE,"Cha-Ki";#N/A,#N/A,FALSE,"In";#N/A,#N/A,FALSE,"Schedule 23";#N/A,#N/A,FALSE,"Schedule 22";#N/A,#N/A,FALSE,"WACC"}</definedName>
    <definedName name="wrn.Riverwood_comp_model." hidden="1">{#N/A,#N/A,FALSE,"Che-Ga";#N/A,#N/A,FALSE,"Iv-Sm";#N/A,#N/A,FALSE,"So-We";#N/A,#N/A,FALSE,"Me-Po";#N/A,#N/A,FALSE,"Be-Bo";#N/A,#N/A,FALSE,"Cha-Ki";#N/A,#N/A,FALSE,"In";#N/A,#N/A,FALSE,"Schedule 23";#N/A,#N/A,FALSE,"Schedule 22";#N/A,#N/A,FALSE,"WACC"}</definedName>
    <definedName name="wrn.ROUGH." localSheetId="10" hidden="1">{#N/A,#N/A,FALSE,"ROA";#N/A,#N/A,FALSE,"ROI";#N/A,#N/A,FALSE,"EBIT";#N/A,#N/A,FALSE,"MULT X"}</definedName>
    <definedName name="wrn.ROUGH." hidden="1">{#N/A,#N/A,FALSE,"ROA";#N/A,#N/A,FALSE,"ROI";#N/A,#N/A,FALSE,"EBIT";#N/A,#N/A,FALSE,"MULT X"}</definedName>
    <definedName name="wrn.rptexhibits." localSheetId="10" hidden="1">{#N/A,#N/A,FALSE,"BS";#N/A,#N/A,FALSE,"IS";#N/A,#N/A,FALSE,"RMA ";#N/A,#N/A,FALSE,"ADJ IS";#N/A,#N/A,FALSE,"DCF"}</definedName>
    <definedName name="wrn.rptexhibits." hidden="1">{#N/A,#N/A,FALSE,"BS";#N/A,#N/A,FALSE,"IS";#N/A,#N/A,FALSE,"RMA ";#N/A,#N/A,FALSE,"ADJ IS";#N/A,#N/A,FALSE,"DCF"}</definedName>
    <definedName name="wrn.subs." localSheetId="10" hidden="1">{#N/A,#N/A,FALSE,"Comp - War";#N/A,#N/A,FALSE,"Comp - War"}</definedName>
    <definedName name="wrn.subs." hidden="1">{#N/A,#N/A,FALSE,"Comp - War";#N/A,#N/A,FALSE,"Comp - War"}</definedName>
    <definedName name="wrn.sum." localSheetId="4" hidden="1">{"Opsys",#N/A,FALSE,"NPV_OPsys";"NT",#N/A,FALSE,"NPV_NT";"DevP",#N/A,FALSE,"NPV_DevPdt";"Office",#N/A,FALSE,"NPV_Office"}</definedName>
    <definedName name="wrn.sum." localSheetId="7" hidden="1">{"Opsys",#N/A,FALSE,"NPV_OPsys";"NT",#N/A,FALSE,"NPV_NT";"DevP",#N/A,FALSE,"NPV_DevPdt";"Office",#N/A,FALSE,"NPV_Office"}</definedName>
    <definedName name="wrn.sum." localSheetId="8" hidden="1">{"Opsys",#N/A,FALSE,"NPV_OPsys";"NT",#N/A,FALSE,"NPV_NT";"DevP",#N/A,FALSE,"NPV_DevPdt";"Office",#N/A,FALSE,"NPV_Office"}</definedName>
    <definedName name="wrn.sum." localSheetId="9" hidden="1">{"Opsys",#N/A,FALSE,"NPV_OPsys";"NT",#N/A,FALSE,"NPV_NT";"DevP",#N/A,FALSE,"NPV_DevPdt";"Office",#N/A,FALSE,"NPV_Office"}</definedName>
    <definedName name="wrn.sum." localSheetId="10" hidden="1">{"Opsys",#N/A,FALSE,"NPV_OPsys";"NT",#N/A,FALSE,"NPV_NT";"DevP",#N/A,FALSE,"NPV_DevPdt";"Office",#N/A,FALSE,"NPV_Office"}</definedName>
    <definedName name="wrn.sum." localSheetId="3" hidden="1">{"Opsys",#N/A,FALSE,"NPV_OPsys";"NT",#N/A,FALSE,"NPV_NT";"DevP",#N/A,FALSE,"NPV_DevPdt";"Office",#N/A,FALSE,"NPV_Office"}</definedName>
    <definedName name="wrn.sum." localSheetId="6" hidden="1">{"Opsys",#N/A,FALSE,"NPV_OPsys";"NT",#N/A,FALSE,"NPV_NT";"DevP",#N/A,FALSE,"NPV_DevPdt";"Office",#N/A,FALSE,"NPV_Office"}</definedName>
    <definedName name="wrn.sum." localSheetId="5" hidden="1">{"Opsys",#N/A,FALSE,"NPV_OPsys";"NT",#N/A,FALSE,"NPV_NT";"DevP",#N/A,FALSE,"NPV_DevPdt";"Office",#N/A,FALSE,"NPV_Office"}</definedName>
    <definedName name="wrn.sum." localSheetId="11" hidden="1">{"Opsys",#N/A,FALSE,"NPV_OPsys";"NT",#N/A,FALSE,"NPV_NT";"DevP",#N/A,FALSE,"NPV_DevPdt";"Office",#N/A,FALSE,"NPV_Office"}</definedName>
    <definedName name="wrn.sum." hidden="1">{"Opsys",#N/A,FALSE,"NPV_OPsys";"NT",#N/A,FALSE,"NPV_NT";"DevP",#N/A,FALSE,"NPV_DevPdt";"Office",#N/A,FALSE,"NPV_Office"}</definedName>
    <definedName name="wrn.summary._.schedules." localSheetId="10" hidden="1">{"summary1",#N/A,FALSE,"Summary of Values";"summary2",#N/A,FALSE,"Summary of Values"}</definedName>
    <definedName name="wrn.summary._.schedules." hidden="1">{"summary1",#N/A,FALSE,"Summary of Values";"summary2",#N/A,FALSE,"Summary of Values"}</definedName>
    <definedName name="wrn.technology." localSheetId="10" hidden="1">{"developed valuation",#N/A,FALSE,"Valuation Analysis";"developed income statement",#N/A,FALSE,"Abbreviated Income Statement";"inprocess valuation",#N/A,FALSE,"Valuation Analysis";"inprocess income statement",#N/A,FALSE,"Abbreviated Income Statement"}</definedName>
    <definedName name="wrn.technology." hidden="1">{"developed valuation",#N/A,FALSE,"Valuation Analysis";"developed income statement",#N/A,FALSE,"Abbreviated Income Statement";"inprocess valuation",#N/A,FALSE,"Valuation Analysis";"inprocess income statement",#N/A,FALSE,"Abbreviated Income Statement"}</definedName>
    <definedName name="wrn.Three._.Month._.I.S." localSheetId="10" hidden="1">{"Landscape Detail IS",#N/A,FALSE,"Three Months Ended 8.31.96";"Portrait Summary IS",#N/A,FALSE,"Three Months Ended 8.31.96"}</definedName>
    <definedName name="wrn.Three._.Month._.I.S." hidden="1">{"Landscape Detail IS",#N/A,FALSE,"Three Months Ended 8.31.96";"Portrait Summary IS",#N/A,FALSE,"Three Months Ended 8.31.96"}</definedName>
    <definedName name="wrn.trademark._.and._.trade._.name." localSheetId="10" hidden="1">{"trademark1",#N/A,FALSE,"Trademark(s) and Trade Name(s)"}</definedName>
    <definedName name="wrn.trademark._.and._.trade._.name." hidden="1">{"trademark1",#N/A,FALSE,"Trademark(s) and Trade Name(s)"}</definedName>
    <definedName name="wrn.wara." localSheetId="10" hidden="1">{"weighted average returns",#N/A,FALSE,"WACC and WARA"}</definedName>
    <definedName name="wrn.wara." hidden="1">{"weighted average returns",#N/A,FALSE,"WACC and WARA"}</definedName>
    <definedName name="wrn.Whole._.Model." localSheetId="10" hidden="1">{#N/A,#N/A,FALSE,"Model";#N/A,#N/A,FALSE,"Gen Pts &amp; Rts 2000";#N/A,#N/A,FALSE,"AcqsAss";#N/A,#N/A,FALSE,"Acqs &amp; De Novos"}</definedName>
    <definedName name="wrn.Whole._.Model." hidden="1">{#N/A,#N/A,FALSE,"Model";#N/A,#N/A,FALSE,"Gen Pts &amp; Rts 2000";#N/A,#N/A,FALSE,"AcqsAss";#N/A,#N/A,FALSE,"Acqs &amp; De Novos"}</definedName>
    <definedName name="wrn.work._.paper._.shcedules." localSheetId="10" hidden="1">{"summary1",#N/A,FALSE,"Summary of Values";"summary2",#N/A,FALSE,"Summary of Values";"weighted average returns",#N/A,FALSE,"WACC and WARA";"fixed asset detail",#N/A,FALSE,"Fixed Asset Detail"}</definedName>
    <definedName name="wrn.work._.paper._.shcedules." hidden="1">{"summary1",#N/A,FALSE,"Summary of Values";"summary2",#N/A,FALSE,"Summary of Values";"weighted average returns",#N/A,FALSE,"WACC and WARA";"fixed asset detail",#N/A,FALSE,"Fixed Asset Detail"}</definedName>
    <definedName name="wvu.inputs._.raw._.data."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localSheetId="10" hidden="1">{#N/A,#N/A,FALSE,"Bakersfield PCs";#N/A,#N/A,FALSE,"Bremer PCs";#N/A,#N/A,FALSE,"Bakersfield Notebooks"}</definedName>
    <definedName name="ww" hidden="1">{#N/A,#N/A,FALSE,"Bakersfield PCs";#N/A,#N/A,FALSE,"Bremer PCs";#N/A,#N/A,FALSE,"Bakersfield Notebooks"}</definedName>
    <definedName name="ww.Rele" localSheetId="4" hidden="1">{#N/A,#N/A,FALSE,"Title Page";#N/A,#N/A,FALSE,"Conclusions";#N/A,#N/A,FALSE,"Assum.";#N/A,#N/A,FALSE,"Sun  DCF-WC-Dep";#N/A,#N/A,FALSE,"MarketValue";#N/A,#N/A,FALSE,"BalSheet";#N/A,#N/A,FALSE,"WACC";#N/A,#N/A,FALSE,"PC+ Info.";#N/A,#N/A,FALSE,"PC+Info_2"}</definedName>
    <definedName name="ww.Rele" localSheetId="7" hidden="1">{#N/A,#N/A,FALSE,"Title Page";#N/A,#N/A,FALSE,"Conclusions";#N/A,#N/A,FALSE,"Assum.";#N/A,#N/A,FALSE,"Sun  DCF-WC-Dep";#N/A,#N/A,FALSE,"MarketValue";#N/A,#N/A,FALSE,"BalSheet";#N/A,#N/A,FALSE,"WACC";#N/A,#N/A,FALSE,"PC+ Info.";#N/A,#N/A,FALSE,"PC+Info_2"}</definedName>
    <definedName name="ww.Rele" localSheetId="8" hidden="1">{#N/A,#N/A,FALSE,"Title Page";#N/A,#N/A,FALSE,"Conclusions";#N/A,#N/A,FALSE,"Assum.";#N/A,#N/A,FALSE,"Sun  DCF-WC-Dep";#N/A,#N/A,FALSE,"MarketValue";#N/A,#N/A,FALSE,"BalSheet";#N/A,#N/A,FALSE,"WACC";#N/A,#N/A,FALSE,"PC+ Info.";#N/A,#N/A,FALSE,"PC+Info_2"}</definedName>
    <definedName name="ww.Rele" localSheetId="9" hidden="1">{#N/A,#N/A,FALSE,"Title Page";#N/A,#N/A,FALSE,"Conclusions";#N/A,#N/A,FALSE,"Assum.";#N/A,#N/A,FALSE,"Sun  DCF-WC-Dep";#N/A,#N/A,FALSE,"MarketValue";#N/A,#N/A,FALSE,"BalSheet";#N/A,#N/A,FALSE,"WACC";#N/A,#N/A,FALSE,"PC+ Info.";#N/A,#N/A,FALSE,"PC+Info_2"}</definedName>
    <definedName name="ww.Rele" localSheetId="10" hidden="1">{#N/A,#N/A,FALSE,"Title Page";#N/A,#N/A,FALSE,"Conclusions";#N/A,#N/A,FALSE,"Assum.";#N/A,#N/A,FALSE,"Sun  DCF-WC-Dep";#N/A,#N/A,FALSE,"MarketValue";#N/A,#N/A,FALSE,"BalSheet";#N/A,#N/A,FALSE,"WACC";#N/A,#N/A,FALSE,"PC+ Info.";#N/A,#N/A,FALSE,"PC+Info_2"}</definedName>
    <definedName name="ww.Rele" localSheetId="3" hidden="1">{#N/A,#N/A,FALSE,"Title Page";#N/A,#N/A,FALSE,"Conclusions";#N/A,#N/A,FALSE,"Assum.";#N/A,#N/A,FALSE,"Sun  DCF-WC-Dep";#N/A,#N/A,FALSE,"MarketValue";#N/A,#N/A,FALSE,"BalSheet";#N/A,#N/A,FALSE,"WACC";#N/A,#N/A,FALSE,"PC+ Info.";#N/A,#N/A,FALSE,"PC+Info_2"}</definedName>
    <definedName name="ww.Rele" localSheetId="6" hidden="1">{#N/A,#N/A,FALSE,"Title Page";#N/A,#N/A,FALSE,"Conclusions";#N/A,#N/A,FALSE,"Assum.";#N/A,#N/A,FALSE,"Sun  DCF-WC-Dep";#N/A,#N/A,FALSE,"MarketValue";#N/A,#N/A,FALSE,"BalSheet";#N/A,#N/A,FALSE,"WACC";#N/A,#N/A,FALSE,"PC+ Info.";#N/A,#N/A,FALSE,"PC+Info_2"}</definedName>
    <definedName name="ww.Rele" localSheetId="5" hidden="1">{#N/A,#N/A,FALSE,"Title Page";#N/A,#N/A,FALSE,"Conclusions";#N/A,#N/A,FALSE,"Assum.";#N/A,#N/A,FALSE,"Sun  DCF-WC-Dep";#N/A,#N/A,FALSE,"MarketValue";#N/A,#N/A,FALSE,"BalSheet";#N/A,#N/A,FALSE,"WACC";#N/A,#N/A,FALSE,"PC+ Info.";#N/A,#N/A,FALSE,"PC+Info_2"}</definedName>
    <definedName name="ww.Rele" localSheetId="11" hidden="1">{#N/A,#N/A,FALSE,"Title Page";#N/A,#N/A,FALSE,"Conclusions";#N/A,#N/A,FALSE,"Assum.";#N/A,#N/A,FALSE,"Sun  DCF-WC-Dep";#N/A,#N/A,FALSE,"MarketValue";#N/A,#N/A,FALSE,"BalSheet";#N/A,#N/A,FALSE,"WACC";#N/A,#N/A,FALSE,"PC+ Info.";#N/A,#N/A,FALSE,"PC+Info_2"}</definedName>
    <definedName name="ww.Rele" hidden="1">{#N/A,#N/A,FALSE,"Title Page";#N/A,#N/A,FALSE,"Conclusions";#N/A,#N/A,FALSE,"Assum.";#N/A,#N/A,FALSE,"Sun  DCF-WC-Dep";#N/A,#N/A,FALSE,"MarketValue";#N/A,#N/A,FALSE,"BalSheet";#N/A,#N/A,FALSE,"WACC";#N/A,#N/A,FALSE,"PC+ Info.";#N/A,#N/A,FALSE,"PC+Info_2"}</definedName>
    <definedName name="www" localSheetId="10" hidden="1">{#N/A,#N/A,FALSE,"Bakersfield PCs";#N/A,#N/A,FALSE,"Bremer PCs";#N/A,#N/A,FALSE,"Bakersfield Notebooks"}</definedName>
    <definedName name="www" hidden="1">{#N/A,#N/A,FALSE,"Bakersfield PCs";#N/A,#N/A,FALSE,"Bremer PCs";#N/A,#N/A,FALSE,"Bakersfield Notebooks"}</definedName>
    <definedName name="x" localSheetId="10" hidden="1">{"contributory1",#N/A,FALSE,"Contributory Assets Detail";"contributory2",#N/A,FALSE,"Contributory Assets Detail"}</definedName>
    <definedName name="x" hidden="1">{"contributory1",#N/A,FALSE,"Contributory Assets Detail";"contributory2",#N/A,FALSE,"Contributory Assets Detail"}</definedName>
    <definedName name="xdif_RefreshIncludeLists" hidden="1">FALSE</definedName>
    <definedName name="XRefColumnsCount" hidden="1">4</definedName>
    <definedName name="XRefCopyRangeCount" hidden="1">2</definedName>
    <definedName name="XRefPasteRangeCount" hidden="1">11</definedName>
    <definedName name="xxs" localSheetId="10" hidden="1">{#N/A,#N/A,TRUE,"Tax";#N/A,#N/A,TRUE,"Structure";#N/A,#N/A,TRUE,"Accounting";#N/A,#N/A,TRUE,"Equipment"}</definedName>
    <definedName name="xxs" hidden="1">{#N/A,#N/A,TRUE,"Tax";#N/A,#N/A,TRUE,"Structure";#N/A,#N/A,TRUE,"Accounting";#N/A,#N/A,TRUE,"Equipment"}</definedName>
    <definedName name="xxx" localSheetId="10"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xxx"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xxxx" localSheetId="4" hidden="1">#REF!</definedName>
    <definedName name="xxxx" localSheetId="8" hidden="1">#REF!</definedName>
    <definedName name="xxxx" localSheetId="9" hidden="1">#REF!</definedName>
    <definedName name="xxxx" localSheetId="10" hidden="1">#REF!</definedName>
    <definedName name="xxxx" localSheetId="3" hidden="1">#REF!</definedName>
    <definedName name="xxxx" hidden="1">#REF!</definedName>
    <definedName name="yale" localSheetId="10" hidden="1">{"Opsys",#N/A,FALSE,"NPV_OPsys";"NT",#N/A,FALSE,"NPV_NT";"DevP",#N/A,FALSE,"NPV_DevPdt";"Office",#N/A,FALSE,"NPV_Office"}</definedName>
    <definedName name="yale" hidden="1">{"Opsys",#N/A,FALSE,"NPV_OPsys";"NT",#N/A,FALSE,"NPV_NT";"DevP",#N/A,FALSE,"NPV_DevPdt";"Office",#N/A,FALSE,"NPV_Office"}</definedName>
    <definedName name="Year_ID" hidden="1">" "</definedName>
    <definedName name="yyy" localSheetId="10" hidden="1">{#N/A,#N/A,FALSE,"Bakersfield PCs";#N/A,#N/A,FALSE,"Bremer PCs";#N/A,#N/A,FALSE,"Bakersfield Notebooks"}</definedName>
    <definedName name="yyy" hidden="1">{#N/A,#N/A,FALSE,"Bakersfield PCs";#N/A,#N/A,FALSE,"Bremer PCs";#N/A,#N/A,FALSE,"Bakersfield Notebooks"}</definedName>
    <definedName name="yyyy" localSheetId="10" hidden="1">{#N/A,#N/A,FALSE,"Bakersfield PCs";#N/A,#N/A,FALSE,"Bremer PCs";#N/A,#N/A,FALSE,"Bakersfield Notebooks"}</definedName>
    <definedName name="yyyy" hidden="1">{#N/A,#N/A,FALSE,"Bakersfield PCs";#N/A,#N/A,FALSE,"Bremer PCs";#N/A,#N/A,FALSE,"Bakersfield Notebooks"}</definedName>
    <definedName name="yyyyw" localSheetId="10" hidden="1">{#N/A,#N/A,FALSE,"Bakersfield PCs";#N/A,#N/A,FALSE,"Bremer PCs";#N/A,#N/A,FALSE,"Bakersfield Notebooks"}</definedName>
    <definedName name="yyyyw" hidden="1">{#N/A,#N/A,FALSE,"Bakersfield PCs";#N/A,#N/A,FALSE,"Bremer PCs";#N/A,#N/A,FALSE,"Bakersfield Notebooks"}</definedName>
    <definedName name="Z_234A1776_FF97_4343_92C4_70FE0D5478BB_.wvu.Cols" localSheetId="7" hidden="1">'Asset Vol_2'!$E:$G,'Asset Vol_2'!$S:$W</definedName>
    <definedName name="Z_234A1776_FF97_4343_92C4_70FE0D5478BB_.wvu.Cols" localSheetId="8" hidden="1">'Asset Vol_3'!$E:$G,'Asset Vol_3'!$S:$W</definedName>
    <definedName name="Z_234A1776_FF97_4343_92C4_70FE0D5478BB_.wvu.Cols" localSheetId="9" hidden="1">'Asset Vol_4'!$E:$G,'Asset Vol_4'!$S:$W</definedName>
    <definedName name="Z_234A1776_FF97_4343_92C4_70FE0D5478BB_.wvu.PrintArea" localSheetId="4" hidden="1">'9 Factor Discount Analysis'!$A$1:$K$23</definedName>
    <definedName name="Z_234A1776_FF97_4343_92C4_70FE0D5478BB_.wvu.PrintArea" localSheetId="7" hidden="1">'Asset Vol_2'!$A$1:$Z$41</definedName>
    <definedName name="Z_234A1776_FF97_4343_92C4_70FE0D5478BB_.wvu.PrintArea" localSheetId="8" hidden="1">'Asset Vol_3'!$A$1:$Z$41</definedName>
    <definedName name="Z_234A1776_FF97_4343_92C4_70FE0D5478BB_.wvu.PrintArea" localSheetId="9" hidden="1">'Asset Vol_4'!$A$1:$Z$41</definedName>
    <definedName name="Z_234A1776_FF97_4343_92C4_70FE0D5478BB_.wvu.PrintArea" localSheetId="3" hidden="1">'Discount Summary'!$A$1:$H$19</definedName>
    <definedName name="Z_234A1776_FF97_4343_92C4_70FE0D5478BB_.wvu.PrintArea" localSheetId="6" hidden="1">'DLOM Restricted Stock Studies'!$A$1:$K$21</definedName>
    <definedName name="Z_234A1776_FF97_4343_92C4_70FE0D5478BB_.wvu.PrintArea" localSheetId="5" hidden="1">'DLOM_Quantitative Methods'!$A$1:$I$52</definedName>
    <definedName name="Z_234A1776_FF97_4343_92C4_70FE0D5478BB_.wvu.PrintArea" localSheetId="11" hidden="1">'Risk-Free Rates'!$A$1:$G$49</definedName>
    <definedName name="Z_234A1776_FF97_4343_92C4_70FE0D5478BB_.wvu.PrintTitles" localSheetId="5" hidden="1">'DLOM_Quantitative Methods'!$1:$6</definedName>
    <definedName name="Z_234A1776_FF97_4343_92C4_70FE0D5478BB_.wvu.Rows" localSheetId="7" hidden="1">'Asset Vol_2'!$7:$7,'Asset Vol_2'!$15:$22,'Asset Vol_2'!$33:$36</definedName>
    <definedName name="Z_234A1776_FF97_4343_92C4_70FE0D5478BB_.wvu.Rows" localSheetId="8" hidden="1">'Asset Vol_3'!$7:$7,'Asset Vol_3'!$15:$22,'Asset Vol_3'!$33:$36</definedName>
    <definedName name="Z_234A1776_FF97_4343_92C4_70FE0D5478BB_.wvu.Rows" localSheetId="9" hidden="1">'Asset Vol_4'!$7:$7,'Asset Vol_4'!$15:$22,'Asset Vol_4'!$33:$36</definedName>
    <definedName name="Z_234A1776_FF97_4343_92C4_70FE0D5478BB_.wvu.Rows" localSheetId="11" hidden="1">'Risk-Free Rates'!$21:$29</definedName>
    <definedName name="Z_4F47BE36_BFAC_43F4_B9FD_63623E3AAD54_.wvu.Cols" localSheetId="7" hidden="1">'Asset Vol_2'!$E:$G,'Asset Vol_2'!$S:$W</definedName>
    <definedName name="Z_4F47BE36_BFAC_43F4_B9FD_63623E3AAD54_.wvu.Cols" localSheetId="8" hidden="1">'Asset Vol_3'!$E:$G,'Asset Vol_3'!$S:$W</definedName>
    <definedName name="Z_4F47BE36_BFAC_43F4_B9FD_63623E3AAD54_.wvu.Cols" localSheetId="9" hidden="1">'Asset Vol_4'!$E:$G,'Asset Vol_4'!$S:$W</definedName>
    <definedName name="Z_4F47BE36_BFAC_43F4_B9FD_63623E3AAD54_.wvu.PrintArea" localSheetId="4" hidden="1">'9 Factor Discount Analysis'!$A$1:$K$23</definedName>
    <definedName name="Z_4F47BE36_BFAC_43F4_B9FD_63623E3AAD54_.wvu.PrintArea" localSheetId="7" hidden="1">'Asset Vol_2'!$A$1:$Z$41</definedName>
    <definedName name="Z_4F47BE36_BFAC_43F4_B9FD_63623E3AAD54_.wvu.PrintArea" localSheetId="8" hidden="1">'Asset Vol_3'!$A$1:$Z$41</definedName>
    <definedName name="Z_4F47BE36_BFAC_43F4_B9FD_63623E3AAD54_.wvu.PrintArea" localSheetId="9" hidden="1">'Asset Vol_4'!$A$1:$Z$41</definedName>
    <definedName name="Z_4F47BE36_BFAC_43F4_B9FD_63623E3AAD54_.wvu.PrintArea" localSheetId="3" hidden="1">'Discount Summary'!$A$1:$H$19</definedName>
    <definedName name="Z_4F47BE36_BFAC_43F4_B9FD_63623E3AAD54_.wvu.PrintArea" localSheetId="6" hidden="1">'DLOM Restricted Stock Studies'!$A$1:$K$21</definedName>
    <definedName name="Z_4F47BE36_BFAC_43F4_B9FD_63623E3AAD54_.wvu.PrintArea" localSheetId="5" hidden="1">'DLOM_Quantitative Methods'!$A$1:$I$52</definedName>
    <definedName name="Z_4F47BE36_BFAC_43F4_B9FD_63623E3AAD54_.wvu.PrintArea" localSheetId="11" hidden="1">'Risk-Free Rates'!$A$1:$G$49</definedName>
    <definedName name="Z_4F47BE36_BFAC_43F4_B9FD_63623E3AAD54_.wvu.PrintTitles" localSheetId="5" hidden="1">'DLOM_Quantitative Methods'!$1:$6</definedName>
    <definedName name="Z_4F47BE36_BFAC_43F4_B9FD_63623E3AAD54_.wvu.Rows" localSheetId="7" hidden="1">'Asset Vol_2'!$7:$7,'Asset Vol_2'!$15:$22,'Asset Vol_2'!$33:$36</definedName>
    <definedName name="Z_4F47BE36_BFAC_43F4_B9FD_63623E3AAD54_.wvu.Rows" localSheetId="8" hidden="1">'Asset Vol_3'!$7:$7,'Asset Vol_3'!$15:$22,'Asset Vol_3'!$33:$36</definedName>
    <definedName name="Z_4F47BE36_BFAC_43F4_B9FD_63623E3AAD54_.wvu.Rows" localSheetId="9" hidden="1">'Asset Vol_4'!$7:$7,'Asset Vol_4'!$15:$22,'Asset Vol_4'!$33:$36</definedName>
    <definedName name="Z_4F47BE36_BFAC_43F4_B9FD_63623E3AAD54_.wvu.Rows" localSheetId="11" hidden="1">'Risk-Free Rates'!$21:$29</definedName>
    <definedName name="Z_8DA61E7E_7558_4B03_A87B_E35534561A67_.wvu.Cols" localSheetId="7" hidden="1">'Asset Vol_2'!$E:$G,'Asset Vol_2'!$S:$W</definedName>
    <definedName name="Z_8DA61E7E_7558_4B03_A87B_E35534561A67_.wvu.Cols" localSheetId="8" hidden="1">'Asset Vol_3'!$E:$G,'Asset Vol_3'!$S:$W</definedName>
    <definedName name="Z_8DA61E7E_7558_4B03_A87B_E35534561A67_.wvu.Cols" localSheetId="9" hidden="1">'Asset Vol_4'!$E:$G,'Asset Vol_4'!$S:$W</definedName>
    <definedName name="Z_8DA61E7E_7558_4B03_A87B_E35534561A67_.wvu.PrintArea" localSheetId="4" hidden="1">'9 Factor Discount Analysis'!$A$1:$K$23</definedName>
    <definedName name="Z_8DA61E7E_7558_4B03_A87B_E35534561A67_.wvu.PrintArea" localSheetId="7" hidden="1">'Asset Vol_2'!$A$1:$Z$41</definedName>
    <definedName name="Z_8DA61E7E_7558_4B03_A87B_E35534561A67_.wvu.PrintArea" localSheetId="8" hidden="1">'Asset Vol_3'!$A$1:$Z$41</definedName>
    <definedName name="Z_8DA61E7E_7558_4B03_A87B_E35534561A67_.wvu.PrintArea" localSheetId="9" hidden="1">'Asset Vol_4'!$A$1:$Z$41</definedName>
    <definedName name="Z_8DA61E7E_7558_4B03_A87B_E35534561A67_.wvu.PrintArea" localSheetId="3" hidden="1">'Discount Summary'!$A$1:$H$19</definedName>
    <definedName name="Z_8DA61E7E_7558_4B03_A87B_E35534561A67_.wvu.PrintArea" localSheetId="6" hidden="1">'DLOM Restricted Stock Studies'!$A$1:$K$21</definedName>
    <definedName name="Z_8DA61E7E_7558_4B03_A87B_E35534561A67_.wvu.PrintArea" localSheetId="5" hidden="1">'DLOM_Quantitative Methods'!$A$1:$I$52</definedName>
    <definedName name="Z_8DA61E7E_7558_4B03_A87B_E35534561A67_.wvu.PrintArea" localSheetId="11" hidden="1">'Risk-Free Rates'!$A$1:$G$49</definedName>
    <definedName name="Z_8DA61E7E_7558_4B03_A87B_E35534561A67_.wvu.PrintTitles" localSheetId="5" hidden="1">'DLOM_Quantitative Methods'!$1:$6</definedName>
    <definedName name="Z_8DA61E7E_7558_4B03_A87B_E35534561A67_.wvu.Rows" localSheetId="7" hidden="1">'Asset Vol_2'!$7:$7,'Asset Vol_2'!$15:$22,'Asset Vol_2'!$33:$36</definedName>
    <definedName name="Z_8DA61E7E_7558_4B03_A87B_E35534561A67_.wvu.Rows" localSheetId="8" hidden="1">'Asset Vol_3'!$7:$7,'Asset Vol_3'!$15:$22,'Asset Vol_3'!$33:$36</definedName>
    <definedName name="Z_8DA61E7E_7558_4B03_A87B_E35534561A67_.wvu.Rows" localSheetId="9" hidden="1">'Asset Vol_4'!$7:$7,'Asset Vol_4'!$15:$22,'Asset Vol_4'!$33:$36</definedName>
    <definedName name="Z_8DA61E7E_7558_4B03_A87B_E35534561A67_.wvu.Rows" localSheetId="11" hidden="1">'Risk-Free Rates'!$21:$29</definedName>
    <definedName name="zzz.com" localSheetId="4" hidden="1">{#N/A,#N/A,FALSE,"Title Page";#N/A,#N/A,FALSE,"Conclusions";#N/A,#N/A,FALSE,"Assum.";#N/A,#N/A,FALSE,"Sun  DCF-WC-Dep";#N/A,#N/A,FALSE,"MarketValue";#N/A,#N/A,FALSE,"BalSheet";#N/A,#N/A,FALSE,"WACC";#N/A,#N/A,FALSE,"PC+ Info.";#N/A,#N/A,FALSE,"PC+Info_2"}</definedName>
    <definedName name="zzz.com" localSheetId="7" hidden="1">{#N/A,#N/A,FALSE,"Title Page";#N/A,#N/A,FALSE,"Conclusions";#N/A,#N/A,FALSE,"Assum.";#N/A,#N/A,FALSE,"Sun  DCF-WC-Dep";#N/A,#N/A,FALSE,"MarketValue";#N/A,#N/A,FALSE,"BalSheet";#N/A,#N/A,FALSE,"WACC";#N/A,#N/A,FALSE,"PC+ Info.";#N/A,#N/A,FALSE,"PC+Info_2"}</definedName>
    <definedName name="zzz.com" localSheetId="8" hidden="1">{#N/A,#N/A,FALSE,"Title Page";#N/A,#N/A,FALSE,"Conclusions";#N/A,#N/A,FALSE,"Assum.";#N/A,#N/A,FALSE,"Sun  DCF-WC-Dep";#N/A,#N/A,FALSE,"MarketValue";#N/A,#N/A,FALSE,"BalSheet";#N/A,#N/A,FALSE,"WACC";#N/A,#N/A,FALSE,"PC+ Info.";#N/A,#N/A,FALSE,"PC+Info_2"}</definedName>
    <definedName name="zzz.com" localSheetId="9" hidden="1">{#N/A,#N/A,FALSE,"Title Page";#N/A,#N/A,FALSE,"Conclusions";#N/A,#N/A,FALSE,"Assum.";#N/A,#N/A,FALSE,"Sun  DCF-WC-Dep";#N/A,#N/A,FALSE,"MarketValue";#N/A,#N/A,FALSE,"BalSheet";#N/A,#N/A,FALSE,"WACC";#N/A,#N/A,FALSE,"PC+ Info.";#N/A,#N/A,FALSE,"PC+Info_2"}</definedName>
    <definedName name="zzz.com" localSheetId="10" hidden="1">{#N/A,#N/A,FALSE,"Title Page";#N/A,#N/A,FALSE,"Conclusions";#N/A,#N/A,FALSE,"Assum.";#N/A,#N/A,FALSE,"Sun  DCF-WC-Dep";#N/A,#N/A,FALSE,"MarketValue";#N/A,#N/A,FALSE,"BalSheet";#N/A,#N/A,FALSE,"WACC";#N/A,#N/A,FALSE,"PC+ Info.";#N/A,#N/A,FALSE,"PC+Info_2"}</definedName>
    <definedName name="zzz.com" localSheetId="3" hidden="1">{#N/A,#N/A,FALSE,"Title Page";#N/A,#N/A,FALSE,"Conclusions";#N/A,#N/A,FALSE,"Assum.";#N/A,#N/A,FALSE,"Sun  DCF-WC-Dep";#N/A,#N/A,FALSE,"MarketValue";#N/A,#N/A,FALSE,"BalSheet";#N/A,#N/A,FALSE,"WACC";#N/A,#N/A,FALSE,"PC+ Info.";#N/A,#N/A,FALSE,"PC+Info_2"}</definedName>
    <definedName name="zzz.com" localSheetId="6" hidden="1">{#N/A,#N/A,FALSE,"Title Page";#N/A,#N/A,FALSE,"Conclusions";#N/A,#N/A,FALSE,"Assum.";#N/A,#N/A,FALSE,"Sun  DCF-WC-Dep";#N/A,#N/A,FALSE,"MarketValue";#N/A,#N/A,FALSE,"BalSheet";#N/A,#N/A,FALSE,"WACC";#N/A,#N/A,FALSE,"PC+ Info.";#N/A,#N/A,FALSE,"PC+Info_2"}</definedName>
    <definedName name="zzz.com" localSheetId="5" hidden="1">{#N/A,#N/A,FALSE,"Title Page";#N/A,#N/A,FALSE,"Conclusions";#N/A,#N/A,FALSE,"Assum.";#N/A,#N/A,FALSE,"Sun  DCF-WC-Dep";#N/A,#N/A,FALSE,"MarketValue";#N/A,#N/A,FALSE,"BalSheet";#N/A,#N/A,FALSE,"WACC";#N/A,#N/A,FALSE,"PC+ Info.";#N/A,#N/A,FALSE,"PC+Info_2"}</definedName>
    <definedName name="zzz.com" localSheetId="11" hidden="1">{#N/A,#N/A,FALSE,"Title Page";#N/A,#N/A,FALSE,"Conclusions";#N/A,#N/A,FALSE,"Assum.";#N/A,#N/A,FALSE,"Sun  DCF-WC-Dep";#N/A,#N/A,FALSE,"MarketValue";#N/A,#N/A,FALSE,"BalSheet";#N/A,#N/A,FALSE,"WACC";#N/A,#N/A,FALSE,"PC+ Info.";#N/A,#N/A,FALSE,"PC+Info_2"}</definedName>
    <definedName name="zzz.com" hidden="1">{#N/A,#N/A,FALSE,"Title Page";#N/A,#N/A,FALSE,"Conclusions";#N/A,#N/A,FALSE,"Assum.";#N/A,#N/A,FALSE,"Sun  DCF-WC-Dep";#N/A,#N/A,FALSE,"MarketValue";#N/A,#N/A,FALSE,"BalSheet";#N/A,#N/A,FALSE,"WACC";#N/A,#N/A,FALSE,"PC+ Info.";#N/A,#N/A,FALSE,"PC+Info_2"}</definedName>
  </definedNames>
  <calcPr calcId="191029" iterate="1"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9" l="1"/>
  <c r="B11" i="8"/>
  <c r="J15" i="9"/>
  <c r="M13" i="8"/>
  <c r="F11" i="7"/>
  <c r="E14" i="9"/>
  <c r="K11" i="8"/>
  <c r="E14" i="7"/>
  <c r="J14" i="9"/>
  <c r="D12" i="8"/>
  <c r="J11" i="7"/>
  <c r="G12" i="9"/>
  <c r="K13" i="9"/>
  <c r="B15" i="9"/>
  <c r="B12" i="8"/>
  <c r="G15" i="8"/>
  <c r="G12" i="7"/>
  <c r="K13" i="7"/>
  <c r="B15" i="7"/>
  <c r="F19" i="11"/>
  <c r="F12" i="9"/>
  <c r="M12" i="9"/>
  <c r="D11" i="8"/>
  <c r="D14" i="8"/>
  <c r="F15" i="8"/>
  <c r="F12" i="7"/>
  <c r="M12" i="7"/>
  <c r="F13" i="11"/>
  <c r="G11" i="9"/>
  <c r="K15" i="9"/>
  <c r="K12" i="8"/>
  <c r="E13" i="8"/>
  <c r="G14" i="8"/>
  <c r="G11" i="7"/>
  <c r="K15" i="7"/>
  <c r="F14" i="11"/>
  <c r="M11" i="9"/>
  <c r="M15" i="9"/>
  <c r="D13" i="8"/>
  <c r="J13" i="8"/>
  <c r="M14" i="8"/>
  <c r="M11" i="7"/>
  <c r="M15" i="7"/>
  <c r="G13" i="9"/>
  <c r="B14" i="8"/>
  <c r="E12" i="7"/>
  <c r="F11" i="9"/>
  <c r="J12" i="8"/>
  <c r="F11" i="11"/>
  <c r="E11" i="9"/>
  <c r="K14" i="7"/>
  <c r="D15" i="9"/>
  <c r="F13" i="8"/>
  <c r="D15" i="7"/>
  <c r="F9" i="11"/>
  <c r="B11" i="9"/>
  <c r="B14" i="9"/>
  <c r="E15" i="9"/>
  <c r="E12" i="8"/>
  <c r="G13" i="8"/>
  <c r="B11" i="7"/>
  <c r="B14" i="7"/>
  <c r="E15" i="7"/>
  <c r="J12" i="9"/>
  <c r="M13" i="9"/>
  <c r="F14" i="9"/>
  <c r="F11" i="8"/>
  <c r="J15" i="8"/>
  <c r="J12" i="7"/>
  <c r="M13" i="7"/>
  <c r="F14" i="7"/>
  <c r="F15" i="11"/>
  <c r="K11" i="9"/>
  <c r="B13" i="9"/>
  <c r="E11" i="8"/>
  <c r="E14" i="8"/>
  <c r="K14" i="8"/>
  <c r="K11" i="7"/>
  <c r="B13" i="7"/>
  <c r="F16" i="11"/>
  <c r="D12" i="9"/>
  <c r="F13" i="9"/>
  <c r="J11" i="8"/>
  <c r="J14" i="8"/>
  <c r="D15" i="8"/>
  <c r="D12" i="7"/>
  <c r="F13" i="7"/>
  <c r="F18" i="11"/>
  <c r="E15" i="8"/>
  <c r="G13" i="7"/>
  <c r="F12" i="11"/>
  <c r="F14" i="8"/>
  <c r="J15" i="7"/>
  <c r="K14" i="9"/>
  <c r="B13" i="8"/>
  <c r="E11" i="7"/>
  <c r="J11" i="9"/>
  <c r="J14" i="7"/>
  <c r="F17" i="11"/>
  <c r="B12" i="9"/>
  <c r="G15" i="9"/>
  <c r="G12" i="8"/>
  <c r="K13" i="8"/>
  <c r="B15" i="8"/>
  <c r="B12" i="7"/>
  <c r="G15" i="7"/>
  <c r="F10" i="11"/>
  <c r="D11" i="9"/>
  <c r="D14" i="9"/>
  <c r="F15" i="9"/>
  <c r="F12" i="8"/>
  <c r="M12" i="8"/>
  <c r="D11" i="7"/>
  <c r="D14" i="7"/>
  <c r="F15" i="7"/>
  <c r="K12" i="9"/>
  <c r="E13" i="9"/>
  <c r="G14" i="9"/>
  <c r="G11" i="8"/>
  <c r="K15" i="8"/>
  <c r="K12" i="7"/>
  <c r="E13" i="7"/>
  <c r="G14" i="7"/>
  <c r="D13" i="9"/>
  <c r="J13" i="9"/>
  <c r="M14" i="9"/>
  <c r="M11" i="8"/>
  <c r="M15" i="8"/>
  <c r="D13" i="7"/>
  <c r="J13" i="7"/>
  <c r="M14" i="7"/>
  <c r="D23" i="3"/>
  <c r="D10" i="12" l="1"/>
  <c r="E10" i="12"/>
  <c r="F10" i="12"/>
  <c r="G10" i="12"/>
  <c r="G23" i="12" s="1"/>
  <c r="H10" i="12"/>
  <c r="I10" i="12"/>
  <c r="J10" i="12"/>
  <c r="K10" i="12"/>
  <c r="D11" i="12"/>
  <c r="E11" i="12"/>
  <c r="F11" i="12"/>
  <c r="G11" i="12"/>
  <c r="H11" i="12"/>
  <c r="I11" i="12"/>
  <c r="J11" i="12"/>
  <c r="K11" i="12"/>
  <c r="D12" i="12"/>
  <c r="E12" i="12"/>
  <c r="F12" i="12"/>
  <c r="G12" i="12"/>
  <c r="H12" i="12"/>
  <c r="I12" i="12"/>
  <c r="J12" i="12"/>
  <c r="K12" i="12"/>
  <c r="D13" i="12"/>
  <c r="E13" i="12"/>
  <c r="F13" i="12"/>
  <c r="G13" i="12"/>
  <c r="H13" i="12"/>
  <c r="I13" i="12"/>
  <c r="J13" i="12"/>
  <c r="K13" i="12"/>
  <c r="D14" i="12"/>
  <c r="E14" i="12"/>
  <c r="F14" i="12"/>
  <c r="G14" i="12" s="1"/>
  <c r="H14" i="12" s="1"/>
  <c r="I14" i="12" s="1"/>
  <c r="E20" i="12"/>
  <c r="E21" i="12"/>
  <c r="E22" i="12"/>
  <c r="E23" i="12"/>
  <c r="E24" i="12"/>
  <c r="E25" i="12"/>
  <c r="E35" i="12"/>
  <c r="F35" i="12"/>
  <c r="J3" i="11"/>
  <c r="J4" i="11"/>
  <c r="B22" i="11" s="1"/>
  <c r="E9" i="11"/>
  <c r="J10" i="11" s="1"/>
  <c r="E10" i="11"/>
  <c r="K9" i="11" s="1"/>
  <c r="E11" i="11"/>
  <c r="K10" i="11" s="1"/>
  <c r="J11" i="11"/>
  <c r="K11" i="11"/>
  <c r="K12" i="11"/>
  <c r="J13" i="11"/>
  <c r="K13" i="11"/>
  <c r="J14" i="11"/>
  <c r="K14" i="11"/>
  <c r="J15" i="11"/>
  <c r="K15" i="11"/>
  <c r="J16" i="11"/>
  <c r="K16" i="11"/>
  <c r="J17" i="11"/>
  <c r="K17" i="11"/>
  <c r="J18" i="11"/>
  <c r="K18" i="11"/>
  <c r="J19" i="11"/>
  <c r="E25" i="11"/>
  <c r="E10" i="10"/>
  <c r="E11" i="10"/>
  <c r="E12" i="10"/>
  <c r="E13" i="10"/>
  <c r="E14" i="10"/>
  <c r="E15" i="10"/>
  <c r="M37" i="10"/>
  <c r="M38" i="10"/>
  <c r="M39" i="10"/>
  <c r="L14" i="10" s="1"/>
  <c r="M40" i="10"/>
  <c r="M41" i="10"/>
  <c r="M42" i="10"/>
  <c r="M43" i="10"/>
  <c r="M44" i="10"/>
  <c r="M45" i="10"/>
  <c r="M46" i="10"/>
  <c r="M47" i="10"/>
  <c r="M48" i="10"/>
  <c r="I50" i="10"/>
  <c r="AB2" i="9"/>
  <c r="AA11" i="9"/>
  <c r="AA12" i="9"/>
  <c r="AA13" i="9"/>
  <c r="AA14" i="9"/>
  <c r="AA15" i="9"/>
  <c r="M33" i="9"/>
  <c r="M35" i="9" s="1"/>
  <c r="S33" i="9"/>
  <c r="H35" i="9"/>
  <c r="J35" i="9"/>
  <c r="S35" i="9"/>
  <c r="AB2" i="8"/>
  <c r="AA11" i="8"/>
  <c r="AA12" i="8"/>
  <c r="AA13" i="8"/>
  <c r="AA14" i="8"/>
  <c r="AA15" i="8"/>
  <c r="M33" i="8"/>
  <c r="M35" i="8" s="1"/>
  <c r="S33" i="8"/>
  <c r="H35" i="8"/>
  <c r="J35" i="8"/>
  <c r="S35" i="8"/>
  <c r="N7" i="7"/>
  <c r="B4" i="7" s="1"/>
  <c r="E13" i="2" s="1"/>
  <c r="N12" i="7"/>
  <c r="N13" i="7"/>
  <c r="M33" i="7"/>
  <c r="M35" i="7" s="1"/>
  <c r="S33" i="7"/>
  <c r="H35" i="7"/>
  <c r="J35" i="7"/>
  <c r="S35" i="7"/>
  <c r="B2" i="6"/>
  <c r="E9" i="5"/>
  <c r="J5" i="11" s="1"/>
  <c r="D12" i="5"/>
  <c r="E12" i="5"/>
  <c r="E27" i="5" s="1"/>
  <c r="F12" i="5"/>
  <c r="F27" i="5" s="1"/>
  <c r="D14" i="5"/>
  <c r="D15" i="5" s="1"/>
  <c r="D25" i="5"/>
  <c r="E25" i="5"/>
  <c r="D27" i="5"/>
  <c r="H27" i="5"/>
  <c r="D36" i="5"/>
  <c r="D42" i="5" s="1"/>
  <c r="D43" i="5" s="1"/>
  <c r="E36" i="5"/>
  <c r="D37" i="5"/>
  <c r="E37" i="5"/>
  <c r="F37" i="5"/>
  <c r="D38" i="5"/>
  <c r="E38" i="5"/>
  <c r="F38" i="5"/>
  <c r="D39" i="5"/>
  <c r="E39" i="5"/>
  <c r="F39" i="5"/>
  <c r="D40" i="5"/>
  <c r="E40" i="5"/>
  <c r="H40" i="5"/>
  <c r="D10" i="4"/>
  <c r="G10" i="4" s="1"/>
  <c r="D11" i="4"/>
  <c r="F11" i="4"/>
  <c r="G11" i="4"/>
  <c r="D13" i="4"/>
  <c r="F13" i="4"/>
  <c r="D14" i="4"/>
  <c r="F14" i="4"/>
  <c r="G14" i="4"/>
  <c r="D15" i="4"/>
  <c r="F15" i="4"/>
  <c r="D16" i="4"/>
  <c r="F16" i="4"/>
  <c r="D17" i="4"/>
  <c r="F17" i="4"/>
  <c r="G17" i="4" s="1"/>
  <c r="D18" i="4"/>
  <c r="G18" i="4" s="1"/>
  <c r="F18" i="4"/>
  <c r="D19" i="4"/>
  <c r="G19" i="4" s="1"/>
  <c r="B2" i="3"/>
  <c r="D11" i="3"/>
  <c r="B2" i="2"/>
  <c r="C9" i="2"/>
  <c r="B3" i="3" s="1"/>
  <c r="E9" i="2"/>
  <c r="E10" i="2"/>
  <c r="P10" i="2"/>
  <c r="C10" i="2" s="1"/>
  <c r="B3" i="4" s="1"/>
  <c r="F15" i="3" s="1"/>
  <c r="E11" i="2"/>
  <c r="E12" i="2"/>
  <c r="E16" i="2"/>
  <c r="E17" i="2"/>
  <c r="E18" i="2"/>
  <c r="D11" i="1"/>
  <c r="D21" i="1"/>
  <c r="E23" i="10" l="1"/>
  <c r="G20" i="12"/>
  <c r="G16" i="4"/>
  <c r="E42" i="5"/>
  <c r="E43" i="5" s="1"/>
  <c r="G22" i="12"/>
  <c r="F20" i="12"/>
  <c r="G15" i="4"/>
  <c r="G13" i="4"/>
  <c r="N35" i="7"/>
  <c r="N33" i="7"/>
  <c r="N15" i="7"/>
  <c r="N11" i="7"/>
  <c r="L10" i="10"/>
  <c r="J12" i="11"/>
  <c r="N14" i="7"/>
  <c r="Q7" i="7"/>
  <c r="Q14" i="7" s="1"/>
  <c r="S14" i="7" s="1"/>
  <c r="E18" i="10"/>
  <c r="D20" i="12"/>
  <c r="J29" i="7"/>
  <c r="J30" i="7"/>
  <c r="J26" i="7"/>
  <c r="J27" i="7"/>
  <c r="J28" i="7"/>
  <c r="J25" i="7"/>
  <c r="M25" i="7"/>
  <c r="M29" i="7"/>
  <c r="M26" i="7"/>
  <c r="M30" i="7"/>
  <c r="M27" i="7"/>
  <c r="M28" i="7"/>
  <c r="I12" i="7"/>
  <c r="I13" i="7"/>
  <c r="I15" i="7"/>
  <c r="J26" i="8"/>
  <c r="J27" i="8"/>
  <c r="J28" i="8"/>
  <c r="J25" i="8"/>
  <c r="J29" i="8"/>
  <c r="J30" i="8"/>
  <c r="M29" i="8"/>
  <c r="M26" i="8"/>
  <c r="M28" i="8"/>
  <c r="M27" i="8"/>
  <c r="M25" i="8"/>
  <c r="M30" i="8"/>
  <c r="I12" i="8"/>
  <c r="I13" i="8"/>
  <c r="I15" i="8"/>
  <c r="J26" i="9"/>
  <c r="J27" i="9"/>
  <c r="J28" i="9"/>
  <c r="J29" i="9"/>
  <c r="J30" i="9"/>
  <c r="J25" i="9"/>
  <c r="M25" i="9"/>
  <c r="M26" i="9"/>
  <c r="M28" i="9"/>
  <c r="M27" i="9"/>
  <c r="M29" i="9"/>
  <c r="M30" i="9"/>
  <c r="I12" i="9"/>
  <c r="I13" i="9"/>
  <c r="I15" i="9"/>
  <c r="H11" i="7"/>
  <c r="E26" i="7"/>
  <c r="E27" i="7"/>
  <c r="E28" i="7"/>
  <c r="E25" i="7"/>
  <c r="E29" i="7"/>
  <c r="E30" i="7"/>
  <c r="G29" i="7"/>
  <c r="G30" i="7"/>
  <c r="G26" i="7"/>
  <c r="G27" i="7"/>
  <c r="G28" i="7"/>
  <c r="G25" i="7"/>
  <c r="K29" i="7"/>
  <c r="K30" i="7"/>
  <c r="K26" i="7"/>
  <c r="K27" i="7"/>
  <c r="K28" i="7"/>
  <c r="K25" i="7"/>
  <c r="B12" i="12"/>
  <c r="H13" i="7"/>
  <c r="H14" i="7"/>
  <c r="E25" i="8"/>
  <c r="H11" i="8"/>
  <c r="E26" i="8"/>
  <c r="E28" i="8"/>
  <c r="E29" i="8"/>
  <c r="E30" i="8"/>
  <c r="E27" i="8"/>
  <c r="G29" i="8"/>
  <c r="G30" i="8"/>
  <c r="G26" i="8"/>
  <c r="G27" i="8"/>
  <c r="G28" i="8"/>
  <c r="G25" i="8"/>
  <c r="K29" i="8"/>
  <c r="K30" i="8"/>
  <c r="K26" i="8"/>
  <c r="K27" i="8"/>
  <c r="K28" i="8"/>
  <c r="K25" i="8"/>
  <c r="H13" i="8"/>
  <c r="H14" i="8"/>
  <c r="E25" i="9"/>
  <c r="H11" i="9"/>
  <c r="E29" i="9"/>
  <c r="E30" i="9"/>
  <c r="E28" i="9"/>
  <c r="E27" i="9"/>
  <c r="E26" i="9"/>
  <c r="G25" i="9"/>
  <c r="G26" i="9"/>
  <c r="G30" i="9"/>
  <c r="G28" i="9"/>
  <c r="G29" i="9"/>
  <c r="G27" i="9"/>
  <c r="K25" i="9"/>
  <c r="K28" i="9"/>
  <c r="K27" i="9"/>
  <c r="K29" i="9"/>
  <c r="K26" i="9"/>
  <c r="K30" i="9"/>
  <c r="H13" i="9"/>
  <c r="H14" i="9"/>
  <c r="D25" i="7"/>
  <c r="I11" i="7"/>
  <c r="D29" i="7"/>
  <c r="D28" i="7"/>
  <c r="D30" i="7"/>
  <c r="D26" i="7"/>
  <c r="D27" i="7"/>
  <c r="F29" i="7"/>
  <c r="F30" i="7"/>
  <c r="F26" i="7"/>
  <c r="F27" i="7"/>
  <c r="F28" i="7"/>
  <c r="F25" i="7"/>
  <c r="I14" i="7"/>
  <c r="D29" i="8"/>
  <c r="D26" i="8"/>
  <c r="D28" i="8"/>
  <c r="I11" i="8"/>
  <c r="D30" i="8"/>
  <c r="D27" i="8"/>
  <c r="D25" i="8"/>
  <c r="F26" i="8"/>
  <c r="F27" i="8"/>
  <c r="F28" i="8"/>
  <c r="F25" i="8"/>
  <c r="F30" i="8"/>
  <c r="F29" i="8"/>
  <c r="I14" i="8"/>
  <c r="D25" i="9"/>
  <c r="D28" i="9"/>
  <c r="I11" i="9"/>
  <c r="D27" i="9"/>
  <c r="D29" i="9"/>
  <c r="D26" i="9"/>
  <c r="D30" i="9"/>
  <c r="F26" i="9"/>
  <c r="F27" i="9"/>
  <c r="F28" i="9"/>
  <c r="F25" i="9"/>
  <c r="F29" i="9"/>
  <c r="F30" i="9"/>
  <c r="I14" i="9"/>
  <c r="B10" i="12"/>
  <c r="B11" i="12"/>
  <c r="H12" i="7"/>
  <c r="B13" i="12"/>
  <c r="B14" i="12"/>
  <c r="H15" i="7"/>
  <c r="H12" i="8"/>
  <c r="H15" i="8"/>
  <c r="H12" i="9"/>
  <c r="H15" i="9"/>
  <c r="G21" i="4"/>
  <c r="D15" i="3" s="1"/>
  <c r="P11" i="2"/>
  <c r="B2" i="10"/>
  <c r="B2" i="12"/>
  <c r="B2" i="11"/>
  <c r="B2" i="9"/>
  <c r="B33" i="9" s="1"/>
  <c r="B2" i="8"/>
  <c r="B33" i="8" s="1"/>
  <c r="B2" i="5"/>
  <c r="B2" i="4"/>
  <c r="B2" i="7"/>
  <c r="B33" i="7" s="1"/>
  <c r="E14" i="5"/>
  <c r="E15" i="5" s="1"/>
  <c r="F9" i="5"/>
  <c r="F14" i="5" s="1"/>
  <c r="F15" i="5" s="1"/>
  <c r="N7" i="8"/>
  <c r="B4" i="8" s="1"/>
  <c r="D45" i="5"/>
  <c r="K33" i="8"/>
  <c r="K33" i="7"/>
  <c r="K33" i="9"/>
  <c r="B31" i="11"/>
  <c r="E34" i="11"/>
  <c r="Q11" i="7"/>
  <c r="Q12" i="7"/>
  <c r="S12" i="7" s="1"/>
  <c r="Q13" i="7"/>
  <c r="S13" i="7" s="1"/>
  <c r="Q15" i="7"/>
  <c r="S15" i="7" s="1"/>
  <c r="F40" i="5"/>
  <c r="E45" i="5"/>
  <c r="N25" i="7"/>
  <c r="N28" i="7"/>
  <c r="N27" i="7"/>
  <c r="J14" i="12"/>
  <c r="K14" i="12" s="1"/>
  <c r="I20" i="12"/>
  <c r="I21" i="12"/>
  <c r="I22" i="12"/>
  <c r="I23" i="12"/>
  <c r="I24" i="12"/>
  <c r="I25" i="12"/>
  <c r="E19" i="10"/>
  <c r="E24" i="11"/>
  <c r="F24" i="11" s="1"/>
  <c r="E26" i="11"/>
  <c r="F26" i="11" s="1"/>
  <c r="G24" i="12"/>
  <c r="L11" i="10"/>
  <c r="L13" i="10"/>
  <c r="L15" i="10"/>
  <c r="E21" i="10"/>
  <c r="L12" i="10"/>
  <c r="E23" i="11"/>
  <c r="F23" i="11" s="1"/>
  <c r="G35" i="12"/>
  <c r="G25" i="12"/>
  <c r="H20" i="12"/>
  <c r="E20" i="10"/>
  <c r="H35" i="12"/>
  <c r="D35" i="12"/>
  <c r="H25" i="12"/>
  <c r="D25" i="12"/>
  <c r="H24" i="12"/>
  <c r="D24" i="12"/>
  <c r="H23" i="12"/>
  <c r="D23" i="12"/>
  <c r="H22" i="12"/>
  <c r="D22" i="12"/>
  <c r="H21" i="12"/>
  <c r="D21" i="12"/>
  <c r="G21" i="12"/>
  <c r="E22" i="10"/>
  <c r="J25" i="12"/>
  <c r="F25" i="12"/>
  <c r="J24" i="12"/>
  <c r="F24" i="12"/>
  <c r="J23" i="12"/>
  <c r="F23" i="12"/>
  <c r="J22" i="12"/>
  <c r="F22" i="12"/>
  <c r="J21" i="12"/>
  <c r="F21" i="12"/>
  <c r="N26" i="7" l="1"/>
  <c r="N30" i="7"/>
  <c r="N29" i="7"/>
  <c r="F25" i="11"/>
  <c r="F28" i="11" s="1"/>
  <c r="J20" i="12"/>
  <c r="K22" i="12"/>
  <c r="K21" i="12"/>
  <c r="K25" i="12"/>
  <c r="K24" i="12"/>
  <c r="K23" i="12"/>
  <c r="S11" i="7"/>
  <c r="Q29" i="7"/>
  <c r="Q30" i="7"/>
  <c r="Q26" i="7"/>
  <c r="Q27" i="7"/>
  <c r="Q28" i="7"/>
  <c r="Q25" i="7"/>
  <c r="K35" i="7"/>
  <c r="T33" i="7"/>
  <c r="J6" i="11"/>
  <c r="F25" i="5"/>
  <c r="F36" i="5" s="1"/>
  <c r="N7" i="9"/>
  <c r="B4" i="9" s="1"/>
  <c r="B51" i="5"/>
  <c r="K20" i="12"/>
  <c r="H27" i="9"/>
  <c r="H26" i="9"/>
  <c r="H30" i="9"/>
  <c r="H25" i="9"/>
  <c r="H29" i="9"/>
  <c r="H28" i="9"/>
  <c r="F42" i="5"/>
  <c r="F43" i="5" s="1"/>
  <c r="B35" i="8"/>
  <c r="Y35" i="8" s="1"/>
  <c r="Y33" i="8"/>
  <c r="AB26" i="8" s="1"/>
  <c r="I25" i="8"/>
  <c r="I29" i="8"/>
  <c r="I27" i="8"/>
  <c r="I30" i="8"/>
  <c r="I26" i="8"/>
  <c r="I28" i="8"/>
  <c r="I26" i="7"/>
  <c r="I27" i="7"/>
  <c r="I28" i="7"/>
  <c r="I25" i="7"/>
  <c r="I29" i="7"/>
  <c r="I30" i="7"/>
  <c r="H29" i="8"/>
  <c r="H27" i="8"/>
  <c r="H30" i="8"/>
  <c r="H25" i="8"/>
  <c r="H26" i="8"/>
  <c r="H28" i="8"/>
  <c r="K35" i="9"/>
  <c r="AB30" i="9" s="1"/>
  <c r="T33" i="9"/>
  <c r="N11" i="8"/>
  <c r="N15" i="8"/>
  <c r="Q7" i="8"/>
  <c r="N12" i="8"/>
  <c r="N35" i="8"/>
  <c r="E14" i="2"/>
  <c r="N13" i="8"/>
  <c r="N14" i="8"/>
  <c r="N33" i="8"/>
  <c r="B35" i="7"/>
  <c r="Y35" i="7" s="1"/>
  <c r="Y33" i="7"/>
  <c r="AB26" i="7" s="1"/>
  <c r="Y33" i="9"/>
  <c r="AB26" i="9" s="1"/>
  <c r="B35" i="9"/>
  <c r="Y35" i="9" s="1"/>
  <c r="C11" i="2"/>
  <c r="B3" i="5" s="1"/>
  <c r="F9" i="3" s="1"/>
  <c r="P12" i="2"/>
  <c r="E32" i="11"/>
  <c r="F32" i="11" s="1"/>
  <c r="E35" i="11"/>
  <c r="F35" i="11" s="1"/>
  <c r="E33" i="11"/>
  <c r="F33" i="11" s="1"/>
  <c r="T33" i="8"/>
  <c r="K35" i="8"/>
  <c r="I25" i="9"/>
  <c r="I28" i="9"/>
  <c r="I29" i="9"/>
  <c r="I30" i="9"/>
  <c r="I27" i="9"/>
  <c r="I26" i="9"/>
  <c r="H25" i="7"/>
  <c r="H29" i="7"/>
  <c r="H27" i="7"/>
  <c r="H28" i="7"/>
  <c r="H30" i="7"/>
  <c r="H26" i="7"/>
  <c r="P13" i="2" l="1"/>
  <c r="C12" i="2"/>
  <c r="B3" i="6" s="1"/>
  <c r="U33" i="9"/>
  <c r="W33" i="9" s="1"/>
  <c r="V33" i="9"/>
  <c r="N11" i="9"/>
  <c r="N15" i="9"/>
  <c r="E15" i="2"/>
  <c r="N13" i="9"/>
  <c r="Q7" i="9"/>
  <c r="N33" i="9"/>
  <c r="N12" i="9"/>
  <c r="N14" i="9"/>
  <c r="N35" i="9"/>
  <c r="T35" i="7"/>
  <c r="F45" i="5"/>
  <c r="S25" i="7"/>
  <c r="S29" i="7"/>
  <c r="S26" i="7"/>
  <c r="S27" i="7"/>
  <c r="S30" i="7"/>
  <c r="S28" i="7"/>
  <c r="T35" i="8"/>
  <c r="V33" i="7"/>
  <c r="U33" i="7"/>
  <c r="W33" i="7" s="1"/>
  <c r="D10" i="5"/>
  <c r="O7" i="7"/>
  <c r="Q13" i="8"/>
  <c r="Q14" i="8"/>
  <c r="Q12" i="8"/>
  <c r="Q11" i="8"/>
  <c r="Q15" i="8"/>
  <c r="V33" i="8"/>
  <c r="U33" i="8"/>
  <c r="W33" i="8" s="1"/>
  <c r="F34" i="11"/>
  <c r="F37" i="11" s="1"/>
  <c r="AB30" i="8"/>
  <c r="N25" i="8"/>
  <c r="N30" i="8"/>
  <c r="N26" i="8"/>
  <c r="N28" i="8"/>
  <c r="N29" i="8"/>
  <c r="N27" i="8"/>
  <c r="T35" i="9"/>
  <c r="B39" i="11"/>
  <c r="E42" i="11"/>
  <c r="AB30" i="7"/>
  <c r="U35" i="9" l="1"/>
  <c r="W35" i="9" s="1"/>
  <c r="V35" i="9"/>
  <c r="O7" i="8"/>
  <c r="E10" i="5"/>
  <c r="S14" i="8"/>
  <c r="U35" i="7"/>
  <c r="W35" i="7" s="1"/>
  <c r="V35" i="7"/>
  <c r="E41" i="11"/>
  <c r="F41" i="11" s="1"/>
  <c r="E43" i="11"/>
  <c r="F43" i="11" s="1"/>
  <c r="E40" i="11"/>
  <c r="F40" i="11" s="1"/>
  <c r="S15" i="8"/>
  <c r="S13" i="8"/>
  <c r="U35" i="8"/>
  <c r="W35" i="8" s="1"/>
  <c r="V35" i="8"/>
  <c r="Q13" i="9"/>
  <c r="Q11" i="9"/>
  <c r="Q15" i="9"/>
  <c r="Q14" i="9"/>
  <c r="Q12" i="9"/>
  <c r="N25" i="9"/>
  <c r="N27" i="9"/>
  <c r="N29" i="9"/>
  <c r="N30" i="9"/>
  <c r="N26" i="9"/>
  <c r="N28" i="9"/>
  <c r="P14" i="2"/>
  <c r="C13" i="2"/>
  <c r="B3" i="7" s="1"/>
  <c r="S12" i="8"/>
  <c r="D17" i="5"/>
  <c r="D16" i="5"/>
  <c r="D19" i="5" s="1"/>
  <c r="D26" i="5"/>
  <c r="Q29" i="8"/>
  <c r="Q30" i="8"/>
  <c r="Q26" i="8"/>
  <c r="Q27" i="8"/>
  <c r="Q28" i="8"/>
  <c r="Q25" i="8"/>
  <c r="S11" i="8"/>
  <c r="O33" i="7"/>
  <c r="X33" i="7" s="1"/>
  <c r="O35" i="7"/>
  <c r="O11" i="7"/>
  <c r="T11" i="7" s="1"/>
  <c r="V11" i="7" s="1"/>
  <c r="O12" i="7"/>
  <c r="O13" i="7"/>
  <c r="O14" i="7"/>
  <c r="O15" i="7"/>
  <c r="U11" i="7" l="1"/>
  <c r="T15" i="7"/>
  <c r="T14" i="7"/>
  <c r="T13" i="7"/>
  <c r="T12" i="7"/>
  <c r="W11" i="7"/>
  <c r="O14" i="8"/>
  <c r="O11" i="8"/>
  <c r="O15" i="8"/>
  <c r="O12" i="8"/>
  <c r="O33" i="8"/>
  <c r="X33" i="8" s="1"/>
  <c r="O35" i="8"/>
  <c r="O13" i="8"/>
  <c r="E17" i="5"/>
  <c r="E26" i="5"/>
  <c r="E16" i="5"/>
  <c r="D29" i="5"/>
  <c r="D30" i="5" s="1"/>
  <c r="D32" i="5" s="1"/>
  <c r="D48" i="5" s="1"/>
  <c r="T15" i="8"/>
  <c r="X11" i="7"/>
  <c r="Y11" i="7" s="1"/>
  <c r="S12" i="9"/>
  <c r="S13" i="9"/>
  <c r="F42" i="11"/>
  <c r="F45" i="11" s="1"/>
  <c r="S15" i="9"/>
  <c r="T12" i="8"/>
  <c r="Q25" i="9"/>
  <c r="Q28" i="9"/>
  <c r="Q27" i="9"/>
  <c r="Q30" i="9"/>
  <c r="Q26" i="9"/>
  <c r="Q29" i="9"/>
  <c r="S11" i="9"/>
  <c r="O29" i="7"/>
  <c r="O30" i="7"/>
  <c r="O26" i="7"/>
  <c r="O27" i="7"/>
  <c r="O28" i="7"/>
  <c r="O25" i="7"/>
  <c r="S29" i="8"/>
  <c r="S27" i="8"/>
  <c r="S25" i="8"/>
  <c r="S26" i="8"/>
  <c r="S28" i="8"/>
  <c r="S30" i="8"/>
  <c r="T11" i="8"/>
  <c r="C14" i="2"/>
  <c r="B3" i="8" s="1"/>
  <c r="P15" i="2"/>
  <c r="S14" i="9"/>
  <c r="X35" i="8"/>
  <c r="T13" i="8"/>
  <c r="X35" i="7"/>
  <c r="T14" i="8"/>
  <c r="E19" i="5" l="1"/>
  <c r="T25" i="7"/>
  <c r="V13" i="7"/>
  <c r="U13" i="7"/>
  <c r="W13" i="7" s="1"/>
  <c r="V15" i="7"/>
  <c r="U15" i="7"/>
  <c r="W15" i="7" s="1"/>
  <c r="V12" i="7"/>
  <c r="U12" i="7"/>
  <c r="T26" i="7"/>
  <c r="T27" i="7"/>
  <c r="T29" i="7"/>
  <c r="T28" i="7"/>
  <c r="T30" i="7"/>
  <c r="V14" i="7"/>
  <c r="U14" i="7"/>
  <c r="W14" i="7" s="1"/>
  <c r="T25" i="8"/>
  <c r="U11" i="8"/>
  <c r="V11" i="8"/>
  <c r="T29" i="8"/>
  <c r="T27" i="8"/>
  <c r="T28" i="8"/>
  <c r="T30" i="8"/>
  <c r="T26" i="8"/>
  <c r="V13" i="8"/>
  <c r="U13" i="8"/>
  <c r="W13" i="8" s="1"/>
  <c r="U12" i="8"/>
  <c r="W12" i="8" s="1"/>
  <c r="V12" i="8"/>
  <c r="C15" i="2"/>
  <c r="B3" i="9" s="1"/>
  <c r="B52" i="5" s="1"/>
  <c r="P16" i="2"/>
  <c r="U14" i="8"/>
  <c r="W14" i="8" s="1"/>
  <c r="V14" i="8"/>
  <c r="S28" i="9"/>
  <c r="S25" i="9"/>
  <c r="S30" i="9"/>
  <c r="S27" i="9"/>
  <c r="S29" i="9"/>
  <c r="S26" i="9"/>
  <c r="O7" i="9"/>
  <c r="F10" i="5"/>
  <c r="U15" i="8"/>
  <c r="W15" i="8" s="1"/>
  <c r="V15" i="8"/>
  <c r="E29" i="5"/>
  <c r="E30" i="5" s="1"/>
  <c r="E32" i="5" s="1"/>
  <c r="E48" i="5" s="1"/>
  <c r="O26" i="8"/>
  <c r="O27" i="8"/>
  <c r="O28" i="8"/>
  <c r="O25" i="8"/>
  <c r="O30" i="8"/>
  <c r="O29" i="8"/>
  <c r="X14" i="8" l="1"/>
  <c r="Y14" i="8" s="1"/>
  <c r="X14" i="7"/>
  <c r="Y14" i="7" s="1"/>
  <c r="X12" i="8"/>
  <c r="Y12" i="8" s="1"/>
  <c r="X15" i="8"/>
  <c r="Y15" i="8" s="1"/>
  <c r="W12" i="7"/>
  <c r="U25" i="7"/>
  <c r="U26" i="7"/>
  <c r="U29" i="7"/>
  <c r="U27" i="7"/>
  <c r="U30" i="7"/>
  <c r="U28" i="7"/>
  <c r="X12" i="7"/>
  <c r="V26" i="7"/>
  <c r="V27" i="7"/>
  <c r="V29" i="7"/>
  <c r="V28" i="7"/>
  <c r="V30" i="7"/>
  <c r="V25" i="7"/>
  <c r="X13" i="7"/>
  <c r="Y13" i="7" s="1"/>
  <c r="X15" i="7"/>
  <c r="Y15" i="7" s="1"/>
  <c r="F16" i="5"/>
  <c r="F19" i="5" s="1"/>
  <c r="F17" i="5"/>
  <c r="F26" i="5"/>
  <c r="O14" i="9"/>
  <c r="T14" i="9" s="1"/>
  <c r="O12" i="9"/>
  <c r="T12" i="9" s="1"/>
  <c r="O13" i="9"/>
  <c r="T13" i="9" s="1"/>
  <c r="V13" i="9" s="1"/>
  <c r="O33" i="9"/>
  <c r="X33" i="9" s="1"/>
  <c r="O11" i="9"/>
  <c r="T11" i="9" s="1"/>
  <c r="V11" i="9" s="1"/>
  <c r="O15" i="9"/>
  <c r="T15" i="9" s="1"/>
  <c r="O35" i="9"/>
  <c r="X35" i="9" s="1"/>
  <c r="U14" i="9"/>
  <c r="W14" i="9" s="1"/>
  <c r="V14" i="9"/>
  <c r="V29" i="8"/>
  <c r="V26" i="8"/>
  <c r="V27" i="8"/>
  <c r="V28" i="8"/>
  <c r="V30" i="8"/>
  <c r="V25" i="8"/>
  <c r="U26" i="8"/>
  <c r="U27" i="8"/>
  <c r="U28" i="8"/>
  <c r="U25" i="8"/>
  <c r="U30" i="8"/>
  <c r="W11" i="8"/>
  <c r="X11" i="8" s="1"/>
  <c r="Y11" i="8" s="1"/>
  <c r="U29" i="8"/>
  <c r="P17" i="2"/>
  <c r="C16" i="2"/>
  <c r="B3" i="10" s="1"/>
  <c r="F11" i="3" s="1"/>
  <c r="T25" i="9"/>
  <c r="U11" i="9"/>
  <c r="T26" i="9"/>
  <c r="T29" i="9"/>
  <c r="T28" i="9"/>
  <c r="T27" i="9"/>
  <c r="U12" i="9"/>
  <c r="W12" i="9" s="1"/>
  <c r="V12" i="9"/>
  <c r="V15" i="9"/>
  <c r="U15" i="9"/>
  <c r="W15" i="9" s="1"/>
  <c r="X13" i="8"/>
  <c r="Y13" i="8" s="1"/>
  <c r="U13" i="9" l="1"/>
  <c r="W13" i="9" s="1"/>
  <c r="T30" i="9"/>
  <c r="Y25" i="8"/>
  <c r="Y26" i="8"/>
  <c r="Y29" i="8"/>
  <c r="Y27" i="8"/>
  <c r="Y30" i="8"/>
  <c r="Y28" i="8"/>
  <c r="X14" i="9"/>
  <c r="Y14" i="9" s="1"/>
  <c r="W30" i="7"/>
  <c r="W26" i="7"/>
  <c r="W25" i="7"/>
  <c r="W29" i="7"/>
  <c r="W28" i="7"/>
  <c r="W27" i="7"/>
  <c r="Y12" i="7"/>
  <c r="X27" i="7"/>
  <c r="X29" i="7"/>
  <c r="X30" i="7"/>
  <c r="X28" i="7"/>
  <c r="X25" i="7"/>
  <c r="X26" i="7"/>
  <c r="X25" i="8"/>
  <c r="X26" i="8"/>
  <c r="X28" i="8"/>
  <c r="X27" i="8"/>
  <c r="X29" i="8"/>
  <c r="X30" i="8"/>
  <c r="U26" i="9"/>
  <c r="U27" i="9"/>
  <c r="U28" i="9"/>
  <c r="W11" i="9"/>
  <c r="X11" i="9" s="1"/>
  <c r="Y11" i="9" s="1"/>
  <c r="U29" i="9"/>
  <c r="U30" i="9"/>
  <c r="U25" i="9"/>
  <c r="P18" i="2"/>
  <c r="C18" i="2" s="1"/>
  <c r="B3" i="12" s="1"/>
  <c r="C17" i="2"/>
  <c r="B3" i="11" s="1"/>
  <c r="H10" i="5" s="1"/>
  <c r="H26" i="5" s="1"/>
  <c r="W26" i="8"/>
  <c r="W28" i="8"/>
  <c r="W27" i="8"/>
  <c r="W29" i="8"/>
  <c r="W30" i="8"/>
  <c r="W25" i="8"/>
  <c r="F29" i="5"/>
  <c r="F30" i="5" s="1"/>
  <c r="F32" i="5" s="1"/>
  <c r="F48" i="5" s="1"/>
  <c r="D9" i="3" s="1"/>
  <c r="D13" i="3" s="1"/>
  <c r="D17" i="3" s="1"/>
  <c r="X15" i="9"/>
  <c r="Y15" i="9" s="1"/>
  <c r="O26" i="9"/>
  <c r="O27" i="9"/>
  <c r="O28" i="9"/>
  <c r="O25" i="9"/>
  <c r="O29" i="9"/>
  <c r="O30" i="9"/>
  <c r="X12" i="9"/>
  <c r="Y12" i="9" s="1"/>
  <c r="V25" i="9"/>
  <c r="V27" i="9"/>
  <c r="V26" i="9"/>
  <c r="V29" i="9"/>
  <c r="V30" i="9"/>
  <c r="V28" i="9"/>
  <c r="X13" i="9"/>
  <c r="Y13" i="9" s="1"/>
  <c r="Y30" i="7" l="1"/>
  <c r="Y26" i="7"/>
  <c r="Y29" i="7"/>
  <c r="Y27" i="7"/>
  <c r="Y25" i="7"/>
  <c r="Y31" i="7" s="1"/>
  <c r="AB27" i="7" s="1"/>
  <c r="AB29" i="7" s="1"/>
  <c r="AB31" i="7" s="1"/>
  <c r="Y28" i="7"/>
  <c r="Y26" i="9"/>
  <c r="Y30" i="9"/>
  <c r="Y27" i="9"/>
  <c r="Y28" i="9"/>
  <c r="Y25" i="9"/>
  <c r="Y29" i="9"/>
  <c r="Y31" i="8"/>
  <c r="AB27" i="8" s="1"/>
  <c r="AB29" i="8" s="1"/>
  <c r="AB31" i="8" s="1"/>
  <c r="W25" i="9"/>
  <c r="W28" i="9"/>
  <c r="W27" i="9"/>
  <c r="W26" i="9"/>
  <c r="W29" i="9"/>
  <c r="W30" i="9"/>
  <c r="X25" i="9"/>
  <c r="X29" i="9"/>
  <c r="X30" i="9"/>
  <c r="X28" i="9"/>
  <c r="X27" i="9"/>
  <c r="X26" i="9"/>
  <c r="Y31" i="9" l="1"/>
  <c r="AB27" i="9" s="1"/>
  <c r="AB29" i="9" s="1"/>
  <c r="AB31" i="9" s="1"/>
  <c r="D25" i="3"/>
</calcChain>
</file>

<file path=xl/sharedStrings.xml><?xml version="1.0" encoding="utf-8"?>
<sst xmlns="http://schemas.openxmlformats.org/spreadsheetml/2006/main" count="647" uniqueCount="305">
  <si>
    <t>Satellite Healthcare</t>
  </si>
  <si>
    <t>Privileged and Confidential</t>
  </si>
  <si>
    <t>Outline</t>
  </si>
  <si>
    <t>Number of Pages</t>
  </si>
  <si>
    <t>A</t>
  </si>
  <si>
    <t>B</t>
  </si>
  <si>
    <t>Workpapers</t>
  </si>
  <si>
    <t>Discount Summary</t>
  </si>
  <si>
    <t>Discounts</t>
  </si>
  <si>
    <t>Reference</t>
  </si>
  <si>
    <t>DLOM</t>
  </si>
  <si>
    <t>(a)</t>
  </si>
  <si>
    <t>DLOC</t>
  </si>
  <si>
    <t>(b)</t>
  </si>
  <si>
    <t>Total Discount</t>
  </si>
  <si>
    <t>(c) = (a) + (b)</t>
  </si>
  <si>
    <t>9-Factor Adjustment</t>
  </si>
  <si>
    <t>(d)</t>
  </si>
  <si>
    <t>Adjusted Total Discount</t>
  </si>
  <si>
    <t>(e) = (c) * [1+(d)]</t>
  </si>
  <si>
    <t>9-Factor Discount Adjustment Analysis</t>
  </si>
  <si>
    <t>9-Factor Analysis</t>
  </si>
  <si>
    <t>Parameter</t>
  </si>
  <si>
    <t>Weight</t>
  </si>
  <si>
    <t>Score (1 to 3)</t>
  </si>
  <si>
    <t>Discount Impact</t>
  </si>
  <si>
    <t>Score 
(-2 to 2)</t>
  </si>
  <si>
    <t>Adjustment</t>
  </si>
  <si>
    <t>Comment(s)</t>
  </si>
  <si>
    <t>Description</t>
  </si>
  <si>
    <t>Score</t>
  </si>
  <si>
    <t>Low</t>
  </si>
  <si>
    <t>Decrease</t>
  </si>
  <si>
    <t>Ability to Sell Interest</t>
  </si>
  <si>
    <t>High</t>
  </si>
  <si>
    <t>Increase</t>
  </si>
  <si>
    <t>Moderate</t>
  </si>
  <si>
    <t>Slight Decrease</t>
  </si>
  <si>
    <t>Cash Distributions</t>
  </si>
  <si>
    <t>Slight Increase</t>
  </si>
  <si>
    <t>Cash Distribution based on ownership, however, distributable cash determined based on sole discretion of the Manager, i.e. Satellite.</t>
  </si>
  <si>
    <t>Neutral</t>
  </si>
  <si>
    <t>Ownership Risk</t>
  </si>
  <si>
    <t>Agreement Term</t>
  </si>
  <si>
    <t>Historical Profits</t>
  </si>
  <si>
    <t>Debt</t>
  </si>
  <si>
    <t>No significant debt.</t>
  </si>
  <si>
    <t>Diversification</t>
  </si>
  <si>
    <t>Management Motivation</t>
  </si>
  <si>
    <t>Motivation assumed to be profit-oriented, considering the Company is professionally managed.</t>
  </si>
  <si>
    <t>Control of Management</t>
  </si>
  <si>
    <t>Total Adjustment</t>
  </si>
  <si>
    <t>Discount for Lack of Marketability</t>
  </si>
  <si>
    <t>Finnerty</t>
  </si>
  <si>
    <t xml:space="preserve">Years to Maturity </t>
  </si>
  <si>
    <t>(1)</t>
  </si>
  <si>
    <t>Risk-Free Rate</t>
  </si>
  <si>
    <t>Dividend Yield</t>
  </si>
  <si>
    <t>Volatility</t>
  </si>
  <si>
    <t>(2)</t>
  </si>
  <si>
    <t>(sigma^2)*T</t>
  </si>
  <si>
    <t>v</t>
  </si>
  <si>
    <t>Calculated DLOM</t>
  </si>
  <si>
    <t>Protective Put (European)</t>
  </si>
  <si>
    <t>Starting Price</t>
  </si>
  <si>
    <t>Strike Price</t>
  </si>
  <si>
    <t>Years to Maturity</t>
  </si>
  <si>
    <t>D1</t>
  </si>
  <si>
    <t>D2</t>
  </si>
  <si>
    <t>Asian Put</t>
  </si>
  <si>
    <t>v2T</t>
  </si>
  <si>
    <t>vT</t>
  </si>
  <si>
    <t>Concluded DLOM (3)</t>
  </si>
  <si>
    <t>Footnotes:</t>
  </si>
  <si>
    <t>(3)</t>
  </si>
  <si>
    <t>Summary of Restricted Stock Studies</t>
  </si>
  <si>
    <t>Study</t>
  </si>
  <si>
    <t>Discount</t>
  </si>
  <si>
    <t>Pre-1990</t>
  </si>
  <si>
    <t>Post-1990</t>
  </si>
  <si>
    <t>SEC overall average</t>
  </si>
  <si>
    <t>FMV Opinions, Inc.</t>
  </si>
  <si>
    <t>Gelman</t>
  </si>
  <si>
    <t>Management Planning, Inc.</t>
  </si>
  <si>
    <t>Trout</t>
  </si>
  <si>
    <t>Bajaj, et al.</t>
  </si>
  <si>
    <t>Moroney</t>
  </si>
  <si>
    <t>Johnson</t>
  </si>
  <si>
    <t>Maher</t>
  </si>
  <si>
    <t>Columbia Financial Advisors</t>
  </si>
  <si>
    <t>Standard Research Consultants</t>
  </si>
  <si>
    <t>Silber</t>
  </si>
  <si>
    <t>Willamette Management Associates</t>
  </si>
  <si>
    <t>Pre-1990 mean discount</t>
  </si>
  <si>
    <t>Post-1990 mean discount</t>
  </si>
  <si>
    <t>Val Date</t>
  </si>
  <si>
    <t>Filing</t>
  </si>
  <si>
    <t>F</t>
  </si>
  <si>
    <t>Values in $ Millions</t>
  </si>
  <si>
    <t>Version</t>
  </si>
  <si>
    <t>LFR</t>
  </si>
  <si>
    <t>Currency</t>
  </si>
  <si>
    <t>USD</t>
  </si>
  <si>
    <t>Conversion</t>
  </si>
  <si>
    <t>H</t>
  </si>
  <si>
    <t>Capitalization</t>
  </si>
  <si>
    <t>Asset Volatility Key Terms</t>
  </si>
  <si>
    <t>Asset Volatility Calculations</t>
  </si>
  <si>
    <t>Guideline Public Companies</t>
  </si>
  <si>
    <t>Market Cap</t>
  </si>
  <si>
    <t>Pref.</t>
  </si>
  <si>
    <t>Min. Int.</t>
  </si>
  <si>
    <t>Total Debt, Pref., MI</t>
  </si>
  <si>
    <t>MVIC</t>
  </si>
  <si>
    <t>Cash &amp; Equiv.</t>
  </si>
  <si>
    <t>Ent. Value</t>
  </si>
  <si>
    <t>Term</t>
  </si>
  <si>
    <t>Equity Vol.</t>
  </si>
  <si>
    <t>Variance</t>
  </si>
  <si>
    <t>N(D1)</t>
  </si>
  <si>
    <t>N(D2)</t>
  </si>
  <si>
    <t>Call Value</t>
  </si>
  <si>
    <t xml:space="preserve">Asset Vol. </t>
  </si>
  <si>
    <t>Ticker</t>
  </si>
  <si>
    <t>Asset Volatility - Company (For DLOM)</t>
  </si>
  <si>
    <t xml:space="preserve">Mean </t>
  </si>
  <si>
    <t>Asset Volatility - Comps</t>
  </si>
  <si>
    <t>Update this if not taking median</t>
  </si>
  <si>
    <t>Median</t>
  </si>
  <si>
    <t>1st Quartile</t>
  </si>
  <si>
    <t>3rd Quartile</t>
  </si>
  <si>
    <t>Selected</t>
  </si>
  <si>
    <t>Footnote:</t>
  </si>
  <si>
    <r>
      <t xml:space="preserve">The derivation of asset volatilities was estimated based on the methodologies outlined in Crosbie's paper entitled </t>
    </r>
    <r>
      <rPr>
        <i/>
        <sz val="10"/>
        <color theme="1"/>
        <rFont val="Times New Roman"/>
        <family val="1"/>
      </rPr>
      <t>Modeling Default Risk</t>
    </r>
    <r>
      <rPr>
        <sz val="10"/>
        <color theme="1"/>
        <rFont val="Times New Roman"/>
        <family val="1"/>
      </rPr>
      <t>.</t>
    </r>
  </si>
  <si>
    <t>Given the small size of the Company compared to well-capitalized Guideline Public Companies, we selected volatility between third quartile and high end of the range.</t>
  </si>
  <si>
    <t>Source: Capital IQ</t>
  </si>
  <si>
    <t>Control Premium Summary</t>
  </si>
  <si>
    <t>Capital IQ (1)</t>
  </si>
  <si>
    <t>Health Services</t>
  </si>
  <si>
    <t>1-Month</t>
  </si>
  <si>
    <t>Mean</t>
  </si>
  <si>
    <t>Combined  (3)</t>
  </si>
  <si>
    <t>Close Date</t>
  </si>
  <si>
    <t>Target Name</t>
  </si>
  <si>
    <t>Target Business Description</t>
  </si>
  <si>
    <t>Source</t>
  </si>
  <si>
    <t xml:space="preserve">Long Description </t>
  </si>
  <si>
    <t xml:space="preserve">Kindred Healthcare operates long-term acute care (LTAC) hospitals and inpatient rehabilitation facilities, as well as offers contract rehabilitation services. </t>
  </si>
  <si>
    <t>Transaction Screening 2</t>
  </si>
  <si>
    <t xml:space="preserve">Kindred Healthcare, LLC, through its subsidiaries, operates as a healthcare services company in the United States. The company operates long-term acute care (LTAC) hospitals and inpatient rehabilitation facilities, as well as offers contract rehabilitation services. As of March 31, 2018, it provided healthcare services in 1,831 locations in 45 states, including 75 LTAC hospitals, 19 inpatient rehabilitation hospitals, 13 sub-acute units, and 98 inpatient rehabilitation units (hospital-based), as well as contract rehabilitation service businesses which served 1,626 non-affiliated sites of service. The company was formerly known as Kindred Healthcare, Inc. and changed its name to Kindred Healthcare, LLC in July 2018. Kindred Healthcare, LLC is based in Louisville, Kentucky.
</t>
  </si>
  <si>
    <t>Almost Family, Inc.</t>
  </si>
  <si>
    <t>Almost Family, Inc., together with its subsidiaries, operates through three segments: Home Health, Other Home-Based Services, and Healthcare Innovations. The Home Health segment offers a range of Medicare-certified home health nursing services to patients in need of recuperative health care.</t>
  </si>
  <si>
    <t xml:space="preserve">"As of March 29, 2018, Almost Family, Inc. was acquired by LHC Group, Inc. Almost Family, Inc., together with its subsidiaries, provides home healthcare services in the United States. The company operates through three segments: Home Health, Other Home-Based Services, and Healthcare Innovations. The Home Health segment offers a range of Medicare-certified home health nursing services to patients in need of recuperative health care, as well as services to patients in lieu of additional care in other settings, including long term acute care hospitals, inpatient rehabilitation hospitals, or skilled nursing facilities. This segment also provides special clinically-based protocols to medically complex, chronic, and co-morbid patients. The Other Home-Based Services segment offers personal care, medication management, meal preparation, caregiver respite, and homemaking services in patients’ homes primarily on an as-needed, hourly basis, as well as to patients who would otherwise be admitted to skilled nursing facilities for long term custodial care. The Healthcare Innovations segment engages in the technology, information, population health management, risk-sharing, assessment, care coordination and transition, clinical advancements, enhanced patient engagement, and informed clinical decision activities. As of February 26, 2018, the company offered its home healthcare services with approximately 330 branch locations in 26 states. Almost Family, Inc. was founded in 1976 and is based in Louisville, Kentucky.
"
</t>
  </si>
  <si>
    <t>PharMerica Corporation</t>
  </si>
  <si>
    <t xml:space="preserve">PharMerica Corporation offers services to healthcare facilities; pharmacy management services to hospitals; specialty infusion services to patients outside hospitals; and oncology pharmacy services. </t>
  </si>
  <si>
    <t xml:space="preserve">PharMerica Corporation operates as an institutional pharmacy services company in the United States. The company offers services to healthcare facilities; pharmacy management services to hospitals; specialty infusion services to patients outside hospitals; and oncology pharmacy services. It purchases, repackages, and dispenses prescription and non-prescription pharmaceuticals in accordance with physician orders and delivers such medication to healthcare facilities for administration to individual patients and residents. The company also provides hospital pharmacy management services, including hospital pharmacy operations, regulatory and financial management services, and clinical pharmacy programs; consultant pharmacist services and medical records services; and care management and other related services to patients, oncology practices, and hospitals. It operates 99 institutional, 19 specialty infusion, and 4 specialty oncology pharmacies in 45 states. The company serves institutional healthcare providers, such as skilled nursing facilities, nursing centers, assisted living facilities, hospitals, individuals receiving in-home care, and other long-term alternative care providers. PharMerica Corporation was founded in 2006 and is headquartered in Louisville, Kentucky. As of December 7, 2017, PharMerica Corporation was taken private.
</t>
  </si>
  <si>
    <t>Pulse Health Limited</t>
  </si>
  <si>
    <t>Pulse Health Limited, together with its subsidiaries, acquires, develops, and operates specialist private hospitals and day surgeries in Australia. The company operates rehabilitation hospitals and units that provide interdisciplinary rehabilitation services for inpatients and outpatient/day therapy programs; and provides a range of surgical services.</t>
  </si>
  <si>
    <t>Pulse Health Limited, together with its subsidiaries, acquires, develops, and operates specialist private hospitals and day surgeries in Australia. The company operates rehabilitation hospitals and units that provide interdisciplinary rehabilitation services for inpatients and outpatient/day therapy programs; and provides a range of surgical services. Its rehabilitation services include joint replacements and fractures; musculoskeletal; multi-trauma rehabilitation; amputation rehabilitation and gait retraining; stroke, traumatic brain injury, multiple sclerosis, and Parkinson’s disease; spasticity management; pain management; reconditioning; cancer rehabilitation; cardiac (Phase II) and pulmonary programs; falls prevention and balance programs; and hydrotherapy. The company offers surgical services in the areas of ophthalmology; general surgery, including endoscopy; gynecology; orthopedics; plastic surgery; ear, nose, and throat; and oral and maxillofacial specialties. Pulse Health Limited is headquartered in Sydney, Australia. Pulse Health Limited operates as a subsidiary of Health Care Australia Pty Ltd.</t>
  </si>
  <si>
    <t>Health Net, Inc.</t>
  </si>
  <si>
    <t xml:space="preserve">Health Net, Inc. provides managed health care services through health and government-sponsored managed care plans in the United States. It operates through Western Region Operations and Government Contracts segments. The company offers various health care services, including ambulatory and outpatient physician care, hospital care, pharmacy services, behavioral health, and ancillary diagnostic and therapeutic services. </t>
  </si>
  <si>
    <t>Health Net, Inc. provides managed health care services through health and government-sponsored managed care plans in the United States. It operates through Western Region Operations and Government Contracts segments. The company offers various health care services, including ambulatory and outpatient physician care, hospital care, pharmacy services, behavioral health, and ancillary diagnostic and therapeutic services. It also offers health plans, such as a matrix package, which allows employers and members to select their desired coverage from various alternatives; and commercial health care products comprising health maintenance organization, preferred provider organization (PPO), point of service, and exclusive provider organization (EPO) plans. In addition, the company provides various Medicare products, including Medicare advantage plans with and without prescription drug coverage; and Medicare supplement products that supplement traditional fee-for-service Medicare coverage. Further, the company offers Medicaid and related products; insured PPO, EPO, and indemnity products; auxiliary non-health products, such as life, accidental death and dismemberment, dental, vision, and behavioral health insurance; and other specialty services and products comprising pharmacy benefits, as well as managed care products for hospitals, health plans, and other entities. Additionally, it is involved in government-sponsored managed care federal contract with the Department of Defense under the TRICARE program; and other health care, mental health, and behavioral health government contracts. The company also provides administrative services comprising provider network management, referral management, medical management, disease management, enrollment, customer service, clinical support service, and claims processing. Health Net, Inc. was founded in 1979 and is based in Woodland Hills, California. As of March 24, 2016, Health Net, Inc. operates as a subsidiary of Centene Corp.</t>
  </si>
  <si>
    <t>Omnicare Inc.</t>
  </si>
  <si>
    <t>Omnicare, Inc. operates as a healthcare services company that specializes in the management of pharmaceutical care in the United States. The company’s Long-Term Care Group segment offers pharmaceuticals, and related pharmacy and ancillary services to long-term care facilities; and chronic care facilities and other settings. This segment also operates institutional pharmacy business serving skilled nursing and assisted living facilities, independent living communities, hospitals, correctional facilities, and other healthcare service providers; and provides monthly patient drug therapy evaluations, and assistance in compliance with state and federal regulations, as well as offers proprietary clinical and health management programs.</t>
  </si>
  <si>
    <t>Omnicare, Inc. operates as a healthcare services company that specializes in the management of pharmaceutical care in the United States. The company’s Long-Term Care Group segment offers pharmaceuticals, and related pharmacy and ancillary services to long-term care facilities; and chronic care facilities and other settings. This segment also operates institutional pharmacy business serving skilled nursing and assisted living facilities, independent living communities, hospitals, correctional facilities, and other healthcare service providers; and provides monthly patient drug therapy evaluations, and assistance in compliance with state and federal regulations, as well as offers proprietary clinical and health management programs. In addition, it provides a suite of technology solutions based on its Omniview Web-based platform as the electronic ordering of prescription refills, proof-of-delivery tracking, and real-time validation of Medicare Part D coverage; intravenous medications and nutrition products, respiratory therapy services, and clinical care planning services; and pharmaceutical case management services for retirees, employees, and dependents. Its Specialty Care Group segment provides specialty pharmacy and commercialization services for the biopharmaceutical industry; and provides brand support services, supply chain solutions, patient support services, and specialty pharmacy platforms. This segments specialized drugs deal primarily with drugs and disease states, such as rheumatoid arthritis, multiple sclerosis, oncology, and growth hormones. Omnicare, Inc. was founded in 1981 and is headquartered in Cincinnati, Ohio. As of August 18, 2015, Omnicare Inc. operates as a subsidiary of CVS Pharmacy, Inc.</t>
  </si>
  <si>
    <t>MergerStat</t>
  </si>
  <si>
    <t>Mergerstat Control Premium</t>
  </si>
  <si>
    <t>Surgery Partners, Inc.</t>
  </si>
  <si>
    <t xml:space="preserve">Surgery Partners, Inc. operates through three segments: Surgical Facility Services, Ancillary Services, and Optical Services. The company’s surgical hospitals also provide a diagnostic laboratory, multi-specialty physician practices, urgent care facilities, anesthesia services, and optical services. </t>
  </si>
  <si>
    <t>BD sourced from CapIQ</t>
  </si>
  <si>
    <t>Surgery Partners, Inc., through its subsidiaries, operates surgical facilities in the United States. The company operates through three segments: Surgical Facility Services, Ancillary Services, and Optical Services. Its surgical facilities comprise ambulatory surgery centers and surgical hospitals that offer non-emergency surgical procedures in various specialties, including gastroenterology, general surgery, ophthalmology, orthopedics, and pain management. The company’s surgical hospitals also provide ancillary services, such as diagnostic imaging, pharmacy, laboratory, obstetrics, oncology, physical therapy, and wound care; and a suite of ancillary services, which consist of a diagnostic laboratory, multi-specialty physician practices, urgent care facilities, anesthesia services, and optical services. It also operates optical laboratory that manufactures eyewear. As of March 12, 2018, the company operated approximately 180 locations in 32 states, including ambulatory surgery centers, surgical hospitals, a diagnostic laboratory, multi-specialty physician practices, and urgent care facilities. Surgery Partners, Inc. was founded in 2004 and is headquartered in Brentwood, Tennessee.</t>
  </si>
  <si>
    <t>Clinica Baviera SA</t>
  </si>
  <si>
    <t>Clínica Baviera, S.A. is involved in the diagnosis, treatment, and monitoring of various types of ophthalmological disorders. The company’s clinics offers surgery services.</t>
  </si>
  <si>
    <t>Clínica Baviera, S.A. operates a network of ophthalmological clinics. It is involved in the diagnosis, treatment, and monitoring of various types of ophthalmological disorders. The company’s clinics offers myopia, hypermetropia, astigmatism, presbyopia, cataract, retina, pediatric ophthalmology and estrabology, glaucoma, oculoplasty, cornea, neuroftalmología, lagrimal track, and other treatments, as well as refractive surgery services. It operates approximately 80 centers in Spain, Germany, Austria, and Italy. The company is based in Madrid, Spain. Clínica Baviera, S.A. is a subsidiary of Aier Eye International (Europe), S.L.U.</t>
  </si>
  <si>
    <t>Circle Holdings PLC</t>
  </si>
  <si>
    <t xml:space="preserve">Circle Holdings Plc, together with its subsidiaries, owns and operates hospitals. The company provides healthcare services to privately insured, self-pay, and NHS-funded patients. </t>
  </si>
  <si>
    <t>Circle Holdings Plc, together with its subsidiaries, owns and operates hospitals. The company provides healthcare services to privately insured, self-pay, and NHS-funded patients. It is also involved in property ownership and development, and management activities; and provision of medical practice and financing services. Circle Holdings Plc was incorporated in 2008 and is headquartered in London, United Kingdom.</t>
  </si>
  <si>
    <t xml:space="preserve">Healthway Medical Corp. Ltd. </t>
  </si>
  <si>
    <t xml:space="preserve">Healthway Medical Corporation Limited, operates in two segments, Primary Healthcare, and Specialist and Wellness Healthcare. </t>
  </si>
  <si>
    <t>Healthway Medical Corporation Limited, an investment holding company, provides healthcare management services primarily in Singapore and China. The company operates in two segments, Primary Healthcare, and Specialist and Wellness Healthcare. The Primary Healthcare segment offers services in family medicine, dentistry, and healthcare benefit management areas, as well as invests in strategic medical related business. The Specialist and Wellness Healthcare segment serves in the areas of pediatrics, orthopedics, aesthetic medicine, obstetrics, and gynecology; and cardiology, gastroenterology, psychiatry, ophthalmology, otorhinolaryngology, and general surgery. The company also provides managed healthcare, medical, and consultancy services; offers products and services related to wellness and beauty; and deals in pharmaceutical and medical products. It owns, operates, and manages approximately 91 clinics medical centers. Healthway Medical Corporation Limited was founded in 1990 and is based in Singapore. Healthway Medical Corporation Limited operates as a subsidiary of Lippo China Resources Limited.</t>
  </si>
  <si>
    <t xml:space="preserve">Surgical Care Affiliates, Inc. </t>
  </si>
  <si>
    <t>Surgical Care Affiliates, LLC operates a network of surgery centers and surgical hospitals in the United States. It has partnerships with health plans, physician groups, and health systems to develop and optimize surgical facilities. The company was founded in 1982 and is headquartered in Deerfield, Illinois. Surgical Care Affiliates, LLC operates as a subsidiary of Surgical Care Affiliates, Inc.</t>
  </si>
  <si>
    <t xml:space="preserve">USMD Holdings, Inc. </t>
  </si>
  <si>
    <t>USMD Holdings, Inc., provides healthcare services to patients in physician clinics, hospitals, cancer treatment centers, and anatomical pathology and clinical laboratories in the United States.</t>
  </si>
  <si>
    <t>USMD Holdings, Inc., an early-stage physician-led integrated health system, provides healthcare services to patients in physician clinics, hospitals, cancer treatment centers, and anatomical pathology and clinical laboratories in the United States. It also provides management and operational services to two general acute care hospitals in Arlington and Fort Worth, Texas; and management and/or operational services to three cancer treatment centers in three states. In addition, the company owns and operates one independent diagnostic testing facility, one cancer treatment center, two clinical laboratories, one anatomical pathology laboratory, and one multi-specialty physician group practice in the Dallas-Fort Worth, Texas metropolitan area. Further, it offers managed entities with management, information technology, operations, and/or revenue cycle support services; and provision of healthcare information technology consulting services to third parties. The company is headquartered in Irving, Texas. USMD Holdings, Inc. is a subsidiary of UANT Ventures, L.P. As of September 30, 2016, USMD Holdings, Inc. operates as a subsidiary of WellMed Medical Management Inc.</t>
  </si>
  <si>
    <t>Alliance HealthCare Services, Inc.</t>
  </si>
  <si>
    <t>Alliance Healthcare Services, Inc. operates through three segments: Radiology, Oncology, and Interventional. The company offers radiology services, such as magnetic resonance imaging (MRI). It also provides oncology services, including conventional beam therapy.</t>
  </si>
  <si>
    <t>Alliance Healthcare Services, Inc. provides outsourced healthcare services to hospitals and healthcare providers in the United States. It operates through three segments: Radiology, Oncology, and Interventional. The company offers radiology services, such as magnetic resonance imaging (MRI), positron emission tomography (PET) and computed tomography (CT), nuclear medicine, ultrasound, X-Ray, mammography, and bone density screening services. It also provides oncology services, including conventional beam therapy, three-dimensional conformal radiation therapy, intensity modulated radiation therapy, image guided radiation therapy, stereotactic radiosurgery and stereotactic body radiotherapy, and low dose rate and high dose rate brachytherapy, as well as planning and preparation for treatment, simulation of treatment, delivery of radiation therapy, therapy management, and follow-up care services. In addition, the company offers minimally invasive interventional radiology and pain management services for a range of conditions and diseases, as well as laboratory testing and other services. As of December 31, 2015, it operated 625 diagnostic imaging and radiation therapy systems, including 113 fixed-site radiology centers, 33 radiation therapy centers and stereotactic radiosurgery facilities, 298 MRI systems, and 128 PET/CT systems. The company was founded in 1983 and is headquartered in Newport Beach, California. As of August 21, 2017, Alliance Healthcare Services, Inc. was taken private.</t>
  </si>
  <si>
    <t xml:space="preserve">Message Co., Ltd. </t>
  </si>
  <si>
    <t>Operates nursing homes.</t>
  </si>
  <si>
    <t>Source: Surgisite Boston</t>
  </si>
  <si>
    <t xml:space="preserve">IPC Healthcare, Inc. </t>
  </si>
  <si>
    <t xml:space="preserve">IPC Healthcare, Inc. provides, manages, and coordinates the care of hospitalized patients; and serves as the inpatient partner of primary care physicians and specialists. </t>
  </si>
  <si>
    <t>IPC Healthcare, Inc. provides acute hospitalist and post-acute care services the United States. The company provides, manages, and coordinates the care of hospitalized patients; and serves as the inpatient partner of primary care physicians and specialists. It also offers information management system, transition management, regional management, recruiting, training, financial reporting, billing and collections, risk management, and compliance services to affiliated clinicians. As of December 31, 2014, the company had 1,860 affiliated clinicians, including physicians, nurse practitioners, and physician assistants practice in approximately 410 hospitals, and 1,500 other inpatient and post-acute care facilities primarily in 28 states. The company was formerly known as IPC The Hospitalist Company, Inc. and changed its name to IPC Healthcare, Inc. in January 2015. IPC Healthcare, Inc. was founded in 1995 and is headquartered in North Hollywood, California. As of November 23, 2015, IPC Healthcare, Inc. operates as a subsidiary of Team Health Holdings, Inc.</t>
  </si>
  <si>
    <t>Vision Eye Institute Ltd.</t>
  </si>
  <si>
    <t>Vision Eye Institute Limited offers a range of services, including specialist eye care in the areas of corneal, refractive, cataract, and vitreo-retinal surgery; ocular plastics; glaucoma treatment and surgery; and treatment for macular degeneration.</t>
  </si>
  <si>
    <t>Vision Eye Institute Limited, together with its subsidiaries, provides ophthalmic services in Australia. The company offers a range of services, including specialist eye care in the areas of corneal, refractive, cataract, and vitreo-retinal surgery; ocular plastics; glaucoma treatment and surgery; and treatment for macular degeneration. It operates 18 consulting clinics, 8 day surgeries, and 7 refractive surgery facilities in Victoria, New South Wales, and Queensland. The company was founded in 2001 and is headquartered in Melbourne, Australia. As of October 21, 2015, Vision Eye Institute Limited operates as a subsidiary of Jangho Group Co., Ltd.</t>
  </si>
  <si>
    <t>Selected Control Premium (Common)</t>
  </si>
  <si>
    <t>Implied Discount for Lack of Control ("DLOC") - Common</t>
  </si>
  <si>
    <t>VD</t>
  </si>
  <si>
    <t>Risk-Free Rates</t>
  </si>
  <si>
    <t>Exit Term Ranges (Years)</t>
  </si>
  <si>
    <t>Cap IQ</t>
  </si>
  <si>
    <t>Term (Years)</t>
  </si>
  <si>
    <t>Min</t>
  </si>
  <si>
    <t>Max</t>
  </si>
  <si>
    <t>United States Treasury Constant Maturity - 1 Month</t>
  </si>
  <si>
    <t>IQ36183813</t>
  </si>
  <si>
    <t>United States Treasury Constant Maturity - 3 Month</t>
  </si>
  <si>
    <t>IQ36183816</t>
  </si>
  <si>
    <t>United States Treasury Constant Maturity - 6 Month</t>
  </si>
  <si>
    <t>IQ36183819</t>
  </si>
  <si>
    <t>United States Treasury Constant Maturity - 1 Year</t>
  </si>
  <si>
    <t>IQ36183822</t>
  </si>
  <si>
    <t>United States Treasury Constant Maturity - 2 Year</t>
  </si>
  <si>
    <t>IQ36183825</t>
  </si>
  <si>
    <t>United States Treasury Constant Maturity - 3 Year</t>
  </si>
  <si>
    <t>IQ36183828</t>
  </si>
  <si>
    <t>United States Treasury Constant Maturity - 5 Year</t>
  </si>
  <si>
    <t>IQ36183831</t>
  </si>
  <si>
    <t>United States Treasury Constant Maturity - 7 Year</t>
  </si>
  <si>
    <t>IQ36183834</t>
  </si>
  <si>
    <t>United States Treasury Constant Maturity - 10 Year</t>
  </si>
  <si>
    <t>IQ36183837</t>
  </si>
  <si>
    <t>United States Treasury Constant Maturity - 20 Year</t>
  </si>
  <si>
    <t>IQ36183840</t>
  </si>
  <si>
    <t>United States Treasury Constant Maturity - 30 Year</t>
  </si>
  <si>
    <t>IQ36183843</t>
  </si>
  <si>
    <t>Term Same As Risk-Free Rate Duration</t>
  </si>
  <si>
    <t>Interpolated Risk-Free Rate</t>
  </si>
  <si>
    <t>Equity Volatility</t>
  </si>
  <si>
    <r>
      <t xml:space="preserve">Volatility </t>
    </r>
    <r>
      <rPr>
        <sz val="10"/>
        <color theme="1"/>
        <rFont val="Times New Roman"/>
        <family val="1"/>
      </rPr>
      <t>(1)</t>
    </r>
  </si>
  <si>
    <t>Years Lookback</t>
  </si>
  <si>
    <t>For certain Guideline Public Companies that were not public beyond the selected period, no historical volatility is available for the selected term. As such, we considered the latest available historical volatility for the purpose of analysis. These companies are highlighted in gray.</t>
  </si>
  <si>
    <t>CIQ Formula</t>
  </si>
  <si>
    <t>IQ_PRICE_VOL_HIST_3MTH</t>
  </si>
  <si>
    <t>IQ_PRICE_VOL_HIST_6MTH</t>
  </si>
  <si>
    <t>IQ_PRICE_VOL_HIST_YR</t>
  </si>
  <si>
    <t>IQ_PRICE_VOL_HIST_2YR</t>
  </si>
  <si>
    <t>IQ_PRICE_VOL_HIST_5YR</t>
  </si>
  <si>
    <t>Knowcraft Analytics</t>
  </si>
  <si>
    <t>Workpaper</t>
  </si>
  <si>
    <t>Valuation Date</t>
  </si>
  <si>
    <t>YEARLY VOLATILITY - OUTPUT</t>
  </si>
  <si>
    <t>Company Name</t>
  </si>
  <si>
    <t>Year 1</t>
  </si>
  <si>
    <t>Year 2</t>
  </si>
  <si>
    <t>Year 3</t>
  </si>
  <si>
    <t>Year 4</t>
  </si>
  <si>
    <t>Year 5</t>
  </si>
  <si>
    <t>Year 6</t>
  </si>
  <si>
    <t>Year 7</t>
  </si>
  <si>
    <t>Year 8</t>
  </si>
  <si>
    <t>First Pricing Date</t>
  </si>
  <si>
    <t>Fresenius SE &amp; Co. KGaA</t>
  </si>
  <si>
    <t>DaVita Inc.</t>
  </si>
  <si>
    <t>American Renal Associates Holdings, Inc.</t>
  </si>
  <si>
    <t>n/a</t>
  </si>
  <si>
    <t>(Invalid Identifier)</t>
  </si>
  <si>
    <t>MergerStat (2)</t>
  </si>
  <si>
    <t>DB:FRE</t>
  </si>
  <si>
    <t>NYSE:DVA</t>
  </si>
  <si>
    <t>NYSE:ARA</t>
  </si>
  <si>
    <t>CapitalIQ</t>
  </si>
  <si>
    <t>XTRA:FME</t>
  </si>
  <si>
    <t>IQ115544</t>
  </si>
  <si>
    <t>Fresenius Medical Care AG &amp; Co. KGaA</t>
  </si>
  <si>
    <t>NxStage Medical, Inc.</t>
  </si>
  <si>
    <t>Limited risk since Satellite is majority/controlling member, and the facility is relatively mature with stable revenues.</t>
  </si>
  <si>
    <t>Term of the Agreement expected to be until the end of the LLC's existence.</t>
  </si>
  <si>
    <t>Single center only in a particular geographical area; home program only.</t>
  </si>
  <si>
    <t>- Wellbound Santa Cruz</t>
  </si>
  <si>
    <t>Based on the above data, we concluded on a control premium close to the first quartile of the range exhibited by the transactions. The selected premium reflects pure control (and excludes transaction synergies).</t>
  </si>
  <si>
    <t>CONCLUDED EV</t>
  </si>
  <si>
    <t>*FROM MAIN MODEL</t>
  </si>
  <si>
    <t>Kindred Healthcare LLC</t>
  </si>
  <si>
    <t xml:space="preserve">Kindred Healthcare LLA os a private group led by TGP Capital, Welsh, Carson, Anderston &amp; Stowe and Humana Inc. It operates long-term acute care (LTAC) hospitals and inpatient rehabilitation facilities, as well as offers contract rehabilitation services. </t>
  </si>
  <si>
    <t xml:space="preserve">Outliers Above: </t>
  </si>
  <si>
    <t>CBA Florida, Inc.</t>
  </si>
  <si>
    <t>CBA Florida, Inc. does not have significant operations. Previously, the company provided umbilical cord blood and cord tissue stem cell processing and storage to families in the United States. The company was formerly known as Cord Blood America, Inc. and changed its name to CBA Florida, Inc. in May 2018. CBA Florida, Inc. is headquartered in Las Vegas, Nevada.</t>
  </si>
  <si>
    <t>Based on the average of Finnerty, Protective Put (European), and Asian Put.</t>
  </si>
  <si>
    <t>Transaction Premium</t>
  </si>
  <si>
    <t>(4)</t>
  </si>
  <si>
    <t>1-Month Transaction Premium</t>
  </si>
  <si>
    <t>1-Day Transaction Premium (4)</t>
  </si>
  <si>
    <t xml:space="preserve">Mergerstat considers prices 1-day prior to the announcement date, if no significant price and volume fluctuations occur. </t>
  </si>
  <si>
    <t>Source: Capital IQ.</t>
  </si>
  <si>
    <t>Source: 2018 Control Premium Study, MergerStat.</t>
  </si>
  <si>
    <t>Minority members have very limited control legally, but practically, the envisioned JV members will have meaningful influence on facility operations. Matters such as change of business activity, change in Membership Interest (based on admission/withdrawal of members), tax elections, sale/merger and liquidation or dissolution of the Company, require consent of Super Majority-in-Interest, (i.e. Satellite). Notwithstanding, the business is highly regulated and would require adherence regardless of the party in control.</t>
  </si>
  <si>
    <t>Positive EBITDA and EBIT for ~8 years with fluctuating margins; margins meaningfully positive when adjusting for management fees; upside potential given physical capacity for patient growth.</t>
  </si>
  <si>
    <t>Members cannot transfer interest without consent of Majority-in-Interest of Members (i.e. Satellite); however, Satellite Management represented that Satellite has historically provided JV partners liquidity options by either purchasing stakes or finding other potential buyers/investors. Possibility of relocating facility may impact ability (and timelines) of selling interest.</t>
  </si>
  <si>
    <t>CHECK</t>
  </si>
  <si>
    <t>*LINKED TO MAIN MODEL</t>
  </si>
  <si>
    <t>AwABTANVU0QBSP////8BRjMAAAA2Q0lRLk5ZU0U6QVJBLklRX1RPVEFMX0RFQlQuMjAwMC4xMi8zMS8yMDE4LkxGUi5GLlVTRC5IAQAAAD0bLwgCAAAABzU1My45NTYBCAAAAAUAAAABMQEAAAAKMTkyMTE2OTQ1NgMAAAADMTYwAgAAAAQ0MTczBAAAAAEwBwAAAAoxMi8zMS8yMDE4CAAAAAk5LzMwLzIwMTgJAAAAATAYHqnfDs/WCEEAGOQOz9YIKENJUS5EQjpGUkUuSVFfTUFSS0VUQ0FQLjEyLzMxLzIwMTguVVNELkgBAAAAw2sNAAIAAAALMjY4ODEuMDEyOTgBBgAAAAUAAAABMQEAAAAKMTkxNzc2NzU2OQMAAAADMTYwAgAAAAYxMDAwNTQEAAAAATAHAAAACjEyLzMxLzIwMTgf96jfDs/WCNoQGeQOz9YIN0NJUS5OWVNFOkRWQS5JUV9QUkVGX0VRVUlUWS4yMDAwLjEyLzMxLzIwMTguTEZSLkYuVVNELkgBAAAAPIsAAAMAAAAAABgeqd8Oz9YIQQAY5A7P1ggcQ0lRLk5ZU0U6QVJBLklRX0NPTVBBTllfTkFNRQEAAAA9Gy8IAwAAAChBbWVyaWNhbiBSZW5hbCBBc3NvY2lhdGVzIEhvbGRpbmdzLCBJbmMuABgeqd8Oz9YI+psY5A7P1ggqQ0lRLklRMzYxODM4MzEuSVFfTEFTVFNBTEVQUklDRS4xMi8zMS8yMDE4AQAAABcfKAICAAAABDIuNTEAH/eo3w7P1gjCjBfkDs/WCCRDSVEuTllTRTpEVkEuSVFfVEVWLjEyLzMxLzIwMTguVVNELkgBAAAAPIsAAAIAAAALMTk1ODIuMzc5MzQBBgAAAAUAAAABMQEAAAAK</t>
  </si>
  <si>
    <t>MTkyMDMxODIyOQMAAAADMTYwAgAAAAYxMDAwNjAEAAAAATAHAAAACjEyLzMxLzIwMTgf96jfDs/WCPqbGOQOz9YIGkNJUS5EQjpGUkUuSVFfQ09NUEFOWV9OQU1FAQAAAMNrDQADAAAAF0ZyZXNlbml1cyBTRSAmIENvLiBLR2FBABgeqd8Oz9YIXj0X5A7P1ggkQ0lRLklRMTE1NTQ0LklRX1RFVi4xMi8zMS8yMDE4LlVTRC5IAQAAAFjDAQACAAAACzE4NDAuMjk4ODg1AQYAAAAFAAAAATEBAAAACjE5MTk5ODYzMjADAAAAAzE2MAIAAAAGMTAwMDYwBAAAAAEwBwAAAAoxMi8zMS8yMDE4H/eo3w7P1giLKBjkDs/WCCpDSVEuSVEzNjE4MzgyNS5JUV9MQVNUU0FMRVBSSUNFLjEyLzMxLzIwMTgBAAAAER8oAgIAAAAEMi40OAAf96jfDs/WCJZTFuQOz9YIKUNJUS5YVFJBOkZNRS5JUV9ESVZJREVORF9ZSUVMRC4xMi8zMS8yMDE4AQAAAAreBQACAAAABjEuODcxNAAf96jfDs/WCNoQGeQOz9YIOkNJUS5OWVNFOkRWQS5JUV9DQVNIX1NUX0lOVkVTVC4yMDAwLjEyLzMxLzIwMTguTEZSLkYuVVNELkgBAAAAPIsAAAIAAAAHNDUyLjk0NQEIAAAABQAAAAExAQAAAAoxOTIwMzE4NDM2AwAAAAMxNjACAAAABDEwMDIEAAAAATAHAAAACjEyLzMxLzIwMTgIAAAACTkvMzAvMjAxOAkAAAABMBgeqd8Oz9YIsoUZ5A7P1ghDQ0lRLlhUUkE6Rk1FLklRX01JTk9SSVRZX0lOVEVSRVNUX1RPVEFMLjIwMDAuMTIvMzEvMjAxOC5M</t>
  </si>
  <si>
    <t>RlIuRi5VU0QuSAEAAAAK3gUAAgAAAAsxMzEyLjE0MzYwNAEIAAAABQAAAAExAQAAAAoxOTE3Mjg0NDY3AwAAAAMxNjACAAAABDEzMTIEAAAAATAHAAAACjEyLzMxLzIwMTgIAAAACTkvMzAvMjAxOAkAAAABMBgeqd8Oz9YIAXUY5A7P1ghDQ0lRLk5ZU0U6QVJBLklRX01JTk9SSVRZX0lOVEVSRVNUX1RPVEFMLjIwMDAuMTIvMzEvMjAxOC5MRlIuRi5VU0QuSAEAAAA9Gy8IAgAAAAczMTYuMTA1AQgAAAAFAAAAATEBAAAACjE5MjExNjk0NTYDAAAAAzE2MAIAAAAEMTMxMgQAAAABMAcAAAAKMTIvMzEvMjAxOAgAAAAJOS8zMC8yMDE4CQAAAAEwGB6p3w7P1gj6mxjkDs/WCENDSVEuSVExMTU1NDQuSVFfTUlOT1JJVFlfSU5URVJFU1RfVE9UQUwuMjAwMC4xMi8zMS8yMDE4LkxGUi5GLlVTRC5IAQAAAFjDAQACAAAABTAuNDIxAQgAAAAFAAAAATEBAAAACjE5MTk5ODY0MDMDAAAAAzE2MAIAAAAEMTMxMgQAAAABMAcAAAAKMTIvMzEvMjAxOAgAAAAJOS8zMC8yMDE4CQAAAAEwGB6p3w7P1gjJXhnkDs/WCDRDSVEuREI6RlJFLklRX1RPVEFMX0RFQlQuMjAwMC4xMi8zMS8yMDE4LkxGUi5GLlVTRC5IAQAAAMNrDQACAAAADDIyMDI5Ljc0MzIzNQEIAAAABQAAAAExAQAAAAoxOTE3NzY3NjA5AwAAAAMxNjACAAAABDQxNzMEAAAAATAHAAAACjEyLzMxLzIwMTgIAAAACTkvMzAvMjAxOAkAAAABMBgeqd8Oz9YIA04Y</t>
  </si>
  <si>
    <t>5A7P1ggqQ0lRLklRMzYxODM4MzcuSVFfTEFTVFNBTEVQUklDRS4xMi8zMS8yMDE4AQAAAB0fKAICAAAABDIuNjkAH/eo3w7P1ggDThjkDs/WCDZDSVEuTllTRTpEVkEuSVFfVE9UQUxfREVCVC4yMDAwLjEyLzMxLzIwMTguTEZSLkYuVVNELkgBAAAAPIsAAAIAAAAJMTAyMjQuNzM4AQgAAAAFAAAAATEBAAAACjE5MjAzMTg0MzYDAAAAAzE2MAIAAAAENDE3MwQAAAABMAcAAAAKMTIvMzEvMjAxOAgAAAAJOS8zMC8yMDE4CQAAAAEwGB6p3w7P1gjLNxnkDs/WCCpDSVEuSVEzNjE4Mzg0My5JUV9MQVNUU0FMRVBSSUNFLjEyLzMxLzIwMTgBAAAAIx8oAgIAAAAEMy4wMgAf96jfDs/WCMLeFeQOz9YINkNJUS5JUTExNTU0NC5JUV9UT1RBTF9ERUJULjIwMDAuMTIvMzEvMjAxOC5MRlIuRi5VU0QuSAEAAABYwwEAAgAAAAYxMy4zMDYBCAAAAAUAAAABMQEAAAAKMTkxOTk4NjQwMwMAAAADMTYwAgAAAAQ0MTczBAAAAAEwBwAAAAoxMi8zMS8yMDE4CAAAAAk5LzMwLzIwMTgJAAAAATAKRanfDs/WCC6yF+QOz9YINUNJUS5EQjpGUkUuSVFfUFJFRl9FUVVJVFkuMjAwMC4xMi8zMS8yMDE4LkxGUi5GLlVTRC5IAQAAAMNrDQADAAAAAAAKRanfDs/WCFRkF+QOz9YIKkNJUS5JUTM2MTgzODIyLklRX0xBU1RTQUxFUFJJQ0UuMTIvMzEvMjAxOAEAAAAOHygCAgAAAAQyLjYzAB/3qN8Oz9YIiygY5A7P1ggkQ0lRLk5ZU0U6</t>
  </si>
  <si>
    <t>QVJBLklRX1RFVi4xMi8zMS8yMDE4LlVTRC5IAQAAAD0bLwgCAAAACzExODEuNzU4NTg4AQYAAAAFAAAAATEBAAAACjE5MjExNjY4NTUDAAAAAzE2MAIAAAAGMTAwMDYwBAAAAAEwBwAAAAoxMi8zMS8yMDE4H/eo3w7P1gjLNxnkDs/WCDdDSVEuTllTRTpBUkEuSVFfUFJFRl9FUVVJVFkuMjAwMC4xMi8zMS8yMDE4LkxGUi5GLlVTRC5IAQAAAD0bLwgDAAAAAAAYHqnfDs/WCNoQGeQOz9YIKkNJUS5OWVNFOkFSQS5JUV9NQVJLRVRDQVAuMTIvMzEvMjAxOC5VU0QuSAEAAAA9Gy8IAgAAAAozNzQuNTk2NTg5AQYAAAAFAAAAATEBAAAACjE5MjExNjY4NTUDAAAAAzE2MAIAAAAGMTAwMDU0BAAAAAEwBwAAAAoxMi8zMS8yMDE4H/eo3w7P1ggj2RfkDs/WCCdDSVEuREI6RlJFLklRX0RJVklERU5EX1lJRUxELjEyLzMxLzIwMTgBAAAAw2sNAAIAAAAGMS43NzY0AB/3qN8Oz9YIyV4Z5A7P1ggpQ0lRLk5ZU0U6RFZBLklRX0RJVklERU5EX1lJRUxELjEyLzMxLzIwMTgBAAAAPIsAAAMAAAAAAB/3qN8Oz9YIwowX5A7P1gg3Q0lRLlhUUkE6Rk1FLklRX1BSRUZfRVFVSVRZLjIwMDAuMTIvMzEvMjAxOC5MRlIuRi5VU0QuSAEAAAAK3gUAAwAAAAAAGB6p3w7P1gj16RjkDs/WCDpDSVEuTllTRTpBUkEuSVFfQ0FTSF9TVF9JTlZFU1QuMjAwMC4xMi8zMS8yMDE4LkxGUi5GLlVTRC5IAQAAAD0bLwgCAAAABjYyLjg5OQEI</t>
  </si>
  <si>
    <t>AAAABQAAAAExAQAAAAoxOTIxMTY5NDU2AwAAAAMxNjACAAAABDEwMDIEAAAAATAHAAAACjEyLzMxLzIwMTgIAAAACTkvMzAvMjAxOAkAAAABMApFqd8Oz9YIiygY5A7P1gg6Q0lRLlhUUkE6Rk1FLklRX0NBU0hfU1RfSU5WRVNULjIwMDAuMTIvMzEvMjAxOC5MRlIuRi5VU0QuSAEAAAAK3gUAAgAAAAsyMDM3LjkzNjU2MwEIAAAABQAAAAExAQAAAAoxOTE3Mjg0NDY3AwAAAAMxNjACAAAABDEwMDIEAAAAATAHAAAACjEyLzMxLzIwMTgIAAAACTkvMzAvMjAxOAkAAAABMBgeqd8Oz9YIwowX5A7P1ggqQ0lRLklRMzYxODM4MTYuSVFfTEFTVFNBTEVQUklDRS4xMi8zMS8yMDE4AQAAAAgfKAICAAAABDIuNDUAH/eo3w7P1gjvwhjkDs/WCCpDSVEuSVEzNjE4MzgxOS5JUV9MQVNUU0FMRVBSSUNFLjEyLzMxLzIwMTgBAAAACx8oAgIAAAAEMi41NgAf96jfDs/WCHTvFuQOz9YIKkNJUS5OWVNFOkRWQS5JUV9NQVJLRVRDQVAuMTIvMzEvMjAxOC5VU0QuSAEAAAA8iwAAAgAAAAs4NTQxLjU2MTM0MQEGAAAABQAAAAExAQAAAAoxOTIwMzE4MjI5AwAAAAMxNjACAAAABjEwMDA1NAQAAAABMAcAAAAKMTIvMzEvMjAxOB/3qN8Oz9YIsoUZ5A7P1gg4Q0lRLkRCOkZSRS5JUV9DQVNIX1NUX0lOVkVTVC4yMDAwLjEyLzMxLzIwMTguTEZSLkYuVVNELkgBAAAAw2sNAAIAAAALMjg1My40OTEzNDUBCAAAAAUAAAABMQEAAAAK</t>
  </si>
  <si>
    <t>MTkxNzc2NzYwOQMAAAADMTYwAgAAAAQxMDAyBAAAAAEwBwAAAAoxMi8zMS8yMDE4CAAAAAk5LzMwLzIwMTgJAAAAATAYHqnfDs/WCANOGOQOz9YIQUNJUS5EQjpGUkUuSVFfTUlOT1JJVFlfSU5URVJFU1RfVE9UQUwuMjAwMC4xMi8zMS8yMDE4LkxGUi5GLlVTRC5IAQAAAMNrDQACAAAADDEwNjY4LjA2MDg4MgEIAAAABQAAAAExAQAAAAoxOTE3NzY3NjA5AwAAAAMxNjACAAAABDEzMTIEAAAAATAHAAAACjEyLzMxLzIwMTgIAAAACTkvMzAvMjAxOAkAAAABMBgeqd8Oz9YIyzcZ5A7P1ggqQ0lRLklRMzYxODM4MTMuSVFfTEFTVFNBTEVQUklDRS4xMi8zMS8yMDE4AQAAAAUfKAICAAAABDIuNDQAH/eo3w7P1ghtFhfkDs/WCCpDSVEuSVEzNjE4MzgyOC5JUV9MQVNUU0FMRVBSSUNFLjEyLzMxLzIwMTgBAAAAFB8oAgIAAAAEMi40NgAf96jfDs/WCKqhFuQOz9YIHENJUS5JUTExNTU0NC5JUV9DT01QQU5ZX05BTUUBAAAAWMMBAAMAAAAVTnhTdGFnZSBNZWRpY2FsLCBJbmMuAB/3qN8Oz9YIXj0X5A7P1ggcQ0lRLk5ZU0U6RFZBLklRX0NPTVBBTllfTkFNRQEAAAA8iwAAAwAAAAtEYVZpdGEgSW5jLgAf96jfDs/WCIsoGOQOz9YIN0NJUS5JUTExNTU0NC5JUV9QUkVGX0VRVUlUWS4yMDAwLjEyLzMxLzIwMTguTEZSLkYuVVNELkgBAAAAWMMBAAMAAAAAABgeqd8Oz9YIiygY5A7P1ggkQ0lRLlhUUkE6Rk1FLklR</t>
  </si>
  <si>
    <t>X1RFVi4xMi8zMS8yMDE4LlVTRC5IAQAAAAreBQACAAAADDI3NjIyLjA0MTAxNwEGAAAABQAAAAExAQAAAAoxOTE3Mjg0Mzg5AwAAAAMxNjACAAAABjEwMDA2MAQAAAABMAcAAAAKMTIvMzEvMjAxOB/3qN8Oz9YIyzcZ5A7P1ggpQ0lRLk5ZU0U6QVJBLklRX0RJVklERU5EX1lJRUxELjEyLzMxLzIwMTgBAAAAPRsvCAMAAAAAAB/3qN8Oz9YIyV4Z5A7P1ghDQ0lRLk5ZU0U6RFZBLklRX01JTk9SSVRZX0lOVEVSRVNUX1RPVEFMLjIwMDAuMTIvMzEvMjAxOC5MRlIuRi5VU0QuSAEAAAA8iwAAAgAAAAgxMjY5LjAyNQEIAAAABQAAAAExAQAAAAoxOTIwMzE4NDM2AwAAAAMxNjACAAAABDEzMTIEAAAAATAHAAAACjEyLzMxLzIwMTgIAAAACTkvMzAvMjAxOAkAAAABMBgeqd8Oz9YIQQAY5A7P1gg6Q0lRLklRMTE1NTQ0LklRX0NBU0hfU1RfSU5WRVNULjIwMDAuMTIvMzEvMjAxOC5MRlIuRi5VU0QuSAEAAABYwwEAAgAAAAY4MS45NDQBCAAAAAUAAAABMQEAAAAKMTkxOTk4NjQwMwMAAAADMTYwAgAAAAQxMDAyBAAAAAEwBwAAAAoxMi8zMS8yMDE4CAAAAAk5LzMwLzIwMTgJAAAAATAYHqnfDs/WCANOGOQOz9YIKkNJUS5JUTM2MTgzODQwLklRX0xBU1RTQUxFUFJJQ0UuMTIvMzEvMjAxOAEAAAAgHygCAgAAAAQyLjg3AB/3qN8Oz9YIQQAY5A7P1gg2Q0lRLlhUUkE6Rk1FLklRX1RPVEFMX0RFQlQuMjAwMC4xMi8z</t>
  </si>
  <si>
    <t>MS8yMDE4LkxGUi5GLlVTRC5IAQAAAAreBQACAAAACzg1NjIuODYwNDYzAQgAAAAFAAAAATEBAAAACjE5MTcyODQ0NjcDAAAAAzE2MAIAAAAENDE3MwQAAAABMAcAAAAKMTIvMzEvMjAxOAgAAAAJOS8zMC8yMDE4CQAAAAEwCkWp3w7P1ghePRfkDs/WCCpDSVEuSVEzNjE4MzgzNC5JUV9MQVNUU0FMRVBSSUNFLjEyLzMxLzIwMTgBAAAAGh8oAgIAAAAEMi41OQAf96jfDs/WCCPZF+QOz9YIIkNJUS5EQjpGUkUuSVFfVEVWLjEyLzMxLzIwMTguVVNELkgBAAAAw2sNAAIAAAAMNTYyOTEuMzYzMzMyAQYAAAAFAAAAATEBAAAACjE5MTc3Njc1NjkDAAAAAzE2MAIAAAAGMTAwMDYwBAAAAAEwBwAAAAoxMi8zMS8yMDE4H/eo3w7P1ggushfkDs/WCCpDSVEuSVExMTU1NDQuSVFfTUFSS0VUQ0FQLjEyLzMxLzIwMTguVVNELkgBAAAAWMMBAAIAAAALMTkwOC41MTU4ODUBBgAAAAUAAAABMQEAAAAKMTkxOTk4NjMyMAMAAAADMTYwAgAAAAYxMDAwNTQEAAAAATAHAAAACjEyLzMxLzIwMTgf96jfDs/WCNoQGeQOz9YIKUNJUS5JUTExNTU0NC5JUV9ESVZJREVORF9ZSUVMRC4xMi8zMS8yMDE4AQAAAFjDAQADAAAAAAAf96jfDs/WCLKFGeQOz9YIHENJUS5YVFJBOkZNRS5JUV9DT01QQU5ZX05BTUUBAAAACt4FAAMAAAAkRnJlc2VuaXVzIE1lZGljYWwgQ2FyZSBBRyAmIENvLiBLR2FBABgeqd8Oz9YI+psY5A7P1ggqQ0lR</t>
  </si>
  <si>
    <t>LlhUUkE6Rk1FLklRX01BUktFVENBUC4xMi8zMS8yMDE4LlVTRC5IAQAAAAreBQACAAAADDE5ODk4LjkzMTMzMwEGAAAABQAAAAExAQAAAAoxOTE3Mjg0Mzg5AwAAAAMxNjACAAAABjEwMDA1NAQAAAABMAcAAAAKMTIvMzEvMjAxOB/3qN8Oz9YIQQAY5A7P1gg=</t>
  </si>
  <si>
    <t>2128 Soquel Avenue</t>
  </si>
  <si>
    <t>Santa Cruz, CA 95062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</si>
</sst>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4" formatCode="_(&quot;$&quot;* #,##0.00_);_(&quot;$&quot;* \(#,##0.00\);_(&quot;$&quot;* &quot;-&quot;??_);_(@_)"/>
    <numFmt numFmtId="43" formatCode="_(* #,##0.00_);_(* \(#,##0.00\);_(* &quot;-&quot;??_);_(@_)"/>
    <numFmt numFmtId="164" formatCode="[$-409]mmmm\ d\,\ yyyy;@"/>
    <numFmt numFmtId="165" formatCode="0.0%"/>
    <numFmt numFmtId="166" formatCode="_(* #,##0_);_(* \(#,##0\);_(* &quot;-&quot;??_);_(@_)"/>
    <numFmt numFmtId="167" formatCode="_(&quot;$&quot;* #,##0.0_);_(&quot;$&quot;* \(#,##0.0\);_(&quot;$&quot;* &quot;-&quot;??_);_(@_)"/>
    <numFmt numFmtId="168" formatCode="_(* #,##0.0_);_(* \(#,##0.0\);_(* &quot;-&quot;??_);_(@_)"/>
    <numFmt numFmtId="169" formatCode="_(* #,##0.0_);_(* \(#,##0.0\);_(* &quot;-&quot;_);_(@_)"/>
    <numFmt numFmtId="170" formatCode="_(* #,##0.00_);_(* \(#,##0.00\);_(* &quot;-&quot;_);_(@_)"/>
    <numFmt numFmtId="171" formatCode="_(* #,##0.00000_);_(* \(#,##0.00000\);_(* &quot;-&quot;??_);_(@_)"/>
    <numFmt numFmtId="172" formatCode="mm/dd/yy;@"/>
  </numFmts>
  <fonts count="59" x14ac:knownFonts="1">
    <font>
      <sz val="11"/>
      <color theme="1"/>
      <name val="Calibri"/>
      <family val="2"/>
      <scheme val="minor"/>
    </font>
    <font>
      <sz val="11"/>
      <color theme="1"/>
      <name val="Calibri"/>
      <family val="2"/>
      <scheme val="minor"/>
    </font>
    <font>
      <sz val="11"/>
      <color theme="1"/>
      <name val="Times New Roman"/>
      <family val="2"/>
    </font>
    <font>
      <b/>
      <sz val="11"/>
      <color theme="4" tint="-0.499984740745262"/>
      <name val="Times New Roman"/>
      <family val="1"/>
    </font>
    <font>
      <sz val="11"/>
      <color theme="4" tint="-0.499984740745262"/>
      <name val="Times New Roman"/>
      <family val="2"/>
    </font>
    <font>
      <sz val="32"/>
      <color theme="1"/>
      <name val="Times New Roman"/>
      <family val="2"/>
    </font>
    <font>
      <b/>
      <sz val="32"/>
      <color theme="4" tint="-0.499984740745262"/>
      <name val="Times New Roman"/>
      <family val="2"/>
    </font>
    <font>
      <b/>
      <sz val="40"/>
      <color theme="4" tint="-0.499984740745262"/>
      <name val="Times New Roman"/>
      <family val="2"/>
    </font>
    <font>
      <i/>
      <sz val="28"/>
      <color theme="4" tint="-0.499984740745262"/>
      <name val="Times New Roman"/>
      <family val="1"/>
    </font>
    <font>
      <b/>
      <sz val="11"/>
      <color theme="4" tint="-0.499984740745262"/>
      <name val="Times New Roman"/>
      <family val="2"/>
    </font>
    <font>
      <i/>
      <sz val="11"/>
      <color theme="4" tint="-0.499984740745262"/>
      <name val="Times New Roman"/>
      <family val="2"/>
    </font>
    <font>
      <i/>
      <sz val="16"/>
      <color theme="4" tint="-0.499984740745262"/>
      <name val="Times New Roman"/>
      <family val="1"/>
    </font>
    <font>
      <i/>
      <sz val="20"/>
      <color theme="4" tint="-0.499984740745262"/>
      <name val="Times New Roman"/>
      <family val="1"/>
    </font>
    <font>
      <i/>
      <sz val="20"/>
      <color theme="1"/>
      <name val="Times New Roman"/>
      <family val="1"/>
    </font>
    <font>
      <sz val="11"/>
      <color theme="1"/>
      <name val="Times New Roman"/>
      <family val="1"/>
    </font>
    <font>
      <u val="singleAccounting"/>
      <sz val="11"/>
      <color theme="1"/>
      <name val="Times New Roman"/>
      <family val="1"/>
    </font>
    <font>
      <b/>
      <sz val="12"/>
      <color theme="4" tint="-0.499984740745262"/>
      <name val="Times New Roman"/>
      <family val="1"/>
    </font>
    <font>
      <sz val="11"/>
      <color theme="6" tint="0.79998168889431442"/>
      <name val="Times New Roman"/>
      <family val="1"/>
    </font>
    <font>
      <sz val="12"/>
      <color theme="1"/>
      <name val="Times New Roman"/>
      <family val="1"/>
    </font>
    <font>
      <b/>
      <sz val="11"/>
      <color theme="1"/>
      <name val="Times New Roman"/>
      <family val="1"/>
    </font>
    <font>
      <sz val="10"/>
      <color theme="1"/>
      <name val="Garamond"/>
      <family val="2"/>
    </font>
    <font>
      <sz val="10"/>
      <color theme="1"/>
      <name val="Times New Roman"/>
      <family val="1"/>
    </font>
    <font>
      <b/>
      <sz val="10"/>
      <color rgb="FFFFFFFF"/>
      <name val="Times New Roman"/>
      <family val="1"/>
    </font>
    <font>
      <b/>
      <sz val="10"/>
      <color theme="1"/>
      <name val="Times New Roman"/>
      <family val="1"/>
    </font>
    <font>
      <sz val="10"/>
      <color rgb="FF008000"/>
      <name val="Times New Roman"/>
      <family val="1"/>
    </font>
    <font>
      <b/>
      <sz val="10"/>
      <color theme="0"/>
      <name val="Times New Roman"/>
      <family val="1"/>
    </font>
    <font>
      <sz val="10"/>
      <color rgb="FF0000FF"/>
      <name val="Times New Roman"/>
      <family val="1"/>
    </font>
    <font>
      <sz val="10"/>
      <name val="Times New Roman"/>
      <family val="1"/>
    </font>
    <font>
      <sz val="10"/>
      <color indexed="17"/>
      <name val="Times New Roman"/>
      <family val="1"/>
    </font>
    <font>
      <sz val="10"/>
      <color indexed="12"/>
      <name val="Times New Roman"/>
      <family val="1"/>
    </font>
    <font>
      <b/>
      <sz val="10"/>
      <name val="Times New Roman"/>
      <family val="1"/>
    </font>
    <font>
      <i/>
      <sz val="10"/>
      <color theme="1"/>
      <name val="Times New Roman"/>
      <family val="1"/>
    </font>
    <font>
      <i/>
      <sz val="11"/>
      <color theme="1"/>
      <name val="Times New Roman"/>
      <family val="1"/>
    </font>
    <font>
      <sz val="10"/>
      <name val="Arial"/>
      <family val="2"/>
    </font>
    <font>
      <sz val="8"/>
      <name val="Times New Roman"/>
      <family val="1"/>
    </font>
    <font>
      <sz val="10"/>
      <name val="Garamond"/>
      <family val="1"/>
    </font>
    <font>
      <sz val="9"/>
      <name val="Times New Roman"/>
      <family val="1"/>
    </font>
    <font>
      <sz val="10"/>
      <color indexed="10"/>
      <name val="Times New Roman"/>
      <family val="1"/>
    </font>
    <font>
      <i/>
      <sz val="10"/>
      <color rgb="FFFF0000"/>
      <name val="Times New Roman"/>
      <family val="1"/>
    </font>
    <font>
      <sz val="10"/>
      <color rgb="FFFF0000"/>
      <name val="Times New Roman"/>
      <family val="1"/>
    </font>
    <font>
      <b/>
      <sz val="10"/>
      <color rgb="FF0000FF"/>
      <name val="Times New Roman"/>
      <family val="1"/>
    </font>
    <font>
      <b/>
      <sz val="10"/>
      <color rgb="FFC00000"/>
      <name val="Times New Roman"/>
      <family val="1"/>
    </font>
    <font>
      <b/>
      <sz val="10"/>
      <color indexed="17"/>
      <name val="Times New Roman"/>
      <family val="1"/>
    </font>
    <font>
      <b/>
      <sz val="10"/>
      <color indexed="12"/>
      <name val="Times New Roman"/>
      <family val="1"/>
    </font>
    <font>
      <sz val="10"/>
      <name val="Garamond"/>
      <family val="2"/>
    </font>
    <font>
      <sz val="8"/>
      <name val="Arial"/>
      <family val="2"/>
    </font>
    <font>
      <sz val="8"/>
      <color indexed="8"/>
      <name val="Arial"/>
      <family val="2"/>
    </font>
    <font>
      <b/>
      <sz val="10"/>
      <color indexed="9"/>
      <name val="Times New Roman"/>
      <family val="1"/>
    </font>
    <font>
      <sz val="10"/>
      <color indexed="39"/>
      <name val="Times New Roman"/>
      <family val="1"/>
    </font>
    <font>
      <b/>
      <sz val="20"/>
      <name val="Times New Roman"/>
      <family val="1"/>
    </font>
    <font>
      <sz val="10"/>
      <name val="Palatino Linotype"/>
      <family val="1"/>
    </font>
    <font>
      <i/>
      <sz val="15"/>
      <name val="Times New Roman"/>
      <family val="1"/>
    </font>
    <font>
      <sz val="11"/>
      <name val="Times New Roman"/>
      <family val="1"/>
    </font>
    <font>
      <sz val="15"/>
      <name val="Times New Roman"/>
      <family val="1"/>
    </font>
    <font>
      <sz val="12"/>
      <name val="Times New Roman"/>
      <family val="1"/>
    </font>
    <font>
      <b/>
      <sz val="11"/>
      <name val="Times New Roman"/>
      <family val="1"/>
    </font>
    <font>
      <b/>
      <sz val="11"/>
      <color theme="0"/>
      <name val="Times New Roman"/>
      <family val="1"/>
    </font>
    <font>
      <sz val="8"/>
      <color rgb="FF0000FF"/>
      <name val="Times New Roman"/>
      <family val="1"/>
    </font>
    <font>
      <b/>
      <sz val="10"/>
      <color rgb="FF008000"/>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
      <patternFill patternType="solid">
        <fgColor rgb="FF005DA6"/>
        <bgColor indexed="64"/>
      </patternFill>
    </fill>
    <fill>
      <patternFill patternType="solid">
        <fgColor rgb="FFDCE6F1"/>
        <bgColor indexed="64"/>
      </patternFill>
    </fill>
    <fill>
      <patternFill patternType="solid">
        <fgColor rgb="FF92D050"/>
        <bgColor indexed="64"/>
      </patternFill>
    </fill>
    <fill>
      <patternFill patternType="solid">
        <fgColor rgb="FF5A5A5A"/>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3" tint="0.39997558519241921"/>
        <bgColor indexed="64"/>
      </patternFill>
    </fill>
  </fills>
  <borders count="21">
    <border>
      <left/>
      <right/>
      <top/>
      <bottom/>
      <diagonal/>
    </border>
    <border>
      <left/>
      <right/>
      <top/>
      <bottom style="thick">
        <color theme="8" tint="-0.499984740745262"/>
      </bottom>
      <diagonal/>
    </border>
    <border>
      <left/>
      <right/>
      <top style="thick">
        <color theme="8" tint="-0.499984740745262"/>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auto="1"/>
      </left>
      <right style="thin">
        <color indexed="64"/>
      </right>
      <top style="thin">
        <color auto="1"/>
      </top>
      <bottom style="thin">
        <color auto="1"/>
      </bottom>
      <diagonal/>
    </border>
    <border>
      <left/>
      <right/>
      <top style="thin">
        <color auto="1"/>
      </top>
      <bottom style="double">
        <color auto="1"/>
      </bottom>
      <diagonal/>
    </border>
    <border>
      <left/>
      <right style="thin">
        <color indexed="64"/>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0" fontId="2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20" fillId="0" borderId="0" applyFont="0" applyFill="0" applyBorder="0" applyAlignment="0" applyProtection="0"/>
    <xf numFmtId="0" fontId="33" fillId="0" borderId="0"/>
    <xf numFmtId="43" fontId="35" fillId="0" borderId="0" applyFont="0" applyFill="0" applyBorder="0" applyAlignment="0" applyProtection="0"/>
    <xf numFmtId="9" fontId="35" fillId="0" borderId="0" applyFont="0" applyFill="0" applyBorder="0" applyAlignment="0" applyProtection="0"/>
    <xf numFmtId="0" fontId="46" fillId="0" borderId="0" applyAlignment="0"/>
    <xf numFmtId="0" fontId="45" fillId="0" borderId="0"/>
    <xf numFmtId="0" fontId="1" fillId="0" borderId="0"/>
    <xf numFmtId="9" fontId="33" fillId="0" borderId="0" applyFont="0" applyFill="0" applyBorder="0" applyAlignment="0" applyProtection="0"/>
    <xf numFmtId="0" fontId="1" fillId="0" borderId="0"/>
    <xf numFmtId="0" fontId="33" fillId="0" borderId="0"/>
    <xf numFmtId="0" fontId="50" fillId="0" borderId="0"/>
    <xf numFmtId="0" fontId="35" fillId="0" borderId="0"/>
    <xf numFmtId="0" fontId="27" fillId="0" borderId="0"/>
  </cellStyleXfs>
  <cellXfs count="414">
    <xf numFmtId="0" fontId="0" fillId="0" borderId="0" xfId="0"/>
    <xf numFmtId="0" fontId="2" fillId="0" borderId="0" xfId="3" applyProtection="1">
      <protection locked="0" hidden="1"/>
    </xf>
    <xf numFmtId="0" fontId="2" fillId="0" borderId="0" xfId="3" applyAlignment="1" applyProtection="1">
      <alignment horizontal="center"/>
      <protection locked="0" hidden="1"/>
    </xf>
    <xf numFmtId="0" fontId="2" fillId="0" borderId="1" xfId="3" applyBorder="1" applyProtection="1">
      <protection locked="0" hidden="1"/>
    </xf>
    <xf numFmtId="0" fontId="3" fillId="0" borderId="1" xfId="3" applyFont="1" applyBorder="1" applyProtection="1">
      <protection locked="0" hidden="1"/>
    </xf>
    <xf numFmtId="0" fontId="3" fillId="0" borderId="1" xfId="3" applyFont="1" applyBorder="1" applyAlignment="1" applyProtection="1">
      <alignment horizontal="center"/>
      <protection locked="0" hidden="1"/>
    </xf>
    <xf numFmtId="0" fontId="3" fillId="2" borderId="0" xfId="3" applyFont="1" applyFill="1" applyProtection="1">
      <protection locked="0" hidden="1"/>
    </xf>
    <xf numFmtId="0" fontId="2" fillId="2" borderId="0" xfId="3" applyFill="1" applyProtection="1">
      <protection locked="0" hidden="1"/>
    </xf>
    <xf numFmtId="0" fontId="4" fillId="2" borderId="0" xfId="3" applyFont="1" applyFill="1" applyAlignment="1" applyProtection="1">
      <alignment horizontal="center"/>
      <protection locked="0" hidden="1"/>
    </xf>
    <xf numFmtId="0" fontId="5" fillId="0" borderId="0" xfId="3" applyFont="1" applyProtection="1">
      <protection locked="0" hidden="1"/>
    </xf>
    <xf numFmtId="0" fontId="6" fillId="2" borderId="0" xfId="3" applyFont="1" applyFill="1" applyProtection="1">
      <protection locked="0" hidden="1"/>
    </xf>
    <xf numFmtId="0" fontId="5" fillId="2" borderId="0" xfId="3" applyFont="1" applyFill="1" applyProtection="1">
      <protection locked="0" hidden="1"/>
    </xf>
    <xf numFmtId="0" fontId="7" fillId="2" borderId="0" xfId="3" applyFont="1" applyFill="1" applyAlignment="1" applyProtection="1">
      <alignment horizontal="center"/>
      <protection locked="0" hidden="1"/>
    </xf>
    <xf numFmtId="0" fontId="8" fillId="2" borderId="0" xfId="3" applyFont="1" applyFill="1" applyAlignment="1" applyProtection="1">
      <alignment horizontal="center"/>
      <protection locked="0" hidden="1"/>
    </xf>
    <xf numFmtId="0" fontId="9" fillId="2" borderId="0" xfId="3" applyFont="1" applyFill="1" applyProtection="1">
      <protection locked="0" hidden="1"/>
    </xf>
    <xf numFmtId="0" fontId="10" fillId="2" borderId="0" xfId="3" applyFont="1" applyFill="1" applyAlignment="1" applyProtection="1">
      <alignment horizontal="center"/>
      <protection locked="0" hidden="1"/>
    </xf>
    <xf numFmtId="0" fontId="11" fillId="2" borderId="0" xfId="3" applyFont="1" applyFill="1" applyAlignment="1" applyProtection="1">
      <alignment horizontal="center"/>
      <protection locked="0" hidden="1"/>
    </xf>
    <xf numFmtId="0" fontId="3" fillId="2" borderId="1" xfId="3" applyFont="1" applyFill="1" applyBorder="1" applyProtection="1">
      <protection locked="0" hidden="1"/>
    </xf>
    <xf numFmtId="0" fontId="2" fillId="2" borderId="1" xfId="3" applyFill="1" applyBorder="1" applyProtection="1">
      <protection locked="0" hidden="1"/>
    </xf>
    <xf numFmtId="0" fontId="4" fillId="2" borderId="1" xfId="3" applyFont="1" applyFill="1" applyBorder="1" applyAlignment="1" applyProtection="1">
      <alignment horizontal="center"/>
      <protection locked="0" hidden="1"/>
    </xf>
    <xf numFmtId="0" fontId="12" fillId="0" borderId="0" xfId="3" applyFont="1" applyAlignment="1" applyProtection="1">
      <alignment horizontal="center"/>
      <protection locked="0" hidden="1"/>
    </xf>
    <xf numFmtId="164" fontId="13" fillId="0" borderId="0" xfId="3" applyNumberFormat="1" applyFont="1" applyAlignment="1" applyProtection="1">
      <alignment horizontal="center"/>
      <protection locked="0" hidden="1"/>
    </xf>
    <xf numFmtId="0" fontId="14" fillId="0" borderId="1" xfId="3" applyFont="1" applyBorder="1" applyProtection="1">
      <protection locked="0" hidden="1"/>
    </xf>
    <xf numFmtId="43" fontId="15" fillId="0" borderId="0" xfId="4" applyFont="1" applyAlignment="1" applyProtection="1">
      <alignment horizontal="center" wrapText="1"/>
      <protection locked="0" hidden="1"/>
    </xf>
    <xf numFmtId="0" fontId="14" fillId="0" borderId="0" xfId="3" applyFont="1" applyProtection="1">
      <protection locked="0" hidden="1"/>
    </xf>
    <xf numFmtId="43" fontId="16" fillId="2" borderId="0" xfId="4" applyFont="1" applyFill="1" applyProtection="1">
      <protection locked="0" hidden="1"/>
    </xf>
    <xf numFmtId="0" fontId="14" fillId="2" borderId="0" xfId="3" applyFont="1" applyFill="1" applyProtection="1">
      <protection locked="0" hidden="1"/>
    </xf>
    <xf numFmtId="0" fontId="17" fillId="2" borderId="0" xfId="3" applyFont="1" applyFill="1" applyProtection="1">
      <protection locked="0" hidden="1"/>
    </xf>
    <xf numFmtId="43" fontId="16" fillId="2" borderId="1" xfId="4" applyFont="1" applyFill="1" applyBorder="1" applyProtection="1">
      <protection locked="0" hidden="1"/>
    </xf>
    <xf numFmtId="0" fontId="14" fillId="2" borderId="1" xfId="3" applyFont="1" applyFill="1" applyBorder="1" applyProtection="1">
      <protection locked="0" hidden="1"/>
    </xf>
    <xf numFmtId="0" fontId="18" fillId="0" borderId="0" xfId="3" applyFont="1" applyProtection="1">
      <protection locked="0" hidden="1"/>
    </xf>
    <xf numFmtId="0" fontId="19" fillId="0" borderId="0" xfId="3" applyFont="1" applyProtection="1">
      <protection locked="0" hidden="1"/>
    </xf>
    <xf numFmtId="0" fontId="14" fillId="0" borderId="0" xfId="3" applyFont="1" applyAlignment="1" applyProtection="1">
      <alignment horizontal="center"/>
      <protection locked="0" hidden="1"/>
    </xf>
    <xf numFmtId="43" fontId="14" fillId="0" borderId="0" xfId="3" applyNumberFormat="1" applyFont="1" applyProtection="1">
      <protection locked="0" hidden="1"/>
    </xf>
    <xf numFmtId="0" fontId="21" fillId="0" borderId="0" xfId="5" applyFont="1"/>
    <xf numFmtId="43" fontId="16" fillId="2" borderId="2" xfId="1" applyFont="1" applyFill="1" applyBorder="1" applyProtection="1">
      <protection locked="0" hidden="1"/>
    </xf>
    <xf numFmtId="43" fontId="16" fillId="2" borderId="0" xfId="1" applyFont="1" applyFill="1" applyProtection="1">
      <protection locked="0" hidden="1"/>
    </xf>
    <xf numFmtId="43" fontId="16" fillId="2" borderId="1" xfId="1" applyFont="1" applyFill="1" applyBorder="1" applyProtection="1">
      <protection locked="0" hidden="1"/>
    </xf>
    <xf numFmtId="0" fontId="22" fillId="3" borderId="3" xfId="5" applyFont="1" applyFill="1" applyBorder="1" applyAlignment="1">
      <alignment horizontal="left" vertical="center"/>
    </xf>
    <xf numFmtId="0" fontId="23" fillId="0" borderId="0" xfId="5" applyFont="1"/>
    <xf numFmtId="0" fontId="23" fillId="0" borderId="0" xfId="5" applyFont="1" applyAlignment="1">
      <alignment horizontal="center"/>
    </xf>
    <xf numFmtId="0" fontId="23" fillId="0" borderId="0" xfId="5" applyFont="1" applyAlignment="1">
      <alignment horizontal="centerContinuous"/>
    </xf>
    <xf numFmtId="165" fontId="24" fillId="0" borderId="0" xfId="2" applyNumberFormat="1" applyFont="1"/>
    <xf numFmtId="0" fontId="21" fillId="0" borderId="0" xfId="5" applyFont="1" applyAlignment="1">
      <alignment horizontal="center"/>
    </xf>
    <xf numFmtId="43" fontId="21" fillId="0" borderId="0" xfId="6" applyFont="1"/>
    <xf numFmtId="166" fontId="21" fillId="0" borderId="0" xfId="6" applyNumberFormat="1" applyFont="1"/>
    <xf numFmtId="165" fontId="21" fillId="0" borderId="0" xfId="7" applyNumberFormat="1" applyFont="1" applyAlignment="1">
      <alignment horizontal="center"/>
    </xf>
    <xf numFmtId="167" fontId="21" fillId="0" borderId="0" xfId="8" applyNumberFormat="1" applyFont="1"/>
    <xf numFmtId="0" fontId="21" fillId="0" borderId="6" xfId="5" applyFont="1" applyBorder="1"/>
    <xf numFmtId="167" fontId="21" fillId="0" borderId="6" xfId="8" applyNumberFormat="1" applyFont="1" applyBorder="1"/>
    <xf numFmtId="165" fontId="21" fillId="0" borderId="6" xfId="2" applyNumberFormat="1" applyFont="1" applyBorder="1"/>
    <xf numFmtId="0" fontId="23" fillId="0" borderId="6" xfId="5" applyFont="1" applyBorder="1"/>
    <xf numFmtId="168" fontId="21" fillId="0" borderId="6" xfId="6" applyNumberFormat="1" applyFont="1" applyBorder="1"/>
    <xf numFmtId="165" fontId="23" fillId="0" borderId="6" xfId="2" applyNumberFormat="1" applyFont="1" applyBorder="1"/>
    <xf numFmtId="0" fontId="20" fillId="0" borderId="0" xfId="5"/>
    <xf numFmtId="0" fontId="22" fillId="3" borderId="7" xfId="5" applyFont="1" applyFill="1" applyBorder="1" applyAlignment="1">
      <alignment horizontal="centerContinuous" vertical="center"/>
    </xf>
    <xf numFmtId="0" fontId="22" fillId="3" borderId="6" xfId="5" applyFont="1" applyFill="1" applyBorder="1" applyAlignment="1">
      <alignment horizontal="centerContinuous" vertical="center"/>
    </xf>
    <xf numFmtId="0" fontId="22" fillId="3" borderId="8" xfId="5" applyFont="1" applyFill="1" applyBorder="1" applyAlignment="1">
      <alignment horizontal="centerContinuous" vertical="center"/>
    </xf>
    <xf numFmtId="0" fontId="23" fillId="0" borderId="3" xfId="5" applyFont="1" applyBorder="1"/>
    <xf numFmtId="0" fontId="23" fillId="0" borderId="4" xfId="5" applyFont="1" applyBorder="1" applyAlignment="1">
      <alignment horizontal="center"/>
    </xf>
    <xf numFmtId="0" fontId="23" fillId="0" borderId="4" xfId="5" applyFont="1" applyBorder="1" applyAlignment="1">
      <alignment horizontal="center" wrapText="1"/>
    </xf>
    <xf numFmtId="0" fontId="23" fillId="0" borderId="4" xfId="5" applyFont="1" applyBorder="1" applyAlignment="1">
      <alignment horizontal="right"/>
    </xf>
    <xf numFmtId="0" fontId="23" fillId="0" borderId="4" xfId="5" applyFont="1" applyBorder="1" applyAlignment="1">
      <alignment horizontal="centerContinuous"/>
    </xf>
    <xf numFmtId="0" fontId="23" fillId="0" borderId="5" xfId="5" applyFont="1" applyBorder="1" applyAlignment="1">
      <alignment horizontal="centerContinuous"/>
    </xf>
    <xf numFmtId="0" fontId="25" fillId="5" borderId="7" xfId="0" applyFont="1" applyFill="1" applyBorder="1"/>
    <xf numFmtId="0" fontId="25" fillId="5" borderId="8" xfId="0" applyFont="1" applyFill="1" applyBorder="1" applyAlignment="1">
      <alignment horizontal="right"/>
    </xf>
    <xf numFmtId="0" fontId="23" fillId="0" borderId="7" xfId="5" applyFont="1" applyBorder="1"/>
    <xf numFmtId="0" fontId="21" fillId="0" borderId="6" xfId="5" applyFont="1" applyBorder="1" applyAlignment="1">
      <alignment horizontal="center"/>
    </xf>
    <xf numFmtId="0" fontId="21" fillId="0" borderId="6" xfId="5" applyFont="1" applyBorder="1" applyAlignment="1">
      <alignment horizontal="right"/>
    </xf>
    <xf numFmtId="0" fontId="21" fillId="0" borderId="8" xfId="5" applyFont="1" applyBorder="1"/>
    <xf numFmtId="0" fontId="21" fillId="0" borderId="9" xfId="0" applyFont="1" applyBorder="1"/>
    <xf numFmtId="0" fontId="21" fillId="0" borderId="10" xfId="0" applyFont="1" applyBorder="1"/>
    <xf numFmtId="0" fontId="21" fillId="0" borderId="9" xfId="5" applyFont="1" applyBorder="1" applyAlignment="1">
      <alignment vertical="top"/>
    </xf>
    <xf numFmtId="165" fontId="21" fillId="0" borderId="0" xfId="7" applyNumberFormat="1" applyFont="1" applyAlignment="1">
      <alignment horizontal="center" vertical="top"/>
    </xf>
    <xf numFmtId="165" fontId="21" fillId="0" borderId="0" xfId="2" applyNumberFormat="1" applyFont="1" applyAlignment="1">
      <alignment vertical="top"/>
    </xf>
    <xf numFmtId="0" fontId="21" fillId="0" borderId="11" xfId="0" applyFont="1" applyBorder="1"/>
    <xf numFmtId="0" fontId="21" fillId="0" borderId="12" xfId="0" applyFont="1" applyBorder="1"/>
    <xf numFmtId="0" fontId="21" fillId="0" borderId="9" xfId="5" applyFont="1" applyBorder="1"/>
    <xf numFmtId="0" fontId="21" fillId="0" borderId="10" xfId="5" applyFont="1" applyBorder="1"/>
    <xf numFmtId="165" fontId="21" fillId="0" borderId="0" xfId="5" applyNumberFormat="1" applyFont="1" applyAlignment="1">
      <alignment vertical="top"/>
    </xf>
    <xf numFmtId="0" fontId="21" fillId="0" borderId="0" xfId="5" applyFont="1" applyAlignment="1">
      <alignment vertical="top"/>
    </xf>
    <xf numFmtId="165" fontId="21" fillId="0" borderId="10" xfId="7" applyNumberFormat="1" applyFont="1" applyBorder="1" applyAlignment="1">
      <alignment vertical="top"/>
    </xf>
    <xf numFmtId="0" fontId="21" fillId="0" borderId="11" xfId="5" applyFont="1" applyBorder="1"/>
    <xf numFmtId="0" fontId="21" fillId="0" borderId="12" xfId="5" applyFont="1" applyBorder="1"/>
    <xf numFmtId="0" fontId="23" fillId="0" borderId="9" xfId="5" applyFont="1" applyBorder="1" applyAlignment="1">
      <alignment horizontal="left" indent="7"/>
    </xf>
    <xf numFmtId="165" fontId="23" fillId="0" borderId="0" xfId="7" applyNumberFormat="1" applyFont="1"/>
    <xf numFmtId="165" fontId="23" fillId="0" borderId="0" xfId="5" applyNumberFormat="1" applyFont="1" applyAlignment="1">
      <alignment horizontal="left" indent="7"/>
    </xf>
    <xf numFmtId="165" fontId="23" fillId="0" borderId="10" xfId="7" applyNumberFormat="1" applyFont="1" applyBorder="1"/>
    <xf numFmtId="0" fontId="23" fillId="0" borderId="11" xfId="5" applyFont="1" applyBorder="1"/>
    <xf numFmtId="0" fontId="23" fillId="0" borderId="13" xfId="5" applyFont="1" applyBorder="1"/>
    <xf numFmtId="165" fontId="23" fillId="0" borderId="4" xfId="5" applyNumberFormat="1" applyFont="1" applyBorder="1"/>
    <xf numFmtId="0" fontId="23" fillId="0" borderId="12" xfId="5" applyFont="1" applyBorder="1"/>
    <xf numFmtId="0" fontId="22" fillId="3" borderId="3" xfId="5" applyFont="1" applyFill="1" applyBorder="1" applyAlignment="1">
      <alignment horizontal="centerContinuous"/>
    </xf>
    <xf numFmtId="0" fontId="22" fillId="3" borderId="4" xfId="5" applyFont="1" applyFill="1" applyBorder="1" applyAlignment="1">
      <alignment horizontal="centerContinuous"/>
    </xf>
    <xf numFmtId="0" fontId="22" fillId="3" borderId="5" xfId="5" applyFont="1" applyFill="1" applyBorder="1" applyAlignment="1">
      <alignment horizontal="centerContinuous"/>
    </xf>
    <xf numFmtId="0" fontId="22" fillId="3" borderId="14" xfId="5" applyFont="1" applyFill="1" applyBorder="1" applyAlignment="1">
      <alignment horizontal="center"/>
    </xf>
    <xf numFmtId="0" fontId="21" fillId="0" borderId="7" xfId="5" applyFont="1" applyBorder="1"/>
    <xf numFmtId="0" fontId="27" fillId="0" borderId="0" xfId="5" quotePrefix="1" applyFont="1" applyAlignment="1">
      <alignment horizontal="center"/>
    </xf>
    <xf numFmtId="10" fontId="28" fillId="0" borderId="0" xfId="5" applyNumberFormat="1" applyFont="1" applyAlignment="1">
      <alignment horizontal="right"/>
    </xf>
    <xf numFmtId="10" fontId="28" fillId="0" borderId="10" xfId="5" applyNumberFormat="1" applyFont="1" applyBorder="1" applyAlignment="1">
      <alignment horizontal="right"/>
    </xf>
    <xf numFmtId="43" fontId="27" fillId="0" borderId="0" xfId="5" applyNumberFormat="1" applyFont="1" applyAlignment="1">
      <alignment horizontal="center"/>
    </xf>
    <xf numFmtId="10" fontId="29" fillId="0" borderId="0" xfId="5" applyNumberFormat="1" applyFont="1"/>
    <xf numFmtId="10" fontId="29" fillId="0" borderId="10" xfId="5" applyNumberFormat="1" applyFont="1" applyBorder="1"/>
    <xf numFmtId="0" fontId="27" fillId="0" borderId="0" xfId="5" applyFont="1"/>
    <xf numFmtId="165" fontId="28" fillId="0" borderId="0" xfId="5" applyNumberFormat="1" applyFont="1"/>
    <xf numFmtId="165" fontId="28" fillId="0" borderId="10" xfId="5" applyNumberFormat="1" applyFont="1" applyBorder="1"/>
    <xf numFmtId="170" fontId="21" fillId="0" borderId="0" xfId="5" applyNumberFormat="1" applyFont="1"/>
    <xf numFmtId="170" fontId="21" fillId="0" borderId="10" xfId="5" applyNumberFormat="1" applyFont="1" applyBorder="1"/>
    <xf numFmtId="171" fontId="21" fillId="0" borderId="0" xfId="5" applyNumberFormat="1" applyFont="1"/>
    <xf numFmtId="171" fontId="21" fillId="0" borderId="10" xfId="5" applyNumberFormat="1" applyFont="1" applyBorder="1"/>
    <xf numFmtId="165" fontId="23" fillId="0" borderId="13" xfId="5" applyNumberFormat="1" applyFont="1" applyBorder="1"/>
    <xf numFmtId="165" fontId="23" fillId="0" borderId="12" xfId="5" applyNumberFormat="1" applyFont="1" applyBorder="1"/>
    <xf numFmtId="8" fontId="21" fillId="0" borderId="6" xfId="5" applyNumberFormat="1" applyFont="1" applyBorder="1"/>
    <xf numFmtId="8" fontId="21" fillId="0" borderId="8" xfId="5" applyNumberFormat="1" applyFont="1" applyBorder="1"/>
    <xf numFmtId="8" fontId="21" fillId="0" borderId="0" xfId="5" applyNumberFormat="1" applyFont="1"/>
    <xf numFmtId="8" fontId="21" fillId="0" borderId="10" xfId="5" applyNumberFormat="1" applyFont="1" applyBorder="1"/>
    <xf numFmtId="169" fontId="21" fillId="0" borderId="0" xfId="5" applyNumberFormat="1" applyFont="1"/>
    <xf numFmtId="0" fontId="27" fillId="0" borderId="0" xfId="5" applyFont="1" applyAlignment="1">
      <alignment horizontal="center"/>
    </xf>
    <xf numFmtId="10" fontId="21" fillId="0" borderId="0" xfId="5" applyNumberFormat="1" applyFont="1"/>
    <xf numFmtId="10" fontId="21" fillId="0" borderId="10" xfId="5" applyNumberFormat="1" applyFont="1" applyBorder="1"/>
    <xf numFmtId="165" fontId="21" fillId="0" borderId="0" xfId="5" applyNumberFormat="1" applyFont="1"/>
    <xf numFmtId="165" fontId="21" fillId="0" borderId="10" xfId="5" applyNumberFormat="1" applyFont="1" applyBorder="1"/>
    <xf numFmtId="0" fontId="21" fillId="0" borderId="13" xfId="5" applyFont="1" applyBorder="1"/>
    <xf numFmtId="0" fontId="23" fillId="6" borderId="3" xfId="5" applyFont="1" applyFill="1" applyBorder="1"/>
    <xf numFmtId="0" fontId="23" fillId="6" borderId="4" xfId="5" applyFont="1" applyFill="1" applyBorder="1"/>
    <xf numFmtId="165" fontId="30" fillId="6" borderId="4" xfId="9" applyNumberFormat="1" applyFont="1" applyFill="1" applyBorder="1"/>
    <xf numFmtId="165" fontId="30" fillId="6" borderId="5" xfId="9" applyNumberFormat="1" applyFont="1" applyFill="1" applyBorder="1"/>
    <xf numFmtId="0" fontId="31" fillId="0" borderId="0" xfId="5" applyFont="1"/>
    <xf numFmtId="0" fontId="21" fillId="0" borderId="0" xfId="5" quotePrefix="1" applyFont="1" applyAlignment="1">
      <alignment vertical="top"/>
    </xf>
    <xf numFmtId="0" fontId="22" fillId="3" borderId="7" xfId="5" applyFont="1" applyFill="1" applyBorder="1" applyAlignment="1">
      <alignment horizontal="left"/>
    </xf>
    <xf numFmtId="0" fontId="22" fillId="3" borderId="6" xfId="5" applyFont="1" applyFill="1" applyBorder="1" applyAlignment="1">
      <alignment horizontal="centerContinuous"/>
    </xf>
    <xf numFmtId="0" fontId="22" fillId="3" borderId="8" xfId="5" applyFont="1" applyFill="1" applyBorder="1" applyAlignment="1">
      <alignment horizontal="right"/>
    </xf>
    <xf numFmtId="0" fontId="23" fillId="0" borderId="4" xfId="5" applyFont="1" applyBorder="1"/>
    <xf numFmtId="0" fontId="23" fillId="0" borderId="5" xfId="5" applyFont="1" applyBorder="1" applyAlignment="1">
      <alignment horizontal="right"/>
    </xf>
    <xf numFmtId="0" fontId="23" fillId="0" borderId="9" xfId="5" applyFont="1" applyBorder="1"/>
    <xf numFmtId="165" fontId="21" fillId="0" borderId="0" xfId="7" applyNumberFormat="1" applyFont="1"/>
    <xf numFmtId="165" fontId="21" fillId="0" borderId="10" xfId="7" applyNumberFormat="1" applyFont="1" applyBorder="1"/>
    <xf numFmtId="168" fontId="21" fillId="0" borderId="0" xfId="6" applyNumberFormat="1" applyFont="1"/>
    <xf numFmtId="165" fontId="21" fillId="0" borderId="10" xfId="7" applyNumberFormat="1" applyFont="1" applyBorder="1" applyAlignment="1">
      <alignment horizontal="right"/>
    </xf>
    <xf numFmtId="165" fontId="21" fillId="0" borderId="13" xfId="7" applyNumberFormat="1" applyFont="1" applyBorder="1"/>
    <xf numFmtId="165" fontId="21" fillId="0" borderId="12" xfId="7" applyNumberFormat="1" applyFont="1" applyBorder="1"/>
    <xf numFmtId="165" fontId="23" fillId="0" borderId="15" xfId="7" applyNumberFormat="1" applyFont="1" applyBorder="1"/>
    <xf numFmtId="0" fontId="23" fillId="0" borderId="0" xfId="5" applyFont="1" applyAlignment="1">
      <alignment horizontal="left" indent="7"/>
    </xf>
    <xf numFmtId="165" fontId="23" fillId="0" borderId="16" xfId="7" applyNumberFormat="1" applyFont="1" applyBorder="1"/>
    <xf numFmtId="43" fontId="32" fillId="2" borderId="1" xfId="1" applyFont="1" applyFill="1" applyBorder="1" applyAlignment="1" applyProtection="1">
      <alignment horizontal="right"/>
      <protection locked="0" hidden="1"/>
    </xf>
    <xf numFmtId="169" fontId="28" fillId="0" borderId="0" xfId="5" applyNumberFormat="1" applyFont="1" applyAlignment="1">
      <alignment horizontal="right"/>
    </xf>
    <xf numFmtId="169" fontId="28" fillId="0" borderId="0" xfId="5" applyNumberFormat="1" applyFont="1"/>
    <xf numFmtId="10" fontId="22" fillId="3" borderId="4" xfId="5" applyNumberFormat="1" applyFont="1" applyFill="1" applyBorder="1" applyAlignment="1">
      <alignment horizontal="centerContinuous"/>
    </xf>
    <xf numFmtId="0" fontId="30" fillId="0" borderId="14" xfId="5" applyFont="1" applyBorder="1" applyAlignment="1">
      <alignment horizontal="left" wrapText="1"/>
    </xf>
    <xf numFmtId="0" fontId="21" fillId="0" borderId="0" xfId="5" applyFont="1" applyAlignment="1">
      <alignment wrapText="1"/>
    </xf>
    <xf numFmtId="0" fontId="30" fillId="0" borderId="3" xfId="5" applyFont="1" applyBorder="1" applyAlignment="1">
      <alignment horizontal="right" wrapText="1"/>
    </xf>
    <xf numFmtId="0" fontId="30" fillId="0" borderId="4" xfId="5" applyFont="1" applyBorder="1" applyAlignment="1">
      <alignment horizontal="right" wrapText="1"/>
    </xf>
    <xf numFmtId="0" fontId="30" fillId="0" borderId="5" xfId="5" applyFont="1" applyBorder="1" applyAlignment="1">
      <alignment horizontal="right" wrapText="1"/>
    </xf>
    <xf numFmtId="0" fontId="21" fillId="0" borderId="0" xfId="5" applyFont="1" applyAlignment="1">
      <alignment horizontal="right" wrapText="1"/>
    </xf>
    <xf numFmtId="0" fontId="30" fillId="0" borderId="0" xfId="5" applyFont="1" applyAlignment="1">
      <alignment horizontal="right" wrapText="1"/>
    </xf>
    <xf numFmtId="0" fontId="30" fillId="0" borderId="14" xfId="5" applyFont="1" applyBorder="1" applyAlignment="1">
      <alignment horizontal="right" wrapText="1"/>
    </xf>
    <xf numFmtId="0" fontId="21" fillId="0" borderId="0" xfId="5" quotePrefix="1" applyFont="1" applyAlignment="1">
      <alignment horizontal="center"/>
    </xf>
    <xf numFmtId="0" fontId="30" fillId="0" borderId="0" xfId="5" applyFont="1" applyAlignment="1">
      <alignment horizontal="center" wrapText="1"/>
    </xf>
    <xf numFmtId="0" fontId="23" fillId="0" borderId="0" xfId="5" applyFont="1" applyAlignment="1">
      <alignment horizontal="center" wrapText="1"/>
    </xf>
    <xf numFmtId="0" fontId="23" fillId="0" borderId="0" xfId="5" applyFont="1" applyAlignment="1">
      <alignment wrapText="1"/>
    </xf>
    <xf numFmtId="43" fontId="21" fillId="0" borderId="0" xfId="5" applyNumberFormat="1" applyFont="1"/>
    <xf numFmtId="168" fontId="36" fillId="0" borderId="0" xfId="11" applyNumberFormat="1" applyFont="1" applyAlignment="1">
      <alignment horizontal="right"/>
    </xf>
    <xf numFmtId="168" fontId="34" fillId="0" borderId="0" xfId="11" applyNumberFormat="1" applyFont="1" applyAlignment="1">
      <alignment horizontal="right"/>
    </xf>
    <xf numFmtId="168" fontId="27" fillId="0" borderId="0" xfId="11" applyNumberFormat="1" applyFont="1" applyAlignment="1">
      <alignment horizontal="right"/>
    </xf>
    <xf numFmtId="165" fontId="27" fillId="0" borderId="0" xfId="12" applyNumberFormat="1" applyFont="1" applyAlignment="1">
      <alignment horizontal="right"/>
    </xf>
    <xf numFmtId="165" fontId="21" fillId="0" borderId="0" xfId="5" applyNumberFormat="1" applyFont="1" applyAlignment="1">
      <alignment horizontal="right"/>
    </xf>
    <xf numFmtId="10" fontId="27" fillId="0" borderId="0" xfId="5" applyNumberFormat="1" applyFont="1"/>
    <xf numFmtId="165" fontId="27" fillId="0" borderId="0" xfId="0" applyNumberFormat="1" applyFont="1" applyAlignment="1">
      <alignment horizontal="right"/>
    </xf>
    <xf numFmtId="170" fontId="21" fillId="0" borderId="0" xfId="5" applyNumberFormat="1" applyFont="1" applyAlignment="1">
      <alignment horizontal="right"/>
    </xf>
    <xf numFmtId="170" fontId="27" fillId="0" borderId="0" xfId="5" applyNumberFormat="1" applyFont="1" applyAlignment="1">
      <alignment horizontal="right"/>
    </xf>
    <xf numFmtId="169" fontId="27" fillId="0" borderId="0" xfId="5" applyNumberFormat="1" applyFont="1" applyAlignment="1">
      <alignment horizontal="right"/>
    </xf>
    <xf numFmtId="165" fontId="27" fillId="0" borderId="0" xfId="5" applyNumberFormat="1" applyFont="1" applyAlignment="1">
      <alignment horizontal="right"/>
    </xf>
    <xf numFmtId="0" fontId="28" fillId="0" borderId="0" xfId="5" applyFont="1"/>
    <xf numFmtId="169" fontId="37" fillId="0" borderId="0" xfId="5" applyNumberFormat="1" applyFont="1"/>
    <xf numFmtId="0" fontId="29" fillId="0" borderId="0" xfId="5" applyFont="1"/>
    <xf numFmtId="0" fontId="21" fillId="0" borderId="0" xfId="5" quotePrefix="1" applyFont="1"/>
    <xf numFmtId="0" fontId="23" fillId="6" borderId="7" xfId="5" applyFont="1" applyFill="1" applyBorder="1"/>
    <xf numFmtId="0" fontId="23" fillId="6" borderId="6" xfId="5" applyFont="1" applyFill="1" applyBorder="1"/>
    <xf numFmtId="169" fontId="23" fillId="6" borderId="6" xfId="5" applyNumberFormat="1" applyFont="1" applyFill="1" applyBorder="1"/>
    <xf numFmtId="165" fontId="23" fillId="6" borderId="6" xfId="5" applyNumberFormat="1" applyFont="1" applyFill="1" applyBorder="1"/>
    <xf numFmtId="10" fontId="30" fillId="6" borderId="6" xfId="5" applyNumberFormat="1" applyFont="1" applyFill="1" applyBorder="1"/>
    <xf numFmtId="165" fontId="30" fillId="6" borderId="6" xfId="5" applyNumberFormat="1" applyFont="1" applyFill="1" applyBorder="1"/>
    <xf numFmtId="0" fontId="30" fillId="6" borderId="6" xfId="5" applyFont="1" applyFill="1" applyBorder="1"/>
    <xf numFmtId="170" fontId="23" fillId="6" borderId="6" xfId="5" applyNumberFormat="1" applyFont="1" applyFill="1" applyBorder="1" applyAlignment="1">
      <alignment horizontal="right"/>
    </xf>
    <xf numFmtId="170" fontId="30" fillId="6" borderId="6" xfId="5" applyNumberFormat="1" applyFont="1" applyFill="1" applyBorder="1" applyAlignment="1">
      <alignment horizontal="right"/>
    </xf>
    <xf numFmtId="169" fontId="30" fillId="6" borderId="6" xfId="5" applyNumberFormat="1" applyFont="1" applyFill="1" applyBorder="1" applyAlignment="1">
      <alignment horizontal="right"/>
    </xf>
    <xf numFmtId="165" fontId="30" fillId="6" borderId="8" xfId="5" applyNumberFormat="1" applyFont="1" applyFill="1" applyBorder="1" applyAlignment="1">
      <alignment horizontal="right"/>
    </xf>
    <xf numFmtId="165" fontId="21" fillId="0" borderId="7" xfId="9" applyNumberFormat="1" applyFont="1" applyBorder="1"/>
    <xf numFmtId="0" fontId="21" fillId="0" borderId="6" xfId="0" applyFont="1" applyBorder="1"/>
    <xf numFmtId="0" fontId="21" fillId="0" borderId="8" xfId="0" applyFont="1" applyBorder="1"/>
    <xf numFmtId="0" fontId="23" fillId="6" borderId="9" xfId="5" applyFont="1" applyFill="1" applyBorder="1"/>
    <xf numFmtId="0" fontId="23" fillId="6" borderId="0" xfId="5" applyFont="1" applyFill="1"/>
    <xf numFmtId="169" fontId="23" fillId="6" borderId="0" xfId="5" applyNumberFormat="1" applyFont="1" applyFill="1"/>
    <xf numFmtId="165" fontId="23" fillId="6" borderId="0" xfId="5" applyNumberFormat="1" applyFont="1" applyFill="1"/>
    <xf numFmtId="10" fontId="30" fillId="6" borderId="0" xfId="5" applyNumberFormat="1" applyFont="1" applyFill="1"/>
    <xf numFmtId="165" fontId="30" fillId="6" borderId="0" xfId="5" applyNumberFormat="1" applyFont="1" applyFill="1"/>
    <xf numFmtId="0" fontId="30" fillId="6" borderId="0" xfId="5" applyFont="1" applyFill="1"/>
    <xf numFmtId="170" fontId="23" fillId="6" borderId="0" xfId="5" applyNumberFormat="1" applyFont="1" applyFill="1" applyAlignment="1">
      <alignment horizontal="right"/>
    </xf>
    <xf numFmtId="170" fontId="30" fillId="6" borderId="0" xfId="5" applyNumberFormat="1" applyFont="1" applyFill="1" applyAlignment="1">
      <alignment horizontal="right"/>
    </xf>
    <xf numFmtId="169" fontId="30" fillId="6" borderId="0" xfId="5" applyNumberFormat="1" applyFont="1" applyFill="1" applyAlignment="1">
      <alignment horizontal="right"/>
    </xf>
    <xf numFmtId="165" fontId="30" fillId="6" borderId="10" xfId="5" applyNumberFormat="1" applyFont="1" applyFill="1" applyBorder="1" applyAlignment="1">
      <alignment horizontal="right"/>
    </xf>
    <xf numFmtId="165" fontId="21" fillId="0" borderId="9" xfId="9" applyNumberFormat="1" applyFont="1" applyBorder="1"/>
    <xf numFmtId="0" fontId="21" fillId="0" borderId="0" xfId="0" applyFont="1"/>
    <xf numFmtId="0" fontId="38" fillId="0" borderId="10" xfId="0" applyFont="1" applyBorder="1"/>
    <xf numFmtId="0" fontId="39" fillId="0" borderId="9" xfId="0" applyFont="1" applyBorder="1"/>
    <xf numFmtId="0" fontId="39" fillId="0" borderId="11" xfId="0" applyFont="1" applyBorder="1"/>
    <xf numFmtId="0" fontId="21" fillId="0" borderId="13" xfId="0" applyFont="1" applyBorder="1"/>
    <xf numFmtId="0" fontId="39" fillId="0" borderId="0" xfId="0" applyFont="1"/>
    <xf numFmtId="0" fontId="23" fillId="6" borderId="3" xfId="0" applyFont="1" applyFill="1" applyBorder="1"/>
    <xf numFmtId="0" fontId="21" fillId="6" borderId="4" xfId="5" quotePrefix="1" applyFont="1" applyFill="1" applyBorder="1" applyAlignment="1">
      <alignment horizontal="center"/>
    </xf>
    <xf numFmtId="169" fontId="23" fillId="6" borderId="4" xfId="5" applyNumberFormat="1" applyFont="1" applyFill="1" applyBorder="1"/>
    <xf numFmtId="165" fontId="23" fillId="6" borderId="4" xfId="5" applyNumberFormat="1" applyFont="1" applyFill="1" applyBorder="1"/>
    <xf numFmtId="10" fontId="30" fillId="6" borderId="4" xfId="5" applyNumberFormat="1" applyFont="1" applyFill="1" applyBorder="1"/>
    <xf numFmtId="165" fontId="30" fillId="6" borderId="4" xfId="5" applyNumberFormat="1" applyFont="1" applyFill="1" applyBorder="1"/>
    <xf numFmtId="0" fontId="30" fillId="6" borderId="4" xfId="5" applyFont="1" applyFill="1" applyBorder="1"/>
    <xf numFmtId="170" fontId="23" fillId="6" borderId="4" xfId="5" applyNumberFormat="1" applyFont="1" applyFill="1" applyBorder="1" applyAlignment="1">
      <alignment horizontal="right"/>
    </xf>
    <xf numFmtId="170" fontId="30" fillId="6" borderId="4" xfId="5" applyNumberFormat="1" applyFont="1" applyFill="1" applyBorder="1" applyAlignment="1">
      <alignment horizontal="right"/>
    </xf>
    <xf numFmtId="169" fontId="30" fillId="6" borderId="4" xfId="5" applyNumberFormat="1" applyFont="1" applyFill="1" applyBorder="1" applyAlignment="1">
      <alignment horizontal="right"/>
    </xf>
    <xf numFmtId="165" fontId="40" fillId="6" borderId="5" xfId="5" applyNumberFormat="1" applyFont="1" applyFill="1" applyBorder="1" applyAlignment="1">
      <alignment horizontal="right"/>
    </xf>
    <xf numFmtId="0" fontId="41" fillId="0" borderId="14" xfId="0" applyFont="1" applyBorder="1"/>
    <xf numFmtId="0" fontId="41" fillId="0" borderId="0" xfId="0" applyFont="1"/>
    <xf numFmtId="0" fontId="23" fillId="6" borderId="3" xfId="5" applyFont="1" applyFill="1" applyBorder="1" applyAlignment="1">
      <alignment horizontal="left"/>
    </xf>
    <xf numFmtId="169" fontId="40" fillId="6" borderId="4" xfId="5" applyNumberFormat="1" applyFont="1" applyFill="1" applyBorder="1"/>
    <xf numFmtId="0" fontId="40" fillId="6" borderId="4" xfId="5" applyFont="1" applyFill="1" applyBorder="1"/>
    <xf numFmtId="165" fontId="42" fillId="6" borderId="4" xfId="5" applyNumberFormat="1" applyFont="1" applyFill="1" applyBorder="1"/>
    <xf numFmtId="10" fontId="23" fillId="6" borderId="4" xfId="5" applyNumberFormat="1" applyFont="1" applyFill="1" applyBorder="1"/>
    <xf numFmtId="165" fontId="43" fillId="6" borderId="4" xfId="5" applyNumberFormat="1" applyFont="1" applyFill="1" applyBorder="1"/>
    <xf numFmtId="165" fontId="30" fillId="6" borderId="5" xfId="5" applyNumberFormat="1" applyFont="1" applyFill="1" applyBorder="1" applyAlignment="1">
      <alignment horizontal="right"/>
    </xf>
    <xf numFmtId="169" fontId="30" fillId="6" borderId="4" xfId="5" applyNumberFormat="1" applyFont="1" applyFill="1" applyBorder="1"/>
    <xf numFmtId="0" fontId="44" fillId="0" borderId="0" xfId="5" applyFont="1"/>
    <xf numFmtId="165" fontId="26" fillId="0" borderId="0" xfId="9" applyNumberFormat="1" applyFont="1"/>
    <xf numFmtId="0" fontId="39" fillId="0" borderId="0" xfId="5" applyFont="1"/>
    <xf numFmtId="0" fontId="23" fillId="0" borderId="0" xfId="5" applyFont="1" applyAlignment="1">
      <alignment horizontal="left" vertical="top"/>
    </xf>
    <xf numFmtId="0" fontId="23" fillId="0" borderId="0" xfId="5" applyFont="1" applyAlignment="1">
      <alignment horizontal="left"/>
    </xf>
    <xf numFmtId="0" fontId="25" fillId="3" borderId="3" xfId="5" applyFont="1" applyFill="1" applyBorder="1" applyAlignment="1">
      <alignment vertical="top"/>
    </xf>
    <xf numFmtId="0" fontId="25" fillId="3" borderId="5" xfId="5" applyFont="1" applyFill="1" applyBorder="1" applyAlignment="1">
      <alignment wrapText="1"/>
    </xf>
    <xf numFmtId="0" fontId="22" fillId="3" borderId="3" xfId="5" applyFont="1" applyFill="1" applyBorder="1" applyAlignment="1">
      <alignment horizontal="centerContinuous" vertical="top"/>
    </xf>
    <xf numFmtId="0" fontId="22" fillId="3" borderId="14" xfId="5" applyFont="1" applyFill="1" applyBorder="1" applyAlignment="1">
      <alignment horizontal="right" wrapText="1"/>
    </xf>
    <xf numFmtId="165" fontId="27" fillId="0" borderId="0" xfId="9" applyNumberFormat="1" applyFont="1" applyAlignment="1">
      <alignment vertical="top"/>
    </xf>
    <xf numFmtId="0" fontId="22" fillId="3" borderId="14" xfId="5" applyFont="1" applyFill="1" applyBorder="1" applyAlignment="1">
      <alignment horizontal="left" vertical="top"/>
    </xf>
    <xf numFmtId="0" fontId="22" fillId="0" borderId="0" xfId="5" applyFont="1" applyAlignment="1">
      <alignment horizontal="centerContinuous" wrapText="1"/>
    </xf>
    <xf numFmtId="0" fontId="23" fillId="0" borderId="17" xfId="5" applyFont="1" applyBorder="1"/>
    <xf numFmtId="170" fontId="23" fillId="0" borderId="17" xfId="5" applyNumberFormat="1" applyFont="1" applyBorder="1" applyAlignment="1">
      <alignment horizontal="right" wrapText="1"/>
    </xf>
    <xf numFmtId="170" fontId="23" fillId="0" borderId="0" xfId="5" applyNumberFormat="1" applyFont="1" applyAlignment="1">
      <alignment horizontal="right" wrapText="1"/>
    </xf>
    <xf numFmtId="165" fontId="21" fillId="0" borderId="0" xfId="9" applyNumberFormat="1" applyFont="1"/>
    <xf numFmtId="165" fontId="27" fillId="0" borderId="0" xfId="9" applyNumberFormat="1" applyFont="1"/>
    <xf numFmtId="0" fontId="23" fillId="0" borderId="17" xfId="5" applyFont="1" applyBorder="1" applyAlignment="1">
      <alignment vertical="top"/>
    </xf>
    <xf numFmtId="170" fontId="23" fillId="0" borderId="17" xfId="5" applyNumberFormat="1" applyFont="1" applyBorder="1"/>
    <xf numFmtId="0" fontId="23" fillId="0" borderId="0" xfId="5" applyFont="1" applyAlignment="1">
      <alignment vertical="top"/>
    </xf>
    <xf numFmtId="9" fontId="21" fillId="0" borderId="0" xfId="9" applyFont="1"/>
    <xf numFmtId="165" fontId="25" fillId="3" borderId="3" xfId="9" applyNumberFormat="1" applyFont="1" applyFill="1" applyBorder="1" applyAlignment="1">
      <alignment horizontal="center" vertical="top"/>
    </xf>
    <xf numFmtId="0" fontId="25" fillId="3" borderId="4" xfId="5" applyFont="1" applyFill="1" applyBorder="1" applyAlignment="1">
      <alignment vertical="top"/>
    </xf>
    <xf numFmtId="165" fontId="25" fillId="3" borderId="4" xfId="9" applyNumberFormat="1" applyFont="1" applyFill="1" applyBorder="1" applyAlignment="1">
      <alignment vertical="top"/>
    </xf>
    <xf numFmtId="165" fontId="25" fillId="3" borderId="4" xfId="9" applyNumberFormat="1" applyFont="1" applyFill="1" applyBorder="1" applyAlignment="1">
      <alignment horizontal="right" vertical="top"/>
    </xf>
    <xf numFmtId="165" fontId="25" fillId="3" borderId="4" xfId="9" applyNumberFormat="1" applyFont="1" applyFill="1" applyBorder="1" applyAlignment="1">
      <alignment horizontal="right" vertical="top" wrapText="1"/>
    </xf>
    <xf numFmtId="165" fontId="25" fillId="3" borderId="5" xfId="9" applyNumberFormat="1" applyFont="1" applyFill="1" applyBorder="1" applyAlignment="1">
      <alignment horizontal="right" vertical="top" wrapText="1"/>
    </xf>
    <xf numFmtId="172" fontId="27" fillId="0" borderId="0" xfId="9" applyNumberFormat="1" applyFont="1" applyAlignment="1">
      <alignment horizontal="center" vertical="top" wrapText="1"/>
    </xf>
    <xf numFmtId="0" fontId="27" fillId="0" borderId="0" xfId="5" applyFont="1" applyAlignment="1">
      <alignment vertical="top" wrapText="1"/>
    </xf>
    <xf numFmtId="165" fontId="27" fillId="0" borderId="0" xfId="9" applyNumberFormat="1" applyFont="1" applyAlignment="1">
      <alignment vertical="top" wrapText="1"/>
    </xf>
    <xf numFmtId="0" fontId="21" fillId="0" borderId="0" xfId="5" applyFont="1" applyAlignment="1">
      <alignment vertical="top" wrapText="1"/>
    </xf>
    <xf numFmtId="0" fontId="21" fillId="6" borderId="6" xfId="5" applyFont="1" applyFill="1" applyBorder="1"/>
    <xf numFmtId="0" fontId="21" fillId="6" borderId="6" xfId="5" quotePrefix="1" applyFont="1" applyFill="1" applyBorder="1"/>
    <xf numFmtId="165" fontId="40" fillId="6" borderId="8" xfId="5" applyNumberFormat="1" applyFont="1" applyFill="1" applyBorder="1"/>
    <xf numFmtId="0" fontId="23" fillId="6" borderId="11" xfId="5" applyFont="1" applyFill="1" applyBorder="1"/>
    <xf numFmtId="0" fontId="23" fillId="6" borderId="13" xfId="5" applyFont="1" applyFill="1" applyBorder="1"/>
    <xf numFmtId="165" fontId="23" fillId="6" borderId="13" xfId="9" applyNumberFormat="1" applyFont="1" applyFill="1" applyBorder="1"/>
    <xf numFmtId="165" fontId="23" fillId="6" borderId="12" xfId="5" applyNumberFormat="1" applyFont="1" applyFill="1" applyBorder="1"/>
    <xf numFmtId="0" fontId="21" fillId="0" borderId="0" xfId="5" quotePrefix="1" applyFont="1" applyAlignment="1">
      <alignment horizontal="right" vertical="top"/>
    </xf>
    <xf numFmtId="0" fontId="21" fillId="0" borderId="0" xfId="5" applyFont="1" applyAlignment="1">
      <alignment horizontal="justify" vertical="top"/>
    </xf>
    <xf numFmtId="0" fontId="46" fillId="7" borderId="0" xfId="13" applyFill="1" applyAlignment="1">
      <alignment horizontal="left" vertical="top" wrapText="1"/>
    </xf>
    <xf numFmtId="0" fontId="34" fillId="0" borderId="0" xfId="10" applyFont="1"/>
    <xf numFmtId="0" fontId="24" fillId="0" borderId="0" xfId="0" applyFont="1" applyAlignment="1">
      <alignment horizontal="right"/>
    </xf>
    <xf numFmtId="0" fontId="22" fillId="3" borderId="14" xfId="5" applyFont="1" applyFill="1" applyBorder="1" applyAlignment="1">
      <alignment wrapText="1"/>
    </xf>
    <xf numFmtId="0" fontId="22" fillId="3" borderId="3" xfId="5" applyFont="1" applyFill="1" applyBorder="1" applyAlignment="1">
      <alignment horizontal="right" wrapText="1"/>
    </xf>
    <xf numFmtId="0" fontId="22" fillId="3" borderId="5" xfId="5" applyFont="1" applyFill="1" applyBorder="1" applyAlignment="1">
      <alignment horizontal="right" wrapText="1"/>
    </xf>
    <xf numFmtId="0" fontId="47" fillId="8" borderId="0" xfId="5" applyFont="1" applyFill="1" applyAlignment="1">
      <alignment horizontal="center" wrapText="1"/>
    </xf>
    <xf numFmtId="0" fontId="47" fillId="8" borderId="3" xfId="0" applyFont="1" applyFill="1" applyBorder="1" applyAlignment="1">
      <alignment horizontal="center" wrapText="1"/>
    </xf>
    <xf numFmtId="0" fontId="47" fillId="8" borderId="5" xfId="0" applyFont="1" applyFill="1" applyBorder="1" applyAlignment="1">
      <alignment horizontal="center" wrapText="1"/>
    </xf>
    <xf numFmtId="0" fontId="27" fillId="0" borderId="0" xfId="14" applyFont="1" applyAlignment="1">
      <alignment horizontal="left"/>
    </xf>
    <xf numFmtId="2" fontId="27" fillId="0" borderId="0" xfId="15" applyNumberFormat="1" applyFont="1" applyAlignment="1">
      <alignment horizontal="right"/>
    </xf>
    <xf numFmtId="10" fontId="27" fillId="0" borderId="0" xfId="16" applyNumberFormat="1" applyFont="1" applyAlignment="1">
      <alignment horizontal="right"/>
    </xf>
    <xf numFmtId="14" fontId="27" fillId="0" borderId="0" xfId="5" applyNumberFormat="1" applyFont="1"/>
    <xf numFmtId="170" fontId="27" fillId="0" borderId="9" xfId="5" applyNumberFormat="1" applyFont="1" applyBorder="1"/>
    <xf numFmtId="14" fontId="21" fillId="0" borderId="0" xfId="17" applyNumberFormat="1" applyFont="1" applyAlignment="1">
      <alignment horizontal="left"/>
    </xf>
    <xf numFmtId="170" fontId="21" fillId="0" borderId="9" xfId="5" applyNumberFormat="1" applyFont="1" applyBorder="1"/>
    <xf numFmtId="170" fontId="21" fillId="0" borderId="11" xfId="5" applyNumberFormat="1" applyFont="1" applyBorder="1"/>
    <xf numFmtId="170" fontId="21" fillId="9" borderId="12" xfId="5" applyNumberFormat="1" applyFont="1" applyFill="1" applyBorder="1"/>
    <xf numFmtId="0" fontId="21" fillId="6" borderId="8" xfId="5" applyFont="1" applyFill="1" applyBorder="1"/>
    <xf numFmtId="0" fontId="21" fillId="6" borderId="9" xfId="5" applyFont="1" applyFill="1" applyBorder="1" applyAlignment="1">
      <alignment horizontal="left" indent="1"/>
    </xf>
    <xf numFmtId="0" fontId="21" fillId="6" borderId="0" xfId="5" applyFont="1" applyFill="1"/>
    <xf numFmtId="169" fontId="21" fillId="6" borderId="0" xfId="5" applyNumberFormat="1" applyFont="1" applyFill="1"/>
    <xf numFmtId="10" fontId="21" fillId="6" borderId="10" xfId="5" applyNumberFormat="1" applyFont="1" applyFill="1" applyBorder="1" applyAlignment="1">
      <alignment horizontal="right"/>
    </xf>
    <xf numFmtId="0" fontId="21" fillId="6" borderId="9" xfId="5" applyFont="1" applyFill="1" applyBorder="1"/>
    <xf numFmtId="10" fontId="21" fillId="6" borderId="10" xfId="5" applyNumberFormat="1" applyFont="1" applyFill="1" applyBorder="1"/>
    <xf numFmtId="10" fontId="23" fillId="6" borderId="12" xfId="5" applyNumberFormat="1" applyFont="1" applyFill="1" applyBorder="1" applyAlignment="1">
      <alignment horizontal="right"/>
    </xf>
    <xf numFmtId="0" fontId="30" fillId="0" borderId="0" xfId="5" applyFont="1"/>
    <xf numFmtId="9" fontId="26" fillId="0" borderId="0" xfId="9" applyFont="1" applyAlignment="1">
      <alignment horizontal="right"/>
    </xf>
    <xf numFmtId="172" fontId="28" fillId="0" borderId="0" xfId="5" applyNumberFormat="1" applyFont="1" applyAlignment="1">
      <alignment horizontal="center"/>
    </xf>
    <xf numFmtId="170" fontId="30" fillId="0" borderId="3" xfId="5" applyNumberFormat="1" applyFont="1" applyBorder="1" applyAlignment="1">
      <alignment horizontal="center"/>
    </xf>
    <xf numFmtId="170" fontId="30" fillId="0" borderId="4" xfId="5" applyNumberFormat="1" applyFont="1" applyBorder="1" applyAlignment="1">
      <alignment horizontal="center"/>
    </xf>
    <xf numFmtId="170" fontId="30" fillId="0" borderId="5" xfId="5" applyNumberFormat="1" applyFont="1" applyBorder="1" applyAlignment="1">
      <alignment horizontal="center"/>
    </xf>
    <xf numFmtId="14" fontId="24" fillId="0" borderId="0" xfId="5" applyNumberFormat="1" applyFont="1" applyAlignment="1">
      <alignment horizontal="center"/>
    </xf>
    <xf numFmtId="165" fontId="21" fillId="10" borderId="0" xfId="5" applyNumberFormat="1" applyFont="1" applyFill="1" applyAlignment="1">
      <alignment horizontal="right"/>
    </xf>
    <xf numFmtId="165" fontId="23" fillId="6" borderId="8" xfId="5" applyNumberFormat="1" applyFont="1" applyFill="1" applyBorder="1"/>
    <xf numFmtId="165" fontId="23" fillId="6" borderId="10" xfId="5" applyNumberFormat="1" applyFont="1" applyFill="1" applyBorder="1"/>
    <xf numFmtId="0" fontId="21" fillId="6" borderId="13" xfId="5" applyFont="1" applyFill="1" applyBorder="1"/>
    <xf numFmtId="165" fontId="23" fillId="6" borderId="13" xfId="5" applyNumberFormat="1" applyFont="1" applyFill="1" applyBorder="1"/>
    <xf numFmtId="0" fontId="21" fillId="0" borderId="0" xfId="5" quotePrefix="1" applyFont="1" applyAlignment="1">
      <alignment horizontal="right"/>
    </xf>
    <xf numFmtId="0" fontId="48" fillId="0" borderId="3" xfId="5" applyFont="1" applyBorder="1" applyAlignment="1">
      <alignment wrapText="1"/>
    </xf>
    <xf numFmtId="0" fontId="21" fillId="0" borderId="4" xfId="5" applyFont="1" applyBorder="1" applyAlignment="1">
      <alignment wrapText="1"/>
    </xf>
    <xf numFmtId="0" fontId="29" fillId="0" borderId="4" xfId="5" applyFont="1" applyBorder="1" applyAlignment="1">
      <alignment wrapText="1"/>
    </xf>
    <xf numFmtId="0" fontId="29" fillId="0" borderId="5" xfId="5" applyFont="1" applyBorder="1" applyAlignment="1">
      <alignment wrapText="1"/>
    </xf>
    <xf numFmtId="0" fontId="29" fillId="0" borderId="0" xfId="5" applyFont="1" applyAlignment="1">
      <alignment wrapText="1"/>
    </xf>
    <xf numFmtId="0" fontId="21" fillId="0" borderId="0" xfId="5" applyFont="1" applyAlignment="1">
      <alignment horizontal="center" wrapText="1"/>
    </xf>
    <xf numFmtId="0" fontId="49" fillId="11" borderId="0" xfId="18" applyFont="1" applyFill="1" applyProtection="1">
      <protection locked="0"/>
    </xf>
    <xf numFmtId="0" fontId="27" fillId="11" borderId="0" xfId="18" applyFont="1" applyFill="1" applyProtection="1">
      <protection locked="0"/>
    </xf>
    <xf numFmtId="0" fontId="51" fillId="11" borderId="0" xfId="19" applyFont="1" applyFill="1" applyAlignment="1" applyProtection="1">
      <alignment horizontal="right"/>
      <protection locked="0"/>
    </xf>
    <xf numFmtId="0" fontId="27" fillId="11" borderId="0" xfId="18" applyFont="1" applyFill="1" applyAlignment="1" applyProtection="1">
      <alignment horizontal="center"/>
      <protection locked="0"/>
    </xf>
    <xf numFmtId="0" fontId="53" fillId="11" borderId="0" xfId="18" applyFont="1" applyFill="1" applyProtection="1">
      <protection locked="0"/>
    </xf>
    <xf numFmtId="0" fontId="54" fillId="11" borderId="0" xfId="19" applyFont="1" applyFill="1" applyAlignment="1" applyProtection="1">
      <alignment horizontal="right"/>
      <protection locked="0"/>
    </xf>
    <xf numFmtId="14" fontId="55" fillId="11" borderId="18" xfId="21" applyNumberFormat="1" applyFont="1" applyFill="1" applyBorder="1"/>
    <xf numFmtId="14" fontId="52" fillId="11" borderId="18" xfId="21" applyNumberFormat="1" applyFont="1" applyFill="1" applyBorder="1" applyAlignment="1">
      <alignment horizontal="left"/>
    </xf>
    <xf numFmtId="43" fontId="52" fillId="12" borderId="0" xfId="11" applyFont="1" applyFill="1"/>
    <xf numFmtId="14" fontId="52" fillId="11" borderId="19" xfId="21" applyNumberFormat="1" applyFont="1" applyFill="1" applyBorder="1" applyAlignment="1">
      <alignment horizontal="left"/>
    </xf>
    <xf numFmtId="14" fontId="52" fillId="11" borderId="20" xfId="21" applyNumberFormat="1" applyFont="1" applyFill="1" applyBorder="1" applyAlignment="1">
      <alignment horizontal="left"/>
    </xf>
    <xf numFmtId="0" fontId="26" fillId="0" borderId="0" xfId="5" applyFont="1"/>
    <xf numFmtId="172" fontId="26" fillId="0" borderId="8" xfId="5" applyNumberFormat="1" applyFont="1" applyBorder="1" applyAlignment="1">
      <alignment horizontal="right"/>
    </xf>
    <xf numFmtId="0" fontId="26" fillId="0" borderId="10" xfId="5" applyFont="1" applyBorder="1" applyAlignment="1">
      <alignment horizontal="right"/>
    </xf>
    <xf numFmtId="0" fontId="57" fillId="0" borderId="10" xfId="10" applyFont="1" applyBorder="1" applyAlignment="1">
      <alignment horizontal="right"/>
    </xf>
    <xf numFmtId="0" fontId="26" fillId="0" borderId="12" xfId="5" applyFont="1" applyBorder="1" applyAlignment="1">
      <alignment horizontal="right"/>
    </xf>
    <xf numFmtId="172" fontId="24" fillId="0" borderId="0" xfId="5" applyNumberFormat="1" applyFont="1"/>
    <xf numFmtId="172" fontId="24" fillId="0" borderId="8" xfId="5" applyNumberFormat="1" applyFont="1" applyBorder="1" applyAlignment="1">
      <alignment horizontal="right"/>
    </xf>
    <xf numFmtId="166" fontId="26" fillId="0" borderId="0" xfId="6" applyNumberFormat="1" applyFont="1" applyAlignment="1">
      <alignment vertical="top"/>
    </xf>
    <xf numFmtId="167" fontId="26" fillId="0" borderId="0" xfId="8" applyNumberFormat="1" applyFont="1" applyAlignment="1">
      <alignment vertical="top"/>
    </xf>
    <xf numFmtId="0" fontId="26" fillId="0" borderId="0" xfId="5" applyFont="1" applyAlignment="1">
      <alignment horizontal="right" vertical="top"/>
    </xf>
    <xf numFmtId="43" fontId="21" fillId="0" borderId="0" xfId="5" applyNumberFormat="1" applyFont="1" applyAlignment="1">
      <alignment horizontal="center"/>
    </xf>
    <xf numFmtId="0" fontId="22" fillId="3" borderId="5" xfId="5" applyFont="1" applyFill="1" applyBorder="1" applyAlignment="1">
      <alignment horizontal="center" vertical="center"/>
    </xf>
    <xf numFmtId="43" fontId="21" fillId="0" borderId="0" xfId="6" applyFont="1" applyAlignment="1">
      <alignment horizontal="center" vertical="top"/>
    </xf>
    <xf numFmtId="167" fontId="21" fillId="0" borderId="0" xfId="8" applyNumberFormat="1" applyFont="1" applyAlignment="1">
      <alignment horizontal="center" vertical="top"/>
    </xf>
    <xf numFmtId="165" fontId="25" fillId="0" borderId="0" xfId="9" applyNumberFormat="1" applyFont="1" applyAlignment="1">
      <alignment horizontal="center" vertical="top"/>
    </xf>
    <xf numFmtId="0" fontId="25" fillId="0" borderId="0" xfId="5" applyFont="1" applyAlignment="1">
      <alignment vertical="top"/>
    </xf>
    <xf numFmtId="165" fontId="25" fillId="0" borderId="0" xfId="9" applyNumberFormat="1" applyFont="1" applyAlignment="1">
      <alignment vertical="top"/>
    </xf>
    <xf numFmtId="165" fontId="25" fillId="0" borderId="0" xfId="9" applyNumberFormat="1" applyFont="1" applyAlignment="1">
      <alignment horizontal="left" vertical="top"/>
    </xf>
    <xf numFmtId="165" fontId="25" fillId="0" borderId="0" xfId="9" applyNumberFormat="1" applyFont="1" applyAlignment="1">
      <alignment horizontal="right" vertical="top"/>
    </xf>
    <xf numFmtId="165" fontId="25" fillId="0" borderId="0" xfId="9" applyNumberFormat="1" applyFont="1" applyAlignment="1">
      <alignment horizontal="right" vertical="top" wrapText="1"/>
    </xf>
    <xf numFmtId="0" fontId="14" fillId="2" borderId="0" xfId="3" quotePrefix="1" applyFont="1" applyFill="1" applyProtection="1">
      <protection locked="0" hidden="1"/>
    </xf>
    <xf numFmtId="0" fontId="52" fillId="12" borderId="0" xfId="0" applyFont="1" applyFill="1"/>
    <xf numFmtId="0" fontId="49" fillId="12" borderId="0" xfId="0" applyFont="1" applyFill="1"/>
    <xf numFmtId="0" fontId="52" fillId="11" borderId="0" xfId="0" applyFont="1" applyFill="1"/>
    <xf numFmtId="0" fontId="49" fillId="12" borderId="0" xfId="0" applyFont="1" applyFill="1" applyAlignment="1">
      <alignment horizontal="right"/>
    </xf>
    <xf numFmtId="0" fontId="52" fillId="12" borderId="0" xfId="0" applyFont="1" applyFill="1" applyAlignment="1">
      <alignment horizontal="center"/>
    </xf>
    <xf numFmtId="0" fontId="55" fillId="11" borderId="0" xfId="0" applyFont="1" applyFill="1" applyAlignment="1">
      <alignment horizontal="center"/>
    </xf>
    <xf numFmtId="0" fontId="49" fillId="11" borderId="0" xfId="0" applyFont="1" applyFill="1" applyAlignment="1">
      <alignment horizontal="right"/>
    </xf>
    <xf numFmtId="14" fontId="52" fillId="11" borderId="14" xfId="0" applyNumberFormat="1" applyFont="1" applyFill="1" applyBorder="1" applyAlignment="1">
      <alignment horizontal="center"/>
    </xf>
    <xf numFmtId="0" fontId="55" fillId="11" borderId="3" xfId="0" applyFont="1" applyFill="1" applyBorder="1" applyAlignment="1">
      <alignment horizontal="centerContinuous"/>
    </xf>
    <xf numFmtId="0" fontId="55" fillId="11" borderId="4" xfId="0" applyFont="1" applyFill="1" applyBorder="1" applyAlignment="1">
      <alignment horizontal="centerContinuous"/>
    </xf>
    <xf numFmtId="0" fontId="55" fillId="11" borderId="5" xfId="0" applyFont="1" applyFill="1" applyBorder="1" applyAlignment="1">
      <alignment horizontal="centerContinuous"/>
    </xf>
    <xf numFmtId="14" fontId="55" fillId="11" borderId="3" xfId="0" applyNumberFormat="1" applyFont="1" applyFill="1" applyBorder="1" applyAlignment="1">
      <alignment horizontal="center"/>
    </xf>
    <xf numFmtId="14" fontId="55" fillId="11" borderId="4" xfId="0" applyNumberFormat="1" applyFont="1" applyFill="1" applyBorder="1" applyAlignment="1">
      <alignment horizontal="center"/>
    </xf>
    <xf numFmtId="14" fontId="55" fillId="11" borderId="5" xfId="0" applyNumberFormat="1" applyFont="1" applyFill="1" applyBorder="1" applyAlignment="1">
      <alignment horizontal="center"/>
    </xf>
    <xf numFmtId="0" fontId="55" fillId="12" borderId="0" xfId="0" applyFont="1" applyFill="1" applyAlignment="1">
      <alignment horizontal="center"/>
    </xf>
    <xf numFmtId="0" fontId="52" fillId="11" borderId="0" xfId="0" applyFont="1" applyFill="1" applyAlignment="1">
      <alignment horizontal="left"/>
    </xf>
    <xf numFmtId="165" fontId="52" fillId="11" borderId="9" xfId="0" applyNumberFormat="1" applyFont="1" applyFill="1" applyBorder="1" applyAlignment="1">
      <alignment horizontal="center"/>
    </xf>
    <xf numFmtId="165" fontId="52" fillId="11" borderId="0" xfId="0" applyNumberFormat="1" applyFont="1" applyFill="1" applyAlignment="1">
      <alignment horizontal="center"/>
    </xf>
    <xf numFmtId="165" fontId="52" fillId="11" borderId="10" xfId="0" applyNumberFormat="1" applyFont="1" applyFill="1" applyBorder="1" applyAlignment="1">
      <alignment horizontal="center"/>
    </xf>
    <xf numFmtId="14" fontId="27" fillId="12" borderId="0" xfId="0" applyNumberFormat="1" applyFont="1" applyFill="1" applyAlignment="1">
      <alignment horizontal="center"/>
    </xf>
    <xf numFmtId="165" fontId="52" fillId="12" borderId="0" xfId="0" applyNumberFormat="1" applyFont="1" applyFill="1"/>
    <xf numFmtId="165" fontId="52" fillId="11" borderId="11" xfId="0" applyNumberFormat="1" applyFont="1" applyFill="1" applyBorder="1" applyAlignment="1">
      <alignment horizontal="center"/>
    </xf>
    <xf numFmtId="165" fontId="52" fillId="11" borderId="13" xfId="0" applyNumberFormat="1" applyFont="1" applyFill="1" applyBorder="1" applyAlignment="1">
      <alignment horizontal="center"/>
    </xf>
    <xf numFmtId="165" fontId="52" fillId="11" borderId="12" xfId="0" applyNumberFormat="1" applyFont="1" applyFill="1" applyBorder="1" applyAlignment="1">
      <alignment horizontal="center"/>
    </xf>
    <xf numFmtId="165" fontId="56" fillId="13" borderId="7" xfId="0" applyNumberFormat="1" applyFont="1" applyFill="1" applyBorder="1" applyAlignment="1">
      <alignment horizontal="center"/>
    </xf>
    <xf numFmtId="165" fontId="56" fillId="13" borderId="6" xfId="0" applyNumberFormat="1" applyFont="1" applyFill="1" applyBorder="1" applyAlignment="1">
      <alignment horizontal="center"/>
    </xf>
    <xf numFmtId="165" fontId="56" fillId="13" borderId="8" xfId="0" applyNumberFormat="1" applyFont="1" applyFill="1" applyBorder="1" applyAlignment="1">
      <alignment horizontal="center"/>
    </xf>
    <xf numFmtId="14" fontId="56" fillId="13" borderId="9" xfId="0" applyNumberFormat="1" applyFont="1" applyFill="1" applyBorder="1" applyAlignment="1">
      <alignment horizontal="center"/>
    </xf>
    <xf numFmtId="14" fontId="56" fillId="13" borderId="0" xfId="0" applyNumberFormat="1" applyFont="1" applyFill="1" applyAlignment="1">
      <alignment horizontal="center"/>
    </xf>
    <xf numFmtId="14" fontId="56" fillId="13" borderId="10" xfId="0" applyNumberFormat="1" applyFont="1" applyFill="1" applyBorder="1" applyAlignment="1">
      <alignment horizontal="center"/>
    </xf>
    <xf numFmtId="165" fontId="52" fillId="11" borderId="7" xfId="0" applyNumberFormat="1" applyFont="1" applyFill="1" applyBorder="1" applyAlignment="1">
      <alignment horizontal="center"/>
    </xf>
    <xf numFmtId="165" fontId="52" fillId="11" borderId="6" xfId="0" applyNumberFormat="1" applyFont="1" applyFill="1" applyBorder="1" applyAlignment="1">
      <alignment horizontal="center"/>
    </xf>
    <xf numFmtId="165" fontId="52" fillId="11" borderId="8" xfId="0" applyNumberFormat="1" applyFont="1" applyFill="1" applyBorder="1" applyAlignment="1">
      <alignment horizontal="center"/>
    </xf>
    <xf numFmtId="169" fontId="42" fillId="6" borderId="4" xfId="5" applyNumberFormat="1" applyFont="1" applyFill="1" applyBorder="1"/>
    <xf numFmtId="165" fontId="27" fillId="0" borderId="0" xfId="9" applyNumberFormat="1" applyFont="1" applyAlignment="1">
      <alignment horizontal="right" vertical="top" wrapText="1"/>
    </xf>
    <xf numFmtId="0" fontId="0" fillId="0" borderId="3" xfId="0" applyBorder="1"/>
    <xf numFmtId="9" fontId="21" fillId="0" borderId="5" xfId="5" applyNumberFormat="1" applyFont="1" applyBorder="1"/>
    <xf numFmtId="0" fontId="52" fillId="11" borderId="6" xfId="0" applyFont="1" applyFill="1" applyBorder="1"/>
    <xf numFmtId="165" fontId="52" fillId="12" borderId="6" xfId="0" applyNumberFormat="1" applyFont="1" applyFill="1" applyBorder="1"/>
    <xf numFmtId="0" fontId="0" fillId="0" borderId="0" xfId="0" applyAlignment="1">
      <alignment horizontal="right" wrapText="1"/>
    </xf>
    <xf numFmtId="0" fontId="22" fillId="3" borderId="3" xfId="5" applyFont="1" applyFill="1" applyBorder="1" applyAlignment="1">
      <alignment horizontal="centerContinuous" wrapText="1"/>
    </xf>
    <xf numFmtId="0" fontId="22" fillId="3" borderId="4" xfId="5" applyFont="1" applyFill="1" applyBorder="1" applyAlignment="1">
      <alignment horizontal="centerContinuous" wrapText="1"/>
    </xf>
    <xf numFmtId="0" fontId="22" fillId="3" borderId="5" xfId="5" applyFont="1" applyFill="1" applyBorder="1" applyAlignment="1">
      <alignment horizontal="centerContinuous" wrapText="1"/>
    </xf>
    <xf numFmtId="165" fontId="21" fillId="0" borderId="0" xfId="6" applyNumberFormat="1" applyFont="1"/>
    <xf numFmtId="165" fontId="21" fillId="0" borderId="0" xfId="8" applyNumberFormat="1" applyFont="1"/>
    <xf numFmtId="170" fontId="43" fillId="0" borderId="5" xfId="5" applyNumberFormat="1" applyFont="1" applyBorder="1"/>
    <xf numFmtId="170" fontId="58" fillId="0" borderId="5" xfId="5" applyNumberFormat="1" applyFont="1" applyBorder="1"/>
    <xf numFmtId="0" fontId="14" fillId="4" borderId="4" xfId="0" applyFont="1" applyFill="1" applyBorder="1"/>
    <xf numFmtId="0" fontId="14" fillId="0" borderId="0" xfId="0" applyFont="1"/>
    <xf numFmtId="0" fontId="23" fillId="0" borderId="5" xfId="5" applyFont="1" applyBorder="1"/>
    <xf numFmtId="0" fontId="21" fillId="0" borderId="0" xfId="5" applyFont="1" applyAlignment="1">
      <alignment horizontal="justify" vertical="top"/>
    </xf>
    <xf numFmtId="0" fontId="21" fillId="0" borderId="10" xfId="5" applyFont="1" applyBorder="1" applyAlignment="1">
      <alignment horizontal="justify" vertical="top"/>
    </xf>
    <xf numFmtId="0" fontId="21" fillId="0" borderId="0" xfId="5" applyFont="1" applyFill="1" applyAlignment="1">
      <alignment horizontal="justify" vertical="top"/>
    </xf>
    <xf numFmtId="0" fontId="21" fillId="0" borderId="10" xfId="5" applyFont="1" applyFill="1" applyBorder="1" applyAlignment="1">
      <alignment horizontal="justify" vertical="top"/>
    </xf>
    <xf numFmtId="0" fontId="21" fillId="0" borderId="0" xfId="5" quotePrefix="1" applyFont="1" applyAlignment="1">
      <alignment horizontal="justify" vertical="top"/>
    </xf>
    <xf numFmtId="0" fontId="21" fillId="0" borderId="0" xfId="5" quotePrefix="1" applyFont="1" applyAlignment="1">
      <alignment horizontal="justify" vertical="top" wrapText="1"/>
    </xf>
    <xf numFmtId="0" fontId="45" fillId="7" borderId="0" xfId="0" applyFont="1" applyFill="1" applyAlignment="1">
      <alignment horizontal="justify" vertical="top" wrapText="1"/>
    </xf>
    <xf numFmtId="165" fontId="27" fillId="0" borderId="0" xfId="9" applyNumberFormat="1" applyFont="1" applyAlignment="1">
      <alignment horizontal="justify" vertical="top" wrapText="1"/>
    </xf>
    <xf numFmtId="165" fontId="27" fillId="0" borderId="0" xfId="9" applyNumberFormat="1" applyFont="1" applyAlignment="1">
      <alignment horizontal="left" vertical="top" wrapText="1"/>
    </xf>
    <xf numFmtId="165" fontId="25" fillId="3" borderId="4" xfId="9" applyNumberFormat="1" applyFont="1" applyFill="1" applyBorder="1" applyAlignment="1">
      <alignment horizontal="left" vertical="top"/>
    </xf>
    <xf numFmtId="0" fontId="21" fillId="0" borderId="0" xfId="5" applyFont="1" applyAlignment="1">
      <alignment horizontal="justify" vertical="top" wrapText="1"/>
    </xf>
    <xf numFmtId="0" fontId="20" fillId="0" borderId="0" xfId="5" applyAlignment="1">
      <alignment horizontal="justify" vertical="top" wrapText="1"/>
    </xf>
    <xf numFmtId="14" fontId="56" fillId="13" borderId="18" xfId="21" applyNumberFormat="1" applyFont="1" applyFill="1" applyBorder="1" applyAlignment="1">
      <alignment horizontal="left"/>
    </xf>
    <xf numFmtId="14" fontId="56" fillId="13" borderId="19" xfId="21" applyNumberFormat="1" applyFont="1" applyFill="1" applyBorder="1" applyAlignment="1">
      <alignment horizontal="left"/>
    </xf>
    <xf numFmtId="170" fontId="26" fillId="0" borderId="6" xfId="5" applyNumberFormat="1" applyFont="1" applyBorder="1"/>
    <xf numFmtId="170" fontId="26" fillId="0" borderId="8" xfId="5" applyNumberFormat="1" applyFont="1" applyBorder="1"/>
    <xf numFmtId="170" fontId="21" fillId="0" borderId="6" xfId="5" applyNumberFormat="1" applyFont="1" applyBorder="1"/>
    <xf numFmtId="170" fontId="21" fillId="0" borderId="8" xfId="5" applyNumberFormat="1" applyFont="1" applyBorder="1"/>
  </cellXfs>
  <cellStyles count="22">
    <cellStyle name="Comma" xfId="1" builtinId="3"/>
    <cellStyle name="Comma 13" xfId="6" xr:uid="{00000000-0005-0000-0000-000001000000}"/>
    <cellStyle name="Comma 2" xfId="4" xr:uid="{00000000-0005-0000-0000-000002000000}"/>
    <cellStyle name="Comma 4 5" xfId="11" xr:uid="{00000000-0005-0000-0000-000003000000}"/>
    <cellStyle name="Currency 2 2 2 2" xfId="8" xr:uid="{00000000-0005-0000-0000-000004000000}"/>
    <cellStyle name="Normal" xfId="0" builtinId="0"/>
    <cellStyle name="Normal 10 11 2 2" xfId="17" xr:uid="{00000000-0005-0000-0000-000006000000}"/>
    <cellStyle name="Normal 10 2" xfId="18" xr:uid="{00000000-0005-0000-0000-000007000000}"/>
    <cellStyle name="Normal 11 3" xfId="15" xr:uid="{00000000-0005-0000-0000-000008000000}"/>
    <cellStyle name="Normal 12" xfId="10" xr:uid="{00000000-0005-0000-0000-000009000000}"/>
    <cellStyle name="Normal 2" xfId="3" xr:uid="{00000000-0005-0000-0000-00000A000000}"/>
    <cellStyle name="Normal 38" xfId="5" xr:uid="{00000000-0005-0000-0000-00000B000000}"/>
    <cellStyle name="Normal 40" xfId="20" xr:uid="{00000000-0005-0000-0000-00000C000000}"/>
    <cellStyle name="Normal_Input Sheet" xfId="14" xr:uid="{00000000-0005-0000-0000-00000D000000}"/>
    <cellStyle name="Normal_Template- DCF_Final_060606" xfId="21" xr:uid="{00000000-0005-0000-0000-00000E000000}"/>
    <cellStyle name="Normal_Vayusa_Valuation Model Update #1_06_22" xfId="19" xr:uid="{00000000-0005-0000-0000-00000F000000}"/>
    <cellStyle name="Percent" xfId="2" builtinId="5"/>
    <cellStyle name="Percent 10" xfId="9" xr:uid="{00000000-0005-0000-0000-000011000000}"/>
    <cellStyle name="Percent 10 2" xfId="7" xr:uid="{00000000-0005-0000-0000-000012000000}"/>
    <cellStyle name="Percent 7 3" xfId="12" xr:uid="{00000000-0005-0000-0000-000013000000}"/>
    <cellStyle name="Percent 8 2" xfId="16" xr:uid="{00000000-0005-0000-0000-000014000000}"/>
    <cellStyle name="TextNormal" xfId="13" xr:uid="{00000000-0005-0000-0000-000015000000}"/>
  </cellStyles>
  <dxfs count="33">
    <dxf>
      <fill>
        <patternFill>
          <bgColor rgb="FFFF0000"/>
        </patternFill>
      </fill>
    </dxf>
    <dxf>
      <font>
        <b/>
        <i val="0"/>
        <condense val="0"/>
        <extend val="0"/>
        <color indexed="13"/>
      </font>
      <fill>
        <patternFill>
          <bgColor indexed="12"/>
        </patternFill>
      </fill>
    </dxf>
    <dxf>
      <fill>
        <patternFill>
          <bgColor rgb="FFFF0000"/>
        </patternFill>
      </fill>
    </dxf>
    <dxf>
      <font>
        <b/>
        <i val="0"/>
        <condense val="0"/>
        <extend val="0"/>
        <color indexed="13"/>
      </font>
      <fill>
        <patternFill>
          <bgColor indexed="1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3"/>
      </font>
      <fill>
        <patternFill>
          <bgColor indexed="1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b/>
        <i val="0"/>
        <condense val="0"/>
        <extend val="0"/>
        <color indexed="13"/>
      </font>
      <fill>
        <patternFill>
          <bgColor indexed="12"/>
        </patternFill>
      </fill>
    </dxf>
    <dxf>
      <font>
        <b/>
        <i val="0"/>
        <condense val="0"/>
        <extend val="0"/>
        <color indexed="13"/>
      </font>
      <fill>
        <patternFill>
          <bgColor indexed="12"/>
        </patternFill>
      </fill>
    </dxf>
    <dxf>
      <fill>
        <patternFill>
          <bgColor rgb="FFFF0000"/>
        </patternFill>
      </fill>
    </dxf>
    <dxf>
      <fill>
        <patternFill>
          <bgColor rgb="FFFF0000"/>
        </patternFill>
      </fill>
    </dxf>
    <dxf>
      <font>
        <b/>
        <i val="0"/>
        <condense val="0"/>
        <extend val="0"/>
        <color indexed="13"/>
      </font>
      <fill>
        <patternFill>
          <bgColor indexed="12"/>
        </patternFill>
      </fill>
    </dxf>
    <dxf>
      <font>
        <b/>
        <i val="0"/>
        <condense val="0"/>
        <extend val="0"/>
        <color indexed="13"/>
      </font>
      <fill>
        <patternFill>
          <bgColor indexed="12"/>
        </patternFill>
      </fill>
    </dxf>
    <dxf>
      <fill>
        <patternFill>
          <bgColor rgb="FFFF0000"/>
        </patternFill>
      </fill>
    </dxf>
    <dxf>
      <font>
        <b/>
        <i val="0"/>
        <condense val="0"/>
        <extend val="0"/>
        <color indexed="13"/>
      </font>
      <fill>
        <patternFill>
          <bgColor indexed="12"/>
        </patternFill>
      </fill>
    </dxf>
    <dxf>
      <fill>
        <patternFill>
          <bgColor rgb="FFFF0000"/>
        </patternFill>
      </fill>
    </dxf>
    <dxf>
      <font>
        <b/>
        <i val="0"/>
        <condense val="0"/>
        <extend val="0"/>
        <color indexed="13"/>
      </font>
      <fill>
        <patternFill>
          <bgColor indexed="12"/>
        </patternFill>
      </fill>
    </dxf>
    <dxf>
      <font>
        <b/>
        <i val="0"/>
        <condense val="0"/>
        <extend val="0"/>
        <color indexed="13"/>
      </font>
      <fill>
        <patternFill>
          <bgColor indexed="12"/>
        </patternFill>
      </fill>
    </dxf>
    <dxf>
      <font>
        <b/>
        <i val="0"/>
        <condense val="0"/>
        <extend val="0"/>
        <color indexed="13"/>
      </font>
      <fill>
        <patternFill>
          <bgColor indexed="12"/>
        </patternFill>
      </fill>
    </dxf>
    <dxf>
      <font>
        <b/>
        <i val="0"/>
        <condense val="0"/>
        <extend val="0"/>
        <color indexed="13"/>
      </font>
      <fill>
        <patternFill>
          <bgColor indexed="12"/>
        </patternFill>
      </fill>
    </dxf>
    <dxf>
      <font>
        <color theme="0"/>
      </font>
    </dxf>
  </dxfs>
  <tableStyles count="0" defaultTableStyle="TableStyleMedium2" defaultPivotStyle="PivotStyleLight16"/>
  <colors>
    <mruColors>
      <color rgb="FF008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w="0"/>
                <a:solidFill>
                  <a:schemeClr val="tx2"/>
                </a:solidFill>
                <a:effectLst>
                  <a:outerShdw blurRad="38100" dist="25400" dir="5400000" algn="ctr" rotWithShape="0">
                    <a:srgbClr val="6E747A">
                      <a:alpha val="43000"/>
                    </a:srgbClr>
                  </a:outerShdw>
                </a:effectLst>
                <a:latin typeface="Times New Roman" panose="02020603050405020304" pitchFamily="18" charset="0"/>
                <a:ea typeface="+mn-ea"/>
                <a:cs typeface="Times New Roman" panose="02020603050405020304" pitchFamily="18" charset="0"/>
              </a:defRPr>
            </a:pPr>
            <a:r>
              <a:rPr lang="en-US" sz="1400" b="1" cap="none" spc="0">
                <a:ln w="0"/>
                <a:solidFill>
                  <a:schemeClr val="tx2"/>
                </a:solidFill>
                <a:effectLst>
                  <a:outerShdw blurRad="38100" dist="25400" dir="5400000" algn="ctr" rotWithShape="0">
                    <a:srgbClr val="6E747A">
                      <a:alpha val="43000"/>
                    </a:srgbClr>
                  </a:outerShdw>
                </a:effectLst>
                <a:latin typeface="Times New Roman" panose="02020603050405020304" pitchFamily="18" charset="0"/>
                <a:ea typeface="+mn-ea"/>
                <a:cs typeface="Times New Roman" panose="02020603050405020304" pitchFamily="18" charset="0"/>
              </a:rPr>
              <a:t>Equity Volatility</a:t>
            </a:r>
            <a:endParaRPr lang="en-US" sz="1400" b="1" cap="none" spc="0">
              <a:ln w="0"/>
              <a:solidFill>
                <a:schemeClr val="tx2"/>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c:rich>
      </c:tx>
      <c:layout>
        <c:manualLayout>
          <c:xMode val="edge"/>
          <c:yMode val="edge"/>
          <c:x val="0.33054766983558492"/>
          <c:y val="1.3308151979157587E-2"/>
        </c:manualLayout>
      </c:layout>
      <c:overlay val="0"/>
      <c:spPr>
        <a:solidFill>
          <a:schemeClr val="lt1"/>
        </a:solidFill>
        <a:ln w="25400" cap="flat" cmpd="sng" algn="ctr">
          <a:noFill/>
          <a:prstDash val="solid"/>
        </a:ln>
        <a:effectLst/>
      </c:spPr>
      <c:txPr>
        <a:bodyPr rot="0" spcFirstLastPara="1" vertOverflow="ellipsis" vert="horz" wrap="square" anchor="ctr" anchorCtr="1"/>
        <a:lstStyle/>
        <a:p>
          <a:pPr>
            <a:defRPr sz="1400" b="1" i="0" u="none" strike="noStrike" kern="1200" cap="none" spc="0" baseline="0">
              <a:ln w="0"/>
              <a:solidFill>
                <a:schemeClr val="tx2"/>
              </a:solidFill>
              <a:effectLst>
                <a:outerShdw blurRad="38100" dist="25400" dir="5400000" algn="ctr" rotWithShape="0">
                  <a:srgbClr val="6E747A">
                    <a:alpha val="43000"/>
                  </a:srgbClr>
                </a:outerShdw>
              </a:effectLst>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8.2522669616130764E-2"/>
          <c:y val="0.14550925925925925"/>
          <c:w val="0.62622143803930863"/>
          <c:h val="0.75635061242344703"/>
        </c:manualLayout>
      </c:layout>
      <c:stockChart>
        <c:ser>
          <c:idx val="2"/>
          <c:order val="0"/>
          <c:tx>
            <c:strRef>
              <c:f>'Equity Vol'!$B$24</c:f>
              <c:strCache>
                <c:ptCount val="1"/>
                <c:pt idx="0">
                  <c:v>1st Quartile</c:v>
                </c:pt>
              </c:strCache>
            </c:strRef>
          </c:tx>
          <c:spPr>
            <a:ln w="28575" cap="rnd">
              <a:noFill/>
              <a:round/>
            </a:ln>
            <a:effectLst/>
          </c:spPr>
          <c:marker>
            <c:symbol val="none"/>
          </c:marker>
          <c:cat>
            <c:numRef>
              <c:f>'Equity Vol'!$D$8:$H$8</c:f>
              <c:numCache>
                <c:formatCode>_(* #,##0.00_);_(* \(#,##0.00\);_(* "-"_);_(@_)</c:formatCode>
                <c:ptCount val="5"/>
                <c:pt idx="0">
                  <c:v>1</c:v>
                </c:pt>
                <c:pt idx="1">
                  <c:v>2</c:v>
                </c:pt>
                <c:pt idx="2">
                  <c:v>3</c:v>
                </c:pt>
                <c:pt idx="3">
                  <c:v>4</c:v>
                </c:pt>
                <c:pt idx="4">
                  <c:v>5</c:v>
                </c:pt>
              </c:numCache>
            </c:numRef>
          </c:cat>
          <c:val>
            <c:numRef>
              <c:f>'Equity Vol'!$D$24:$H$24</c:f>
              <c:numCache>
                <c:formatCode>0.0%</c:formatCode>
                <c:ptCount val="5"/>
                <c:pt idx="0">
                  <c:v>0.30365987198958466</c:v>
                </c:pt>
                <c:pt idx="1">
                  <c:v>0.28856512088536501</c:v>
                </c:pt>
                <c:pt idx="2">
                  <c:v>0.27417917042017009</c:v>
                </c:pt>
                <c:pt idx="3">
                  <c:v>0.25314608513358555</c:v>
                </c:pt>
                <c:pt idx="4">
                  <c:v>0.24063986816606325</c:v>
                </c:pt>
              </c:numCache>
            </c:numRef>
          </c:val>
          <c:smooth val="0"/>
          <c:extLst>
            <c:ext xmlns:c16="http://schemas.microsoft.com/office/drawing/2014/chart" uri="{C3380CC4-5D6E-409C-BE32-E72D297353CC}">
              <c16:uniqueId val="{00000000-3967-4F06-A3C1-8963EE5AEF08}"/>
            </c:ext>
          </c:extLst>
        </c:ser>
        <c:ser>
          <c:idx val="0"/>
          <c:order val="1"/>
          <c:tx>
            <c:strRef>
              <c:f>'Equity Vol'!$B$20</c:f>
              <c:strCache>
                <c:ptCount val="1"/>
                <c:pt idx="0">
                  <c:v>High</c:v>
                </c:pt>
              </c:strCache>
            </c:strRef>
          </c:tx>
          <c:spPr>
            <a:ln w="28575" cap="rnd">
              <a:noFill/>
              <a:round/>
            </a:ln>
            <a:effectLst>
              <a:outerShdw blurRad="50800" dist="88900" dir="5400000" algn="ctr" rotWithShape="0">
                <a:srgbClr val="000000">
                  <a:alpha val="43137"/>
                </a:srgbClr>
              </a:outerShdw>
            </a:effectLst>
          </c:spPr>
          <c:marker>
            <c:symbol val="dash"/>
            <c:size val="7"/>
            <c:spPr>
              <a:solidFill>
                <a:schemeClr val="accent2">
                  <a:lumMod val="75000"/>
                </a:schemeClr>
              </a:solidFill>
              <a:ln w="9525">
                <a:noFill/>
              </a:ln>
              <a:effectLst>
                <a:outerShdw blurRad="50800" dist="88900" dir="5400000" algn="ctr" rotWithShape="0">
                  <a:srgbClr val="000000">
                    <a:alpha val="43137"/>
                  </a:srgbClr>
                </a:outerShdw>
              </a:effectLst>
              <a:scene3d>
                <a:camera prst="orthographicFront"/>
                <a:lightRig rig="twoPt" dir="t"/>
              </a:scene3d>
              <a:sp3d prstMaterial="flat">
                <a:bevelT prst="slope"/>
                <a:bevelB prst="slope"/>
              </a:sp3d>
            </c:spPr>
          </c:marker>
          <c:cat>
            <c:numRef>
              <c:f>'Equity Vol'!$D$8:$H$8</c:f>
              <c:numCache>
                <c:formatCode>_(* #,##0.00_);_(* \(#,##0.00\);_(* "-"_);_(@_)</c:formatCode>
                <c:ptCount val="5"/>
                <c:pt idx="0">
                  <c:v>1</c:v>
                </c:pt>
                <c:pt idx="1">
                  <c:v>2</c:v>
                </c:pt>
                <c:pt idx="2">
                  <c:v>3</c:v>
                </c:pt>
                <c:pt idx="3">
                  <c:v>4</c:v>
                </c:pt>
                <c:pt idx="4">
                  <c:v>5</c:v>
                </c:pt>
              </c:numCache>
            </c:numRef>
          </c:cat>
          <c:val>
            <c:numRef>
              <c:f>'Equity Vol'!$D$20:$H$20</c:f>
              <c:numCache>
                <c:formatCode>0.0%</c:formatCode>
                <c:ptCount val="5"/>
                <c:pt idx="0">
                  <c:v>0.50552024995048173</c:v>
                </c:pt>
                <c:pt idx="1">
                  <c:v>0.49317678642885571</c:v>
                </c:pt>
                <c:pt idx="2">
                  <c:v>0.48823549668578248</c:v>
                </c:pt>
                <c:pt idx="3">
                  <c:v>0.48823549668578248</c:v>
                </c:pt>
                <c:pt idx="4">
                  <c:v>0.48823549668578248</c:v>
                </c:pt>
              </c:numCache>
            </c:numRef>
          </c:val>
          <c:smooth val="0"/>
          <c:extLst>
            <c:ext xmlns:c16="http://schemas.microsoft.com/office/drawing/2014/chart" uri="{C3380CC4-5D6E-409C-BE32-E72D297353CC}">
              <c16:uniqueId val="{00000001-3967-4F06-A3C1-8963EE5AEF08}"/>
            </c:ext>
          </c:extLst>
        </c:ser>
        <c:ser>
          <c:idx val="1"/>
          <c:order val="2"/>
          <c:tx>
            <c:strRef>
              <c:f>'Equity Vol'!$B$25</c:f>
              <c:strCache>
                <c:ptCount val="1"/>
                <c:pt idx="0">
                  <c:v>Years to Maturity</c:v>
                </c:pt>
              </c:strCache>
            </c:strRef>
          </c:tx>
          <c:spPr>
            <a:ln w="28575" cap="rnd">
              <a:noFill/>
              <a:round/>
            </a:ln>
            <a:effectLst/>
          </c:spPr>
          <c:marker>
            <c:symbol val="dash"/>
            <c:size val="10"/>
            <c:spPr>
              <a:solidFill>
                <a:schemeClr val="accent2">
                  <a:lumMod val="75000"/>
                </a:schemeClr>
              </a:solidFill>
              <a:ln w="9525">
                <a:noFill/>
              </a:ln>
              <a:effectLst/>
              <a:scene3d>
                <a:camera prst="orthographicFront"/>
                <a:lightRig rig="twoPt" dir="t"/>
              </a:scene3d>
              <a:sp3d prstMaterial="flat">
                <a:bevelT prst="slope"/>
                <a:bevelB prst="slope"/>
              </a:sp3d>
            </c:spPr>
          </c:marker>
          <c:cat>
            <c:numRef>
              <c:f>'Equity Vol'!$D$8:$H$8</c:f>
              <c:numCache>
                <c:formatCode>_(* #,##0.00_);_(* \(#,##0.00\);_(* "-"_);_(@_)</c:formatCode>
                <c:ptCount val="5"/>
                <c:pt idx="0">
                  <c:v>1</c:v>
                </c:pt>
                <c:pt idx="1">
                  <c:v>2</c:v>
                </c:pt>
                <c:pt idx="2">
                  <c:v>3</c:v>
                </c:pt>
                <c:pt idx="3">
                  <c:v>4</c:v>
                </c:pt>
                <c:pt idx="4">
                  <c:v>5</c:v>
                </c:pt>
              </c:numCache>
            </c:numRef>
          </c:cat>
          <c:val>
            <c:numRef>
              <c:f>'Equity Vol'!$D$25:$H$25</c:f>
              <c:numCache>
                <c:formatCode>0.0%</c:formatCode>
                <c:ptCount val="5"/>
                <c:pt idx="0">
                  <c:v>0.15034732733466866</c:v>
                </c:pt>
                <c:pt idx="1">
                  <c:v>0.26144451973052713</c:v>
                </c:pt>
                <c:pt idx="2">
                  <c:v>0.2554441388710581</c:v>
                </c:pt>
                <c:pt idx="3">
                  <c:v>0.249978823765203</c:v>
                </c:pt>
                <c:pt idx="4">
                  <c:v>0.23373755616110109</c:v>
                </c:pt>
              </c:numCache>
            </c:numRef>
          </c:val>
          <c:smooth val="0"/>
          <c:extLst>
            <c:ext xmlns:c16="http://schemas.microsoft.com/office/drawing/2014/chart" uri="{C3380CC4-5D6E-409C-BE32-E72D297353CC}">
              <c16:uniqueId val="{00000002-3967-4F06-A3C1-8963EE5AEF08}"/>
            </c:ext>
          </c:extLst>
        </c:ser>
        <c:ser>
          <c:idx val="3"/>
          <c:order val="3"/>
          <c:tx>
            <c:strRef>
              <c:f>'Equity Vol'!$B$21</c:f>
              <c:strCache>
                <c:ptCount val="1"/>
                <c:pt idx="0">
                  <c:v>3rd Quartile</c:v>
                </c:pt>
              </c:strCache>
            </c:strRef>
          </c:tx>
          <c:spPr>
            <a:ln w="28575" cap="rnd">
              <a:noFill/>
              <a:round/>
            </a:ln>
            <a:effectLst/>
          </c:spPr>
          <c:marker>
            <c:symbol val="none"/>
          </c:marker>
          <c:cat>
            <c:numRef>
              <c:f>'Equity Vol'!$D$8:$H$8</c:f>
              <c:numCache>
                <c:formatCode>_(* #,##0.00_);_(* \(#,##0.00\);_(* "-"_);_(@_)</c:formatCode>
                <c:ptCount val="5"/>
                <c:pt idx="0">
                  <c:v>1</c:v>
                </c:pt>
                <c:pt idx="1">
                  <c:v>2</c:v>
                </c:pt>
                <c:pt idx="2">
                  <c:v>3</c:v>
                </c:pt>
                <c:pt idx="3">
                  <c:v>4</c:v>
                </c:pt>
                <c:pt idx="4">
                  <c:v>5</c:v>
                </c:pt>
              </c:numCache>
            </c:numRef>
          </c:cat>
          <c:val>
            <c:numRef>
              <c:f>'Equity Vol'!$D$21:$H$21</c:f>
              <c:numCache>
                <c:formatCode>0.0%</c:formatCode>
                <c:ptCount val="5"/>
                <c:pt idx="0">
                  <c:v>0.37049945727814049</c:v>
                </c:pt>
                <c:pt idx="1">
                  <c:v>0.30047832513311512</c:v>
                </c:pt>
                <c:pt idx="2">
                  <c:v>0.34570694848989109</c:v>
                </c:pt>
                <c:pt idx="3">
                  <c:v>0.34394192365762433</c:v>
                </c:pt>
                <c:pt idx="4">
                  <c:v>0.34592277457394588</c:v>
                </c:pt>
              </c:numCache>
            </c:numRef>
          </c:val>
          <c:smooth val="0"/>
          <c:extLst>
            <c:ext xmlns:c16="http://schemas.microsoft.com/office/drawing/2014/chart" uri="{C3380CC4-5D6E-409C-BE32-E72D297353CC}">
              <c16:uniqueId val="{00000003-3967-4F06-A3C1-8963EE5AEF0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tx2"/>
              </a:solidFill>
              <a:ln w="9525" cap="flat" cmpd="sng" algn="ctr">
                <a:noFill/>
                <a:round/>
              </a:ln>
              <a:effectLst>
                <a:outerShdw blurRad="50800" dist="38100" dir="16200000" rotWithShape="0">
                  <a:schemeClr val="bg1">
                    <a:lumMod val="65000"/>
                    <a:alpha val="40000"/>
                  </a:schemeClr>
                </a:outerShdw>
              </a:effectLst>
              <a:scene3d>
                <a:camera prst="orthographicFront"/>
                <a:lightRig rig="twoPt" dir="t"/>
              </a:scene3d>
              <a:sp3d prstMaterial="flat">
                <a:bevelT w="165100" prst="coolSlant"/>
                <a:bevelB w="165100" prst="coolSlant"/>
              </a:sp3d>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613533696"/>
        <c:axId val="613535264"/>
      </c:stockChart>
      <c:catAx>
        <c:axId val="613533696"/>
        <c:scaling>
          <c:orientation val="minMax"/>
        </c:scaling>
        <c:delete val="0"/>
        <c:axPos val="b"/>
        <c:numFmt formatCode="_(* #,##0.00_);_(* \(#,##0.0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3535264"/>
        <c:crosses val="autoZero"/>
        <c:auto val="1"/>
        <c:lblAlgn val="ctr"/>
        <c:lblOffset val="100"/>
        <c:noMultiLvlLbl val="0"/>
      </c:catAx>
      <c:valAx>
        <c:axId val="6135352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353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5340351</xdr:colOff>
      <xdr:row>0</xdr:row>
      <xdr:rowOff>142874</xdr:rowOff>
    </xdr:from>
    <xdr:to>
      <xdr:col>5</xdr:col>
      <xdr:colOff>42721</xdr:colOff>
      <xdr:row>4</xdr:row>
      <xdr:rowOff>183097</xdr:rowOff>
    </xdr:to>
    <xdr:pic>
      <xdr:nvPicPr>
        <xdr:cNvPr id="2" name="Picture 1">
          <a:extLst>
            <a:ext uri="{FF2B5EF4-FFF2-40B4-BE49-F238E27FC236}">
              <a16:creationId xmlns:a16="http://schemas.microsoft.com/office/drawing/2014/main" id="{80ADD335-AC7B-4389-8B43-E3DAD40D57DB}"/>
            </a:ext>
          </a:extLst>
        </xdr:cNvPr>
        <xdr:cNvPicPr>
          <a:picLocks noChangeAspect="1"/>
        </xdr:cNvPicPr>
      </xdr:nvPicPr>
      <xdr:blipFill>
        <a:blip xmlns:r="http://schemas.openxmlformats.org/officeDocument/2006/relationships" r:embed="rId1" cstate="print"/>
        <a:stretch>
          <a:fillRect/>
        </a:stretch>
      </xdr:blipFill>
      <xdr:spPr>
        <a:xfrm>
          <a:off x="6378576" y="142874"/>
          <a:ext cx="1398445" cy="8022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104775</xdr:colOff>
      <xdr:row>31</xdr:row>
      <xdr:rowOff>47625</xdr:rowOff>
    </xdr:from>
    <xdr:to>
      <xdr:col>25</xdr:col>
      <xdr:colOff>466725</xdr:colOff>
      <xdr:row>46</xdr:row>
      <xdr:rowOff>38100</xdr:rowOff>
    </xdr:to>
    <xdr:graphicFrame macro="">
      <xdr:nvGraphicFramePr>
        <xdr:cNvPr id="2" name="Chart 1">
          <a:extLst>
            <a:ext uri="{FF2B5EF4-FFF2-40B4-BE49-F238E27FC236}">
              <a16:creationId xmlns:a16="http://schemas.microsoft.com/office/drawing/2014/main" id="{AC778E5E-DD72-4FE8-B3A6-3E5CFAFF3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47625</xdr:colOff>
      <xdr:row>32</xdr:row>
      <xdr:rowOff>228600</xdr:rowOff>
    </xdr:from>
    <xdr:to>
      <xdr:col>25</xdr:col>
      <xdr:colOff>314325</xdr:colOff>
      <xdr:row>38</xdr:row>
      <xdr:rowOff>85725</xdr:rowOff>
    </xdr:to>
    <xdr:pic>
      <xdr:nvPicPr>
        <xdr:cNvPr id="3" name="Picture 2">
          <a:extLst>
            <a:ext uri="{FF2B5EF4-FFF2-40B4-BE49-F238E27FC236}">
              <a16:creationId xmlns:a16="http://schemas.microsoft.com/office/drawing/2014/main" id="{2B930ECA-DBD8-471D-81C6-A76F735B0B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73550" y="4924425"/>
          <a:ext cx="1485900" cy="990600"/>
        </a:xfrm>
        <a:prstGeom prst="rect">
          <a:avLst/>
        </a:prstGeom>
        <a:noFill/>
        <a:ln w="3175">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_oa2\netgear\finance\AUDIT\bridge\quarterly%20trends%20for%20d%20&amp;%20t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Valuation\RNA%20Advisors\Kiromic\409A%20VD%2005.31.2017\6%20-%20Analysis\Kiromic,%20Inc.%20IRC%20409a%20VD%2005.31.17%20Draft%20Exhibits%202017.08.02.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O:\Valuation\RNA%20Advisors\Satellite%20Health\Daly%20City\BEV%20VD%2001.15.18\6%20-%20Analysis\Summary%20of%20Comparison.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pagrawal/Desktop/Aduro%20409A%202014.09.30%20VD%20Exhibits%20DRAFT%202014.11.1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Users\pagrawal\Desktop\Aduro%20409A%202014.09.30%20VD%20Exhibits%20DRAFT%202014.11.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Valuation\RNA%20Advisors\4D%20Molecular%20Therapeutics\409A%20VD%2001.15.2016\7%20-%20Audit\Option%20Simulation%20&amp;%20Volatility%20Computation.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Valuation\RNA%20Advisors\Satellite%20Health\WB%20Santa%20Cruz\BEV%20VD%2012.31.2018\6%20-%20Analysis\Valuation.4.Santa%20Cruz%20VD%2012.31.2018%20Draft%20Exhibits%202019.05.02%20k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pasak/AppData/Local/Microsoft/Windows/Temporary%20Internet%20Files/Content.Outlook/O6MXOXOL/Kw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SDs/K/Kw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Users\upasak\AppData\Local\Microsoft\Windows\Temporary%20Internet%20Files\Content.Outlook\O6MXOXOL\mode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USNY057\groupdirs\M&amp;A\Presentations\04\9040832n\9040832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Transfer\02-tues\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b24166\PDMSdirs\Current%20Work\PC\9-05\9-05046\9-05046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2004%2005%20SCS%20UK%20management%20accoun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Users\jc3\Dropbox\C:\C\HNH%20-%20Holy%20Name%20Hospital\HNH-02%20Holy%20Name%20Medical%20Center%20Dialysis%20Program%20(PHC-BV)\HNH-02%20HNMC's%20Dialysis%20Program%20Financial%20Model%20DRAFT%2008-25-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2"/>
      <sheetName val="Sheet3"/>
      <sheetName val="Sheet4"/>
      <sheetName val="Sheet1"/>
      <sheetName val="Tickmarks"/>
      <sheetName val="Sheet5"/>
      <sheetName val="FAB별"/>
      <sheetName val="Credit Calc"/>
      <sheetName val="Capital IQ Sheet-GPC"/>
    </sheetNames>
    <sheetDataSet>
      <sheetData sheetId="0" refreshError="1">
        <row r="3">
          <cell r="H3" t="str">
            <v>Q1 97</v>
          </cell>
          <cell r="I3" t="str">
            <v>Q2 97</v>
          </cell>
          <cell r="J3" t="str">
            <v>Q3 97</v>
          </cell>
          <cell r="K3" t="str">
            <v>Q4 97</v>
          </cell>
          <cell r="M3" t="str">
            <v>Q1 98</v>
          </cell>
          <cell r="N3" t="str">
            <v>Q2 98</v>
          </cell>
          <cell r="O3" t="str">
            <v>Q3 98</v>
          </cell>
          <cell r="P3" t="str">
            <v>Q4 98</v>
          </cell>
        </row>
        <row r="15">
          <cell r="H15">
            <v>-2123303.52</v>
          </cell>
          <cell r="I15">
            <v>-1253290.3699999999</v>
          </cell>
          <cell r="J15">
            <v>-162269.43</v>
          </cell>
          <cell r="K15">
            <v>146899.29000000033</v>
          </cell>
          <cell r="M15">
            <v>-246014.77000000002</v>
          </cell>
          <cell r="N15">
            <v>-1799602.0100000002</v>
          </cell>
          <cell r="O15">
            <v>-1013013.5800000001</v>
          </cell>
        </row>
        <row r="20">
          <cell r="H20">
            <v>0.19236638472376649</v>
          </cell>
          <cell r="I20">
            <v>0.17160343737293951</v>
          </cell>
          <cell r="J20">
            <v>0.22329840583258154</v>
          </cell>
          <cell r="K20">
            <v>0.2622241607330375</v>
          </cell>
          <cell r="M20">
            <v>0.22868601654276952</v>
          </cell>
          <cell r="N20">
            <v>0.13886160439354986</v>
          </cell>
          <cell r="O20">
            <v>0.16937325540860795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Guidelines"/>
      <sheetName val="MASTER PubCo Inputs"/>
      <sheetName val="Notes &amp; Assumptions"/>
      <sheetName val="Checklist"/>
      <sheetName val="Exhibits--&gt;&gt;"/>
      <sheetName val="Title"/>
      <sheetName val="Outline"/>
      <sheetName val="_CIQHiddenCacheSheet"/>
      <sheetName val="Val Summ"/>
      <sheetName val="Allocation Method &gt;&gt;"/>
      <sheetName val="PWERM"/>
      <sheetName val="Exit Probability"/>
      <sheetName val="PoTS"/>
      <sheetName val="FS &gt;&gt;"/>
      <sheetName val="Projections"/>
      <sheetName val="Hist IS"/>
      <sheetName val="Hist BS"/>
      <sheetName val="Discount Rate FP &gt;&gt;"/>
      <sheetName val="WACC PWERM"/>
      <sheetName val="RoR Stage of Dev"/>
      <sheetName val="GCM FP &gt;&gt;"/>
      <sheetName val="Comp.1"/>
      <sheetName val="Comp.6"/>
      <sheetName val="GTM FP &gt;&gt;"/>
      <sheetName val="Trans.1"/>
      <sheetName val="Trans.2"/>
      <sheetName val="Cap Structure FP &gt;&gt;"/>
      <sheetName val="Cap Table"/>
      <sheetName val="Convertible Notes"/>
      <sheetName val="Support FP &gt;&gt;"/>
      <sheetName val="Licensing Deals"/>
      <sheetName val="Licensing Deals_IO"/>
      <sheetName val="DLOM"/>
      <sheetName val="Asset Vol_PWERM"/>
      <sheetName val="Equity Vol"/>
      <sheetName val="Risk-Free Rates"/>
      <sheetName val="IPO Data"/>
      <sheetName val="IPO Data_selected"/>
      <sheetName val="Title_Workpapers &gt; &gt;"/>
      <sheetName val="Outline_Workpapers"/>
      <sheetName val="CVM"/>
      <sheetName val="Cash Burn Analysis"/>
      <sheetName val="Market Trends since Prior Val"/>
      <sheetName val="Comparative Sheet"/>
      <sheetName val="Exit Values Phase-wise"/>
      <sheetName val="Upfront-Milestone Payments"/>
      <sheetName val="PBC -&gt;&gt;&gt;"/>
      <sheetName val="1 Forecast"/>
      <sheetName val="2 Monthly Expense Actuals"/>
      <sheetName val="3 Cost Containment PlanMonthly"/>
      <sheetName val="Restructuring Model"/>
      <sheetName val="CAPIQ -&gt;&gt;&gt;"/>
      <sheetName val="Capital IQ Sheet-GPC"/>
      <sheetName val="Capital IQ Sheet-STM"/>
      <sheetName val="STM"/>
      <sheetName val="Capital IQ DATA"/>
      <sheetName val="&lt;DO NOT INCLUDE&gt;"/>
      <sheetName val="OPM 1"/>
      <sheetName val="OPM 2"/>
      <sheetName val="Class Vol"/>
      <sheetName val="Asset Vol_DLOM"/>
      <sheetName val="DLOM Rest Stock"/>
      <sheetName val="Lack Voting"/>
      <sheetName val="Comp.4"/>
      <sheetName val="Asset Vol_OPM"/>
      <sheetName val="Hybrid OPM"/>
      <sheetName val="OPM 1 Hybrid"/>
      <sheetName val="Asset Vol_IPO Late"/>
      <sheetName val="Asset Vol_M&amp;A Early"/>
      <sheetName val="Asset Vol_M&amp;A Late"/>
      <sheetName val="OPM 2 Hybrid"/>
      <sheetName val="DLOM Hybrid"/>
      <sheetName val="Asset Vol Hybrid"/>
      <sheetName val="Control Premium Summary"/>
      <sheetName val="GTM SUMM"/>
      <sheetName val="GCM SUMM"/>
      <sheetName val="WACC CAPM"/>
      <sheetName val="Beta Calc"/>
      <sheetName val="Comp.2"/>
      <sheetName val="Comp.5"/>
      <sheetName val="List Data"/>
      <sheetName val="Template Detai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ummary"/>
      <sheetName val="Summary of Comparison"/>
    </sheetNames>
    <definedNames>
      <definedName name="Data.Top.Left"/>
    </defined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ver"/>
      <sheetName val="Val Summ"/>
      <sheetName val="OPM 1"/>
      <sheetName val="OPM 2"/>
      <sheetName val="PWERM"/>
      <sheetName val="PoTS"/>
      <sheetName val="Discount Rate FP &gt;&gt;"/>
      <sheetName val="WACC PWERM"/>
      <sheetName val="RoR Stage of Dev"/>
      <sheetName val="Cap Structure FP &gt;&gt;"/>
      <sheetName val="Cap Table"/>
      <sheetName val="Econ Rights"/>
      <sheetName val="MKT INFO FP &gt;&gt;"/>
      <sheetName val="Comp Mults"/>
      <sheetName val="Comp CF Metrics"/>
      <sheetName val="Prod Pipeline"/>
      <sheetName val="Comp Desc"/>
      <sheetName val="IPO"/>
      <sheetName val="IPO Select"/>
      <sheetName val="IPO Crossover"/>
      <sheetName val="Immunotherapy Listing"/>
      <sheetName val="Trans Detail"/>
      <sheetName val="Trans Desc"/>
      <sheetName val="Support FP &gt;&gt;"/>
      <sheetName val="Put Option DLOM"/>
      <sheetName val="Asset Vol"/>
      <sheetName val="Equity Vol"/>
      <sheetName val="Risk-Free Rates"/>
      <sheetName val="DLOM Rest Stock"/>
      <sheetName val="DLOM LEAPS"/>
      <sheetName val="Hist IS"/>
      <sheetName val="Hist BS"/>
      <sheetName val="Tranche FP &gt;&gt;"/>
      <sheetName val="Tranche OPM"/>
      <sheetName val="Risk-Free Rates (2)"/>
      <sheetName val="&lt;DO NOT INCLUDE&gt;"/>
      <sheetName val="Ibank Vals"/>
      <sheetName val="MASTER COMP INPUT"/>
      <sheetName val="WACC CAPM"/>
      <sheetName val="Beta Calc"/>
      <sheetName val="EP Top License Deals"/>
      <sheetName val="EP Top Product Sales"/>
      <sheetName val="Larger BioPharma Margins"/>
      <sheetName val="rNPV&gt;&gt;&gt;"/>
      <sheetName val="Val Sum rNPV"/>
      <sheetName val="1"/>
      <sheetName val="2"/>
      <sheetName val="3"/>
      <sheetName val="4"/>
      <sheetName val="5"/>
      <sheetName val="6"/>
      <sheetName val="NOL"/>
      <sheetName val="Dev - PoTS"/>
      <sheetName val="Dev - Peak Sales"/>
      <sheetName val="Dev - R&amp;D"/>
      <sheetName val="Dev - Fcst Summ"/>
      <sheetName val="Inputs Tax &amp; Disc"/>
      <sheetName val="Outli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ver"/>
      <sheetName val="Val Summ"/>
      <sheetName val="OPM 1"/>
      <sheetName val="OPM 2"/>
      <sheetName val="PWERM"/>
      <sheetName val="PoTS"/>
      <sheetName val="Discount Rate FP &gt;&gt;"/>
      <sheetName val="WACC PWERM"/>
      <sheetName val="RoR Stage of Dev"/>
      <sheetName val="Cap Structure FP &gt;&gt;"/>
      <sheetName val="Cap Table"/>
      <sheetName val="Econ Rights"/>
      <sheetName val="MKT INFO FP &gt;&gt;"/>
      <sheetName val="Comp Mults"/>
      <sheetName val="Comp CF Metrics"/>
      <sheetName val="Prod Pipeline"/>
      <sheetName val="Comp Desc"/>
      <sheetName val="IPO"/>
      <sheetName val="IPO Select"/>
      <sheetName val="IPO Crossover"/>
      <sheetName val="Immunotherapy Listing"/>
      <sheetName val="Trans Detail"/>
      <sheetName val="Trans Desc"/>
      <sheetName val="Support FP &gt;&gt;"/>
      <sheetName val="Put Option DLOM"/>
      <sheetName val="Asset Vol"/>
      <sheetName val="Equity Vol"/>
      <sheetName val="Risk-Free Rates"/>
      <sheetName val="DLOM Rest Stock"/>
      <sheetName val="DLOM LEAPS"/>
      <sheetName val="Hist IS"/>
      <sheetName val="Hist BS"/>
      <sheetName val="Tranche FP &gt;&gt;"/>
      <sheetName val="Tranche OPM"/>
      <sheetName val="Risk-Free Rates (2)"/>
      <sheetName val="&lt;DO NOT INCLUDE&gt;"/>
      <sheetName val="Ibank Vals"/>
      <sheetName val="MASTER COMP INPUT"/>
      <sheetName val="WACC CAPM"/>
      <sheetName val="Beta Calc"/>
      <sheetName val="EP Top License Deals"/>
      <sheetName val="EP Top Product Sales"/>
      <sheetName val="Larger BioPharma Margins"/>
      <sheetName val="rNPV&gt;&gt;&gt;"/>
      <sheetName val="Val Sum rNPV"/>
      <sheetName val="1"/>
      <sheetName val="2"/>
      <sheetName val="3"/>
      <sheetName val="4"/>
      <sheetName val="5"/>
      <sheetName val="6"/>
      <sheetName val="NOL"/>
      <sheetName val="Dev - PoTS"/>
      <sheetName val="Dev - Peak Sales"/>
      <sheetName val="Dev - R&amp;D"/>
      <sheetName val="Dev - Fcst Summ"/>
      <sheetName val="Inputs Tax &amp; Disc"/>
      <sheetName val="Outli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ption Val."/>
      <sheetName val="Equity Vol"/>
      <sheetName val="Risk-Free Rates"/>
      <sheetName val="Workings &gt;&gt;"/>
      <sheetName val="Sheet2"/>
      <sheetName val="_CIQHiddenCacheSheet"/>
      <sheetName val="Volatility Computation"/>
      <sheetName val="Option Val._Verify"/>
      <sheetName val="CapIQ_Data"/>
      <sheetName val="IPO"/>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ica"/>
      <sheetName val="Ocean"/>
      <sheetName val="S Amer"/>
      <sheetName val="W Eur"/>
      <sheetName val="C Amer"/>
      <sheetName val="E Eur"/>
      <sheetName val="E Asia"/>
      <sheetName val="Mideast"/>
      <sheetName val="TOC"/>
      <sheetName val="Demand Data"/>
      <sheetName val="Supply Data"/>
      <sheetName val="Price Fcsts"/>
      <sheetName val="World"/>
      <sheetName val="N Amer"/>
      <sheetName val="FSU"/>
      <sheetName val="S Asia"/>
      <sheetName val="Soc As"/>
    </sheetNames>
    <sheetDataSet>
      <sheetData sheetId="0"/>
      <sheetData sheetId="1"/>
      <sheetData sheetId="2"/>
      <sheetData sheetId="3"/>
      <sheetData sheetId="4" refreshError="1"/>
      <sheetData sheetId="5" refreshError="1"/>
      <sheetData sheetId="6"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503.6</v>
          </cell>
          <cell r="C19">
            <v>489.4</v>
          </cell>
          <cell r="D19">
            <v>510.8</v>
          </cell>
          <cell r="E19">
            <v>518.29999999999995</v>
          </cell>
          <cell r="F19">
            <v>568.4</v>
          </cell>
          <cell r="G19">
            <v>508.3</v>
          </cell>
          <cell r="H19">
            <v>516.29999999999995</v>
          </cell>
          <cell r="I19">
            <v>537.6</v>
          </cell>
          <cell r="J19">
            <v>582.6</v>
          </cell>
          <cell r="K19">
            <v>522.5</v>
          </cell>
          <cell r="L19">
            <v>533.9</v>
          </cell>
          <cell r="M19">
            <v>556.4</v>
          </cell>
          <cell r="N19">
            <v>555.4</v>
          </cell>
          <cell r="O19">
            <v>560</v>
          </cell>
          <cell r="P19">
            <v>568.4</v>
          </cell>
          <cell r="Q19">
            <v>576.92599999999993</v>
          </cell>
          <cell r="R19">
            <v>585.57988999999986</v>
          </cell>
          <cell r="S19">
            <v>594.36358834999976</v>
          </cell>
          <cell r="T19">
            <v>603.27904217524974</v>
          </cell>
          <cell r="U19">
            <v>612.32822780787842</v>
          </cell>
          <cell r="V19">
            <v>621.51315122499659</v>
          </cell>
        </row>
        <row r="21">
          <cell r="B21">
            <v>9.3691469287980365</v>
          </cell>
          <cell r="C21">
            <v>9.4162280691437559</v>
          </cell>
          <cell r="D21">
            <v>9.4635457981344278</v>
          </cell>
          <cell r="E21">
            <v>9.511101304657716</v>
          </cell>
          <cell r="F21">
            <v>9.5588957835755934</v>
          </cell>
          <cell r="G21">
            <v>9.6069304357543661</v>
          </cell>
          <cell r="H21">
            <v>9.6552064680948408</v>
          </cell>
          <cell r="I21">
            <v>9.7037250935626549</v>
          </cell>
          <cell r="J21">
            <v>9.7524875312187493</v>
          </cell>
          <cell r="K21">
            <v>9.8014950062499988</v>
          </cell>
          <cell r="L21">
            <v>9.8507487499999993</v>
          </cell>
          <cell r="M21">
            <v>9.9002499999999998</v>
          </cell>
          <cell r="N21">
            <v>9.9499999999999993</v>
          </cell>
          <cell r="O21">
            <v>10</v>
          </cell>
          <cell r="P21">
            <v>10.049999999999999</v>
          </cell>
          <cell r="Q21">
            <v>10.100249999999997</v>
          </cell>
          <cell r="R21">
            <v>10.150751249999995</v>
          </cell>
          <cell r="S21">
            <v>10.201505006249995</v>
          </cell>
          <cell r="T21">
            <v>10.252512531281244</v>
          </cell>
          <cell r="U21">
            <v>10.303775093937649</v>
          </cell>
          <cell r="V21">
            <v>10.355293969407336</v>
          </cell>
        </row>
        <row r="28">
          <cell r="B28">
            <v>-528.35822133666204</v>
          </cell>
          <cell r="C28">
            <v>-513.78071491121807</v>
          </cell>
          <cell r="D28">
            <v>-535.87145217207853</v>
          </cell>
          <cell r="E28">
            <v>-543.64543434379743</v>
          </cell>
          <cell r="F28">
            <v>-595.29766265708281</v>
          </cell>
          <cell r="G28">
            <v>-533.44413834882698</v>
          </cell>
          <cell r="H28">
            <v>-541.73386266213765</v>
          </cell>
          <cell r="I28">
            <v>-563.72283684636955</v>
          </cell>
          <cell r="J28">
            <v>-610.12306215715535</v>
          </cell>
          <cell r="K28">
            <v>-548.27053985643749</v>
          </cell>
          <cell r="L28">
            <v>-560.06327121250001</v>
          </cell>
          <cell r="M28">
            <v>-583.28925749999996</v>
          </cell>
          <cell r="N28">
            <v>-582.31050000000005</v>
          </cell>
          <cell r="O28">
            <v>-587.1</v>
          </cell>
          <cell r="P28">
            <v>-595.80349999999999</v>
          </cell>
          <cell r="Q28">
            <v>-604.63703749999991</v>
          </cell>
          <cell r="R28">
            <v>-613.60256048749989</v>
          </cell>
          <cell r="S28">
            <v>-622.70204615693729</v>
          </cell>
          <cell r="T28">
            <v>-631.93750134772688</v>
          </cell>
          <cell r="U28">
            <v>-641.31096298887064</v>
          </cell>
          <cell r="V28">
            <v>-650.82449855023594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7"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414.7</v>
          </cell>
          <cell r="C19">
            <v>273</v>
          </cell>
          <cell r="D19">
            <v>269.8</v>
          </cell>
          <cell r="E19">
            <v>245</v>
          </cell>
          <cell r="F19">
            <v>253.6</v>
          </cell>
          <cell r="G19">
            <v>297</v>
          </cell>
          <cell r="H19">
            <v>378.8</v>
          </cell>
          <cell r="I19">
            <v>479.3</v>
          </cell>
          <cell r="J19">
            <v>421.5</v>
          </cell>
          <cell r="K19">
            <v>430.6</v>
          </cell>
          <cell r="L19">
            <v>421.3</v>
          </cell>
          <cell r="M19">
            <v>431.3</v>
          </cell>
          <cell r="N19">
            <v>443.1</v>
          </cell>
          <cell r="O19">
            <v>450</v>
          </cell>
          <cell r="P19">
            <v>456.74999999999994</v>
          </cell>
          <cell r="Q19">
            <v>463.60124999999988</v>
          </cell>
          <cell r="R19">
            <v>470.55526874999981</v>
          </cell>
          <cell r="S19">
            <v>477.61359778124978</v>
          </cell>
          <cell r="T19">
            <v>484.77780174796845</v>
          </cell>
          <cell r="U19">
            <v>492.04946877418791</v>
          </cell>
          <cell r="V19">
            <v>499.4302108058007</v>
          </cell>
        </row>
        <row r="21">
          <cell r="B21">
            <v>24.199576476360555</v>
          </cell>
          <cell r="C21">
            <v>24.260227043970481</v>
          </cell>
          <cell r="D21">
            <v>24.321029618015519</v>
          </cell>
          <cell r="E21">
            <v>24.381984579464177</v>
          </cell>
          <cell r="F21">
            <v>24.443092310239777</v>
          </cell>
          <cell r="G21">
            <v>24.504353193222833</v>
          </cell>
          <cell r="H21">
            <v>24.565767612253467</v>
          </cell>
          <cell r="I21">
            <v>24.627335952133802</v>
          </cell>
          <cell r="J21">
            <v>24.689058598630375</v>
          </cell>
          <cell r="K21">
            <v>24.750935938476566</v>
          </cell>
          <cell r="L21">
            <v>24.812968359375002</v>
          </cell>
          <cell r="M21">
            <v>24.87515625</v>
          </cell>
          <cell r="N21">
            <v>24.9375</v>
          </cell>
          <cell r="O21">
            <v>25</v>
          </cell>
          <cell r="P21">
            <v>25.0625</v>
          </cell>
          <cell r="Q21">
            <v>25.12515625</v>
          </cell>
          <cell r="R21">
            <v>25.187969140624997</v>
          </cell>
          <cell r="S21">
            <v>25.250939063476558</v>
          </cell>
          <cell r="T21">
            <v>25.314066411135247</v>
          </cell>
          <cell r="U21">
            <v>25.377351577163083</v>
          </cell>
          <cell r="V21">
            <v>25.440794956105989</v>
          </cell>
        </row>
        <row r="28">
          <cell r="B28">
            <v>-452.06656377065138</v>
          </cell>
          <cell r="C28">
            <v>-306.17803385528958</v>
          </cell>
          <cell r="D28">
            <v>-302.94466050655603</v>
          </cell>
          <cell r="E28">
            <v>-277.46344411684811</v>
          </cell>
          <cell r="F28">
            <v>-286.38438507954697</v>
          </cell>
          <cell r="G28">
            <v>-331.14948378901948</v>
          </cell>
          <cell r="H28">
            <v>-415.46674064062108</v>
          </cell>
          <cell r="I28">
            <v>-519.04515603069785</v>
          </cell>
          <cell r="J28">
            <v>-459.57473035658927</v>
          </cell>
          <cell r="K28">
            <v>-469.0114640166309</v>
          </cell>
          <cell r="L28">
            <v>-459.49635741015629</v>
          </cell>
          <cell r="M28">
            <v>-469.86041093749998</v>
          </cell>
          <cell r="N28">
            <v>-482.07862500000005</v>
          </cell>
          <cell r="O28">
            <v>-489.25</v>
          </cell>
          <cell r="P28">
            <v>-496.26687499999991</v>
          </cell>
          <cell r="Q28">
            <v>-503.38819843749985</v>
          </cell>
          <cell r="R28">
            <v>-510.61553502734358</v>
          </cell>
          <cell r="S28">
            <v>-517.95047295006816</v>
          </cell>
          <cell r="T28">
            <v>-525.39462420387679</v>
          </cell>
          <cell r="U28">
            <v>-532.94962496189157</v>
          </cell>
          <cell r="V28">
            <v>-540.61713593476384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Demand Data"/>
      <sheetName val="Supply Data"/>
      <sheetName val="Price Fcsts"/>
      <sheetName val="World"/>
      <sheetName val="N Amer"/>
      <sheetName val="Africa"/>
      <sheetName val="C Amer"/>
      <sheetName val="E Asia"/>
      <sheetName val="E Eur"/>
      <sheetName val="FSU"/>
      <sheetName val="Mideast"/>
      <sheetName val="Ocean"/>
      <sheetName val="S Amer"/>
      <sheetName val="S Asia"/>
      <sheetName val="Soc As"/>
      <sheetName val="W Eur"/>
      <sheetName val="Kwa"/>
    </sheetNames>
    <sheetDataSet>
      <sheetData sheetId="0"/>
      <sheetData sheetId="1"/>
      <sheetData sheetId="2"/>
      <sheetData sheetId="3"/>
      <sheetData sheetId="4" refreshError="1"/>
      <sheetData sheetId="5" refreshError="1"/>
      <sheetData sheetId="6"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503.6</v>
          </cell>
          <cell r="C19">
            <v>489.4</v>
          </cell>
          <cell r="D19">
            <v>510.8</v>
          </cell>
          <cell r="E19">
            <v>518.29999999999995</v>
          </cell>
          <cell r="F19">
            <v>568.4</v>
          </cell>
          <cell r="G19">
            <v>508.3</v>
          </cell>
          <cell r="H19">
            <v>516.29999999999995</v>
          </cell>
          <cell r="I19">
            <v>537.6</v>
          </cell>
          <cell r="J19">
            <v>582.6</v>
          </cell>
          <cell r="K19">
            <v>522.5</v>
          </cell>
          <cell r="L19">
            <v>533.9</v>
          </cell>
          <cell r="M19">
            <v>556.4</v>
          </cell>
          <cell r="N19">
            <v>555.4</v>
          </cell>
          <cell r="O19">
            <v>560</v>
          </cell>
          <cell r="P19">
            <v>568.4</v>
          </cell>
          <cell r="Q19">
            <v>576.92599999999993</v>
          </cell>
          <cell r="R19">
            <v>585.57988999999986</v>
          </cell>
          <cell r="S19">
            <v>594.36358834999976</v>
          </cell>
          <cell r="T19">
            <v>603.27904217524974</v>
          </cell>
          <cell r="U19">
            <v>612.32822780787842</v>
          </cell>
          <cell r="V19">
            <v>621.51315122499659</v>
          </cell>
        </row>
        <row r="21">
          <cell r="B21">
            <v>9.3691469287980365</v>
          </cell>
          <cell r="C21">
            <v>9.4162280691437559</v>
          </cell>
          <cell r="D21">
            <v>9.4635457981344278</v>
          </cell>
          <cell r="E21">
            <v>9.511101304657716</v>
          </cell>
          <cell r="F21">
            <v>9.5588957835755934</v>
          </cell>
          <cell r="G21">
            <v>9.6069304357543661</v>
          </cell>
          <cell r="H21">
            <v>9.6552064680948408</v>
          </cell>
          <cell r="I21">
            <v>9.7037250935626549</v>
          </cell>
          <cell r="J21">
            <v>9.7524875312187493</v>
          </cell>
          <cell r="K21">
            <v>9.8014950062499988</v>
          </cell>
          <cell r="L21">
            <v>9.8507487499999993</v>
          </cell>
          <cell r="M21">
            <v>9.9002499999999998</v>
          </cell>
          <cell r="N21">
            <v>9.9499999999999993</v>
          </cell>
          <cell r="O21">
            <v>10</v>
          </cell>
          <cell r="P21">
            <v>10.049999999999999</v>
          </cell>
          <cell r="Q21">
            <v>10.100249999999997</v>
          </cell>
          <cell r="R21">
            <v>10.150751249999995</v>
          </cell>
          <cell r="S21">
            <v>10.201505006249995</v>
          </cell>
          <cell r="T21">
            <v>10.252512531281244</v>
          </cell>
          <cell r="U21">
            <v>10.303775093937649</v>
          </cell>
          <cell r="V21">
            <v>10.355293969407336</v>
          </cell>
        </row>
        <row r="28">
          <cell r="B28">
            <v>-528.35822133666204</v>
          </cell>
          <cell r="C28">
            <v>-513.78071491121807</v>
          </cell>
          <cell r="D28">
            <v>-535.87145217207853</v>
          </cell>
          <cell r="E28">
            <v>-543.64543434379743</v>
          </cell>
          <cell r="F28">
            <v>-595.29766265708281</v>
          </cell>
          <cell r="G28">
            <v>-533.44413834882698</v>
          </cell>
          <cell r="H28">
            <v>-541.73386266213765</v>
          </cell>
          <cell r="I28">
            <v>-563.72283684636955</v>
          </cell>
          <cell r="J28">
            <v>-610.12306215715535</v>
          </cell>
          <cell r="K28">
            <v>-548.27053985643749</v>
          </cell>
          <cell r="L28">
            <v>-560.06327121250001</v>
          </cell>
          <cell r="M28">
            <v>-583.28925749999996</v>
          </cell>
          <cell r="N28">
            <v>-582.31050000000005</v>
          </cell>
          <cell r="O28">
            <v>-587.1</v>
          </cell>
          <cell r="P28">
            <v>-595.80349999999999</v>
          </cell>
          <cell r="Q28">
            <v>-604.63703749999991</v>
          </cell>
          <cell r="R28">
            <v>-613.60256048749989</v>
          </cell>
          <cell r="S28">
            <v>-622.70204615693729</v>
          </cell>
          <cell r="T28">
            <v>-631.93750134772688</v>
          </cell>
          <cell r="U28">
            <v>-641.31096298887064</v>
          </cell>
          <cell r="V28">
            <v>-650.82449855023594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7"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414.7</v>
          </cell>
          <cell r="C19">
            <v>273</v>
          </cell>
          <cell r="D19">
            <v>269.8</v>
          </cell>
          <cell r="E19">
            <v>245</v>
          </cell>
          <cell r="F19">
            <v>253.6</v>
          </cell>
          <cell r="G19">
            <v>297</v>
          </cell>
          <cell r="H19">
            <v>378.8</v>
          </cell>
          <cell r="I19">
            <v>479.3</v>
          </cell>
          <cell r="J19">
            <v>421.5</v>
          </cell>
          <cell r="K19">
            <v>430.6</v>
          </cell>
          <cell r="L19">
            <v>421.3</v>
          </cell>
          <cell r="M19">
            <v>431.3</v>
          </cell>
          <cell r="N19">
            <v>443.1</v>
          </cell>
          <cell r="O19">
            <v>450</v>
          </cell>
          <cell r="P19">
            <v>456.74999999999994</v>
          </cell>
          <cell r="Q19">
            <v>463.60124999999988</v>
          </cell>
          <cell r="R19">
            <v>470.55526874999981</v>
          </cell>
          <cell r="S19">
            <v>477.61359778124978</v>
          </cell>
          <cell r="T19">
            <v>484.77780174796845</v>
          </cell>
          <cell r="U19">
            <v>492.04946877418791</v>
          </cell>
          <cell r="V19">
            <v>499.4302108058007</v>
          </cell>
        </row>
        <row r="21">
          <cell r="B21">
            <v>24.199576476360555</v>
          </cell>
          <cell r="C21">
            <v>24.260227043970481</v>
          </cell>
          <cell r="D21">
            <v>24.321029618015519</v>
          </cell>
          <cell r="E21">
            <v>24.381984579464177</v>
          </cell>
          <cell r="F21">
            <v>24.443092310239777</v>
          </cell>
          <cell r="G21">
            <v>24.504353193222833</v>
          </cell>
          <cell r="H21">
            <v>24.565767612253467</v>
          </cell>
          <cell r="I21">
            <v>24.627335952133802</v>
          </cell>
          <cell r="J21">
            <v>24.689058598630375</v>
          </cell>
          <cell r="K21">
            <v>24.750935938476566</v>
          </cell>
          <cell r="L21">
            <v>24.812968359375002</v>
          </cell>
          <cell r="M21">
            <v>24.87515625</v>
          </cell>
          <cell r="N21">
            <v>24.9375</v>
          </cell>
          <cell r="O21">
            <v>25</v>
          </cell>
          <cell r="P21">
            <v>25.0625</v>
          </cell>
          <cell r="Q21">
            <v>25.12515625</v>
          </cell>
          <cell r="R21">
            <v>25.187969140624997</v>
          </cell>
          <cell r="S21">
            <v>25.250939063476558</v>
          </cell>
          <cell r="T21">
            <v>25.314066411135247</v>
          </cell>
          <cell r="U21">
            <v>25.377351577163083</v>
          </cell>
          <cell r="V21">
            <v>25.440794956105989</v>
          </cell>
        </row>
        <row r="28">
          <cell r="B28">
            <v>-452.06656377065138</v>
          </cell>
          <cell r="C28">
            <v>-306.17803385528958</v>
          </cell>
          <cell r="D28">
            <v>-302.94466050655603</v>
          </cell>
          <cell r="E28">
            <v>-277.46344411684811</v>
          </cell>
          <cell r="F28">
            <v>-286.38438507954697</v>
          </cell>
          <cell r="G28">
            <v>-331.14948378901948</v>
          </cell>
          <cell r="H28">
            <v>-415.46674064062108</v>
          </cell>
          <cell r="I28">
            <v>-519.04515603069785</v>
          </cell>
          <cell r="J28">
            <v>-459.57473035658927</v>
          </cell>
          <cell r="K28">
            <v>-469.0114640166309</v>
          </cell>
          <cell r="L28">
            <v>-459.49635741015629</v>
          </cell>
          <cell r="M28">
            <v>-469.86041093749998</v>
          </cell>
          <cell r="N28">
            <v>-482.07862500000005</v>
          </cell>
          <cell r="O28">
            <v>-489.25</v>
          </cell>
          <cell r="P28">
            <v>-496.26687499999991</v>
          </cell>
          <cell r="Q28">
            <v>-503.38819843749985</v>
          </cell>
          <cell r="R28">
            <v>-510.61553502734358</v>
          </cell>
          <cell r="S28">
            <v>-517.95047295006816</v>
          </cell>
          <cell r="T28">
            <v>-525.39462420387679</v>
          </cell>
          <cell r="U28">
            <v>-532.94962496189157</v>
          </cell>
          <cell r="V28">
            <v>-540.61713593476384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8"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e">
            <v>#DIV/0!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1908.4</v>
          </cell>
          <cell r="C19">
            <v>1874.1</v>
          </cell>
          <cell r="D19">
            <v>1913.3</v>
          </cell>
          <cell r="E19">
            <v>1950.4</v>
          </cell>
          <cell r="F19">
            <v>2061.8000000000002</v>
          </cell>
          <cell r="G19">
            <v>2267.6999999999998</v>
          </cell>
          <cell r="H19">
            <v>2127.5</v>
          </cell>
          <cell r="I19">
            <v>2092.3000000000002</v>
          </cell>
          <cell r="J19">
            <v>2088.8000000000002</v>
          </cell>
          <cell r="K19">
            <v>2173.3000000000002</v>
          </cell>
          <cell r="L19">
            <v>2105.1</v>
          </cell>
          <cell r="M19">
            <v>2008.4</v>
          </cell>
          <cell r="N19">
            <v>2020.5</v>
          </cell>
          <cell r="O19">
            <v>2050</v>
          </cell>
          <cell r="P19">
            <v>2070.5</v>
          </cell>
          <cell r="Q19">
            <v>2091.2049999999999</v>
          </cell>
          <cell r="R19">
            <v>2112.1170499999998</v>
          </cell>
          <cell r="S19">
            <v>2133.2382204999999</v>
          </cell>
          <cell r="T19">
            <v>2154.5706027050001</v>
          </cell>
          <cell r="U19">
            <v>2176.1163087320501</v>
          </cell>
          <cell r="V19">
            <v>2197.8774718193708</v>
          </cell>
        </row>
        <row r="21">
          <cell r="B21">
            <v>145.19745885816337</v>
          </cell>
          <cell r="C21">
            <v>145.56136226382293</v>
          </cell>
          <cell r="D21">
            <v>145.92617770809315</v>
          </cell>
          <cell r="E21">
            <v>146.2919074767851</v>
          </cell>
          <cell r="F21">
            <v>146.65855386143869</v>
          </cell>
          <cell r="G21">
            <v>147.02611915933701</v>
          </cell>
          <cell r="H21">
            <v>147.3946056735208</v>
          </cell>
          <cell r="I21">
            <v>147.7640157128028</v>
          </cell>
          <cell r="J21">
            <v>148.13435159178226</v>
          </cell>
          <cell r="K21">
            <v>148.50561563085941</v>
          </cell>
          <cell r="L21">
            <v>148.87781015625004</v>
          </cell>
          <cell r="M21">
            <v>149.25093750000002</v>
          </cell>
          <cell r="N21">
            <v>149.625</v>
          </cell>
          <cell r="O21">
            <v>150</v>
          </cell>
          <cell r="P21">
            <v>150.375</v>
          </cell>
          <cell r="Q21">
            <v>150.75093749999999</v>
          </cell>
          <cell r="R21">
            <v>151.12781484374997</v>
          </cell>
          <cell r="S21">
            <v>151.50563438085933</v>
          </cell>
          <cell r="T21">
            <v>151.88439846681146</v>
          </cell>
          <cell r="U21">
            <v>152.2641094629785</v>
          </cell>
          <cell r="V21">
            <v>152.64476973663594</v>
          </cell>
        </row>
        <row r="28">
          <cell r="B28">
            <v>-2115.2053826239085</v>
          </cell>
          <cell r="C28">
            <v>-2080.2512031317374</v>
          </cell>
          <cell r="D28">
            <v>-2121.002963039336</v>
          </cell>
          <cell r="E28">
            <v>-2159.5926647010888</v>
          </cell>
          <cell r="F28">
            <v>-2274.7123104772818</v>
          </cell>
          <cell r="G28">
            <v>-2487.167902734117</v>
          </cell>
          <cell r="H28">
            <v>-2343.1414438437264</v>
          </cell>
          <cell r="I28">
            <v>-2307.265936184187</v>
          </cell>
          <cell r="J28">
            <v>-2304.0423821395361</v>
          </cell>
          <cell r="K28">
            <v>-2391.4597840997853</v>
          </cell>
          <cell r="L28">
            <v>-2321.5971444609377</v>
          </cell>
          <cell r="M28">
            <v>-2222.3804656249999</v>
          </cell>
          <cell r="N28">
            <v>-2235.2287500000002</v>
          </cell>
          <cell r="O28">
            <v>-2266</v>
          </cell>
          <cell r="P28">
            <v>-2287.5012499999998</v>
          </cell>
          <cell r="Q28">
            <v>-2309.2146156250001</v>
          </cell>
          <cell r="R28">
            <v>-2331.1422107890621</v>
          </cell>
          <cell r="S28">
            <v>-2353.2861705272849</v>
          </cell>
          <cell r="T28">
            <v>-2375.648651206966</v>
          </cell>
          <cell r="U28">
            <v>-2398.2318307408796</v>
          </cell>
          <cell r="V28">
            <v>-2421.0379088026871</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9"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1497</v>
          </cell>
          <cell r="C19">
            <v>618.79999999999995</v>
          </cell>
          <cell r="D19">
            <v>486.3</v>
          </cell>
          <cell r="E19">
            <v>491.7</v>
          </cell>
          <cell r="F19">
            <v>548.70000000000005</v>
          </cell>
          <cell r="G19">
            <v>579.5</v>
          </cell>
          <cell r="H19">
            <v>625.5</v>
          </cell>
          <cell r="I19">
            <v>694.9</v>
          </cell>
          <cell r="J19">
            <v>629.20000000000005</v>
          </cell>
          <cell r="K19">
            <v>601.29999999999995</v>
          </cell>
          <cell r="L19">
            <v>595.29999999999995</v>
          </cell>
          <cell r="M19">
            <v>594.1</v>
          </cell>
          <cell r="N19">
            <v>596.1</v>
          </cell>
          <cell r="O19">
            <v>610</v>
          </cell>
          <cell r="P19">
            <v>622.20000000000005</v>
          </cell>
          <cell r="Q19">
            <v>634.64400000000001</v>
          </cell>
          <cell r="R19">
            <v>647.33688000000006</v>
          </cell>
          <cell r="S19">
            <v>660.28361760000007</v>
          </cell>
          <cell r="T19">
            <v>673.48928995200004</v>
          </cell>
          <cell r="U19">
            <v>686.95907575104002</v>
          </cell>
          <cell r="V19">
            <v>700.69825726606086</v>
          </cell>
        </row>
        <row r="21">
          <cell r="B21">
            <v>187.38293857596076</v>
          </cell>
          <cell r="C21">
            <v>188.32456138287515</v>
          </cell>
          <cell r="D21">
            <v>189.27091596268858</v>
          </cell>
          <cell r="E21">
            <v>190.22202609315434</v>
          </cell>
          <cell r="F21">
            <v>191.1779156715119</v>
          </cell>
          <cell r="G21">
            <v>192.13860871508734</v>
          </cell>
          <cell r="H21">
            <v>193.10412936189684</v>
          </cell>
          <cell r="I21">
            <v>194.07450187125309</v>
          </cell>
          <cell r="J21">
            <v>195.04975062437498</v>
          </cell>
          <cell r="K21">
            <v>196.02990012499998</v>
          </cell>
          <cell r="L21">
            <v>197.01497499999999</v>
          </cell>
          <cell r="M21">
            <v>198.005</v>
          </cell>
          <cell r="N21">
            <v>199</v>
          </cell>
          <cell r="O21">
            <v>200</v>
          </cell>
          <cell r="P21">
            <v>200</v>
          </cell>
          <cell r="Q21">
            <v>200</v>
          </cell>
          <cell r="R21">
            <v>200</v>
          </cell>
          <cell r="S21">
            <v>200</v>
          </cell>
          <cell r="T21">
            <v>200</v>
          </cell>
          <cell r="U21">
            <v>200</v>
          </cell>
          <cell r="V21">
            <v>200</v>
          </cell>
        </row>
        <row r="28">
          <cell r="B28">
            <v>-1734.9144267332395</v>
          </cell>
          <cell r="C28">
            <v>-831.33829822436132</v>
          </cell>
          <cell r="D28">
            <v>-695.8380434415692</v>
          </cell>
          <cell r="E28">
            <v>-702.37968687594889</v>
          </cell>
          <cell r="F28">
            <v>-762.07425314165732</v>
          </cell>
          <cell r="G28">
            <v>-794.78776697653996</v>
          </cell>
          <cell r="H28">
            <v>-843.16225324275376</v>
          </cell>
          <cell r="I28">
            <v>-915.64373692739071</v>
          </cell>
          <cell r="J28">
            <v>-848.97724314310619</v>
          </cell>
          <cell r="K28">
            <v>-821.24979712874995</v>
          </cell>
          <cell r="L28">
            <v>-816.08442424999998</v>
          </cell>
          <cell r="M28">
            <v>-815.86815000000001</v>
          </cell>
          <cell r="N28">
            <v>-818.95299999999997</v>
          </cell>
          <cell r="O28">
            <v>-834.3</v>
          </cell>
          <cell r="P28">
            <v>-846.8660000000001</v>
          </cell>
          <cell r="Q28">
            <v>-859.68331999999998</v>
          </cell>
          <cell r="R28">
            <v>-872.75698640000007</v>
          </cell>
          <cell r="S28">
            <v>-886.09212612800002</v>
          </cell>
          <cell r="T28">
            <v>-899.69396865056001</v>
          </cell>
          <cell r="U28">
            <v>-913.56784802357117</v>
          </cell>
          <cell r="V28">
            <v>-927.71920498404268</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10" refreshError="1"/>
      <sheetData sheetId="11"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v>96.981981981981974</v>
          </cell>
          <cell r="C13">
            <v>94.054054054054063</v>
          </cell>
          <cell r="D13">
            <v>94.77477477477477</v>
          </cell>
          <cell r="E13">
            <v>95.990990990990994</v>
          </cell>
          <cell r="F13">
            <v>88.983739837398375</v>
          </cell>
          <cell r="G13">
            <v>97.317073170731703</v>
          </cell>
          <cell r="H13">
            <v>99.186046511627907</v>
          </cell>
          <cell r="I13">
            <v>87.201492537313428</v>
          </cell>
          <cell r="J13">
            <v>92.956834532374103</v>
          </cell>
          <cell r="K13">
            <v>100.07194244604317</v>
          </cell>
          <cell r="L13">
            <v>101.37282229965156</v>
          </cell>
          <cell r="M13">
            <v>99.057046979865774</v>
          </cell>
          <cell r="N13">
            <v>96.625</v>
          </cell>
          <cell r="O13">
            <v>96.125</v>
          </cell>
          <cell r="P13">
            <v>96.75</v>
          </cell>
          <cell r="Q13">
            <v>97.375</v>
          </cell>
          <cell r="R13">
            <v>97.375</v>
          </cell>
          <cell r="S13">
            <v>97.375</v>
          </cell>
          <cell r="T13">
            <v>96.194029850746261</v>
          </cell>
          <cell r="U13">
            <v>96.142857142857139</v>
          </cell>
          <cell r="V13">
            <v>96.571428571428569</v>
          </cell>
        </row>
        <row r="14">
          <cell r="B14">
            <v>2153</v>
          </cell>
          <cell r="C14">
            <v>2088</v>
          </cell>
          <cell r="D14">
            <v>2104</v>
          </cell>
          <cell r="E14">
            <v>2131</v>
          </cell>
          <cell r="F14">
            <v>2189</v>
          </cell>
          <cell r="G14">
            <v>2394</v>
          </cell>
          <cell r="H14">
            <v>2559</v>
          </cell>
          <cell r="I14">
            <v>2337</v>
          </cell>
          <cell r="J14">
            <v>2584.1999999999998</v>
          </cell>
          <cell r="K14">
            <v>2782</v>
          </cell>
          <cell r="L14">
            <v>2909.3999999999996</v>
          </cell>
          <cell r="M14">
            <v>2951.9</v>
          </cell>
          <cell r="N14">
            <v>3092</v>
          </cell>
          <cell r="O14">
            <v>3076</v>
          </cell>
          <cell r="P14">
            <v>3096</v>
          </cell>
          <cell r="Q14">
            <v>3116</v>
          </cell>
          <cell r="R14">
            <v>3116</v>
          </cell>
          <cell r="S14">
            <v>3116</v>
          </cell>
          <cell r="T14">
            <v>3222.5</v>
          </cell>
          <cell r="U14">
            <v>3365</v>
          </cell>
          <cell r="V14">
            <v>3380</v>
          </cell>
        </row>
        <row r="19">
          <cell r="B19">
            <v>151.5</v>
          </cell>
          <cell r="C19">
            <v>121.4</v>
          </cell>
          <cell r="D19">
            <v>168.6</v>
          </cell>
          <cell r="E19">
            <v>187.1</v>
          </cell>
          <cell r="F19">
            <v>146.69999999999999</v>
          </cell>
          <cell r="G19">
            <v>132.4</v>
          </cell>
          <cell r="H19">
            <v>160.4</v>
          </cell>
          <cell r="I19">
            <v>173.4</v>
          </cell>
          <cell r="J19">
            <v>220.7</v>
          </cell>
          <cell r="K19">
            <v>279.3</v>
          </cell>
          <cell r="L19">
            <v>263.2</v>
          </cell>
          <cell r="M19">
            <v>266.7</v>
          </cell>
          <cell r="N19">
            <v>264.7</v>
          </cell>
          <cell r="O19">
            <v>270</v>
          </cell>
          <cell r="P19">
            <v>278.10000000000002</v>
          </cell>
          <cell r="Q19">
            <v>286.44300000000004</v>
          </cell>
          <cell r="R19">
            <v>295.03629000000006</v>
          </cell>
          <cell r="S19">
            <v>303.88737870000006</v>
          </cell>
          <cell r="T19">
            <v>313.00400006100006</v>
          </cell>
          <cell r="U19">
            <v>322.39412006283004</v>
          </cell>
          <cell r="V19">
            <v>332.06594366471495</v>
          </cell>
        </row>
        <row r="21">
          <cell r="B21">
            <v>15</v>
          </cell>
          <cell r="C21">
            <v>15</v>
          </cell>
          <cell r="D21">
            <v>15</v>
          </cell>
          <cell r="E21">
            <v>15</v>
          </cell>
          <cell r="F21">
            <v>15</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8">
          <cell r="B28">
            <v>1981.5050000000001</v>
          </cell>
          <cell r="C28">
            <v>1947.508</v>
          </cell>
          <cell r="D28">
            <v>1914.8920000000001</v>
          </cell>
          <cell r="E28">
            <v>1922.837</v>
          </cell>
          <cell r="F28">
            <v>2022.4490000000001</v>
          </cell>
          <cell r="G28">
            <v>2242.1779999999999</v>
          </cell>
          <cell r="H28">
            <v>2378.3380000000002</v>
          </cell>
          <cell r="I28">
            <v>2142.9479999999999</v>
          </cell>
          <cell r="J28">
            <v>2341.4289999999996</v>
          </cell>
          <cell r="K28">
            <v>2478.8710000000001</v>
          </cell>
          <cell r="L28">
            <v>2622.8539999999998</v>
          </cell>
          <cell r="M28">
            <v>2661.7490000000003</v>
          </cell>
          <cell r="N28">
            <v>2803.9090000000001</v>
          </cell>
          <cell r="O28">
            <v>2782.45</v>
          </cell>
          <cell r="P28">
            <v>2794.107</v>
          </cell>
          <cell r="Q28">
            <v>2805.5137100000002</v>
          </cell>
          <cell r="R28">
            <v>2796.6626213</v>
          </cell>
          <cell r="S28">
            <v>2787.545999939</v>
          </cell>
          <cell r="T28">
            <v>2884.6558799371701</v>
          </cell>
          <cell r="U28">
            <v>3017.484056335285</v>
          </cell>
          <cell r="V28">
            <v>3022.5220780253435</v>
          </cell>
        </row>
        <row r="51">
          <cell r="B51">
            <v>67</v>
          </cell>
          <cell r="C51">
            <v>132</v>
          </cell>
          <cell r="D51">
            <v>116</v>
          </cell>
          <cell r="E51">
            <v>89</v>
          </cell>
          <cell r="F51">
            <v>271</v>
          </cell>
          <cell r="G51">
            <v>66</v>
          </cell>
          <cell r="H51">
            <v>21</v>
          </cell>
          <cell r="I51">
            <v>343</v>
          </cell>
          <cell r="J51">
            <v>195.80000000000018</v>
          </cell>
          <cell r="K51">
            <v>-2</v>
          </cell>
          <cell r="L51">
            <v>-39.399999999999636</v>
          </cell>
          <cell r="M51">
            <v>28.099999999999909</v>
          </cell>
          <cell r="N51">
            <v>108</v>
          </cell>
          <cell r="O51">
            <v>124</v>
          </cell>
          <cell r="P51">
            <v>104</v>
          </cell>
          <cell r="Q51">
            <v>84</v>
          </cell>
          <cell r="R51">
            <v>84</v>
          </cell>
          <cell r="S51">
            <v>84</v>
          </cell>
          <cell r="T51">
            <v>127.5</v>
          </cell>
          <cell r="U51">
            <v>135</v>
          </cell>
          <cell r="V51">
            <v>120</v>
          </cell>
        </row>
      </sheetData>
      <sheetData sheetId="12"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273</v>
          </cell>
          <cell r="C19">
            <v>230.7</v>
          </cell>
          <cell r="D19">
            <v>249.5</v>
          </cell>
          <cell r="E19">
            <v>275.8</v>
          </cell>
          <cell r="F19">
            <v>318.10000000000002</v>
          </cell>
          <cell r="G19">
            <v>359.8</v>
          </cell>
          <cell r="H19">
            <v>375.4</v>
          </cell>
          <cell r="I19">
            <v>346.2</v>
          </cell>
          <cell r="J19">
            <v>390.8</v>
          </cell>
          <cell r="K19">
            <v>370.4</v>
          </cell>
          <cell r="L19">
            <v>356</v>
          </cell>
          <cell r="M19">
            <v>383.5</v>
          </cell>
          <cell r="N19">
            <v>379.3</v>
          </cell>
          <cell r="O19">
            <v>380</v>
          </cell>
          <cell r="P19">
            <v>387.6</v>
          </cell>
          <cell r="Q19">
            <v>395.35200000000003</v>
          </cell>
          <cell r="R19">
            <v>403.25904000000003</v>
          </cell>
          <cell r="S19">
            <v>411.32422080000003</v>
          </cell>
          <cell r="T19">
            <v>419.55070521600004</v>
          </cell>
          <cell r="U19">
            <v>427.94171932032003</v>
          </cell>
          <cell r="V19">
            <v>436.50055370672646</v>
          </cell>
        </row>
        <row r="21">
          <cell r="B21">
            <v>18.738293857596073</v>
          </cell>
          <cell r="C21">
            <v>18.832456138287512</v>
          </cell>
          <cell r="D21">
            <v>18.927091596268856</v>
          </cell>
          <cell r="E21">
            <v>19.022202609315432</v>
          </cell>
          <cell r="F21">
            <v>19.117791567151187</v>
          </cell>
          <cell r="G21">
            <v>19.213860871508732</v>
          </cell>
          <cell r="H21">
            <v>19.310412936189682</v>
          </cell>
          <cell r="I21">
            <v>19.40745018712531</v>
          </cell>
          <cell r="J21">
            <v>19.504975062437499</v>
          </cell>
          <cell r="K21">
            <v>19.602990012499998</v>
          </cell>
          <cell r="L21">
            <v>19.701497499999999</v>
          </cell>
          <cell r="M21">
            <v>19.8005</v>
          </cell>
          <cell r="N21">
            <v>19.899999999999999</v>
          </cell>
          <cell r="O21">
            <v>20</v>
          </cell>
          <cell r="P21">
            <v>20.099999999999998</v>
          </cell>
          <cell r="Q21">
            <v>20.200499999999995</v>
          </cell>
          <cell r="R21">
            <v>20.301502499999991</v>
          </cell>
          <cell r="S21">
            <v>20.40301001249999</v>
          </cell>
          <cell r="T21">
            <v>20.505025062562488</v>
          </cell>
          <cell r="U21">
            <v>20.607550187875297</v>
          </cell>
          <cell r="V21">
            <v>20.710587938814673</v>
          </cell>
        </row>
        <row r="28">
          <cell r="B28">
            <v>-297.57305973474803</v>
          </cell>
          <cell r="C28">
            <v>-254.52310526105325</v>
          </cell>
          <cell r="D28">
            <v>-273.79563342819421</v>
          </cell>
          <cell r="E28">
            <v>-300.71864666150179</v>
          </cell>
          <cell r="F28">
            <v>-343.96214739849421</v>
          </cell>
          <cell r="G28">
            <v>-386.59413808893896</v>
          </cell>
          <cell r="H28">
            <v>-402.60462119491342</v>
          </cell>
          <cell r="I28">
            <v>-372.91959919086781</v>
          </cell>
          <cell r="J28">
            <v>-418.51107456368624</v>
          </cell>
          <cell r="K28">
            <v>-397.80304981274998</v>
          </cell>
          <cell r="L28">
            <v>-383.21552745000002</v>
          </cell>
          <cell r="M28">
            <v>-411.36651000000001</v>
          </cell>
          <cell r="N28">
            <v>-407.18399999999997</v>
          </cell>
          <cell r="O28">
            <v>-408</v>
          </cell>
          <cell r="P28">
            <v>-415.85400000000004</v>
          </cell>
          <cell r="Q28">
            <v>-423.86355000000003</v>
          </cell>
          <cell r="R28">
            <v>-432.03175334999997</v>
          </cell>
          <cell r="S28">
            <v>-440.36177542875004</v>
          </cell>
          <cell r="T28">
            <v>-448.85684488413375</v>
          </cell>
          <cell r="U28">
            <v>-457.52025489835921</v>
          </cell>
          <cell r="V28">
            <v>-466.35536447845197</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13"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v>46.315789473684212</v>
          </cell>
          <cell r="C13">
            <v>73.15789473684211</v>
          </cell>
          <cell r="D13">
            <v>35.294117647058826</v>
          </cell>
          <cell r="E13">
            <v>62.058823529411768</v>
          </cell>
          <cell r="F13">
            <v>81.666666666666671</v>
          </cell>
          <cell r="G13">
            <v>76.388888888888886</v>
          </cell>
          <cell r="H13">
            <v>76.481481481481481</v>
          </cell>
          <cell r="I13">
            <v>95.370370370370367</v>
          </cell>
          <cell r="J13">
            <v>96.349206349206355</v>
          </cell>
          <cell r="K13">
            <v>88.904109589041099</v>
          </cell>
          <cell r="L13">
            <v>82.208588957055213</v>
          </cell>
          <cell r="M13">
            <v>84.011428571428567</v>
          </cell>
          <cell r="N13">
            <v>87.322033898305079</v>
          </cell>
          <cell r="O13">
            <v>87.52542372881355</v>
          </cell>
          <cell r="P13">
            <v>89.180790960451972</v>
          </cell>
          <cell r="Q13">
            <v>92.331606217616581</v>
          </cell>
          <cell r="R13">
            <v>95</v>
          </cell>
          <cell r="S13">
            <v>95.497560975609758</v>
          </cell>
          <cell r="T13">
            <v>95.995121951219517</v>
          </cell>
          <cell r="U13">
            <v>95.995121951219517</v>
          </cell>
          <cell r="V13">
            <v>95.995121951219517</v>
          </cell>
        </row>
        <row r="14">
          <cell r="B14">
            <v>88</v>
          </cell>
          <cell r="C14">
            <v>139</v>
          </cell>
          <cell r="D14">
            <v>120</v>
          </cell>
          <cell r="E14">
            <v>211</v>
          </cell>
          <cell r="F14">
            <v>294</v>
          </cell>
          <cell r="G14">
            <v>275</v>
          </cell>
          <cell r="H14">
            <v>413</v>
          </cell>
          <cell r="I14">
            <v>515</v>
          </cell>
          <cell r="J14">
            <v>607</v>
          </cell>
          <cell r="K14">
            <v>649</v>
          </cell>
          <cell r="L14">
            <v>670</v>
          </cell>
          <cell r="M14">
            <v>735.1</v>
          </cell>
          <cell r="N14">
            <v>772.8</v>
          </cell>
          <cell r="O14">
            <v>774.59999999999991</v>
          </cell>
          <cell r="P14">
            <v>789.25</v>
          </cell>
          <cell r="Q14">
            <v>891</v>
          </cell>
          <cell r="R14">
            <v>973.75</v>
          </cell>
          <cell r="S14">
            <v>978.84999999999991</v>
          </cell>
          <cell r="T14">
            <v>983.95</v>
          </cell>
          <cell r="U14">
            <v>983.95</v>
          </cell>
          <cell r="V14">
            <v>983.95</v>
          </cell>
        </row>
        <row r="19">
          <cell r="B19">
            <v>1540.5</v>
          </cell>
          <cell r="C19">
            <v>1564</v>
          </cell>
          <cell r="D19">
            <v>1701.7</v>
          </cell>
          <cell r="E19">
            <v>1918.4</v>
          </cell>
          <cell r="F19">
            <v>2148.1999999999998</v>
          </cell>
          <cell r="G19">
            <v>2017.8</v>
          </cell>
          <cell r="H19">
            <v>2321.1</v>
          </cell>
          <cell r="I19">
            <v>2673.7</v>
          </cell>
          <cell r="J19">
            <v>2714.6</v>
          </cell>
          <cell r="K19">
            <v>2547.4</v>
          </cell>
          <cell r="L19">
            <v>3046.8</v>
          </cell>
          <cell r="M19">
            <v>3147.4150000000009</v>
          </cell>
          <cell r="N19">
            <v>3625.7</v>
          </cell>
          <cell r="O19">
            <v>3850</v>
          </cell>
          <cell r="P19">
            <v>3965.5</v>
          </cell>
          <cell r="Q19">
            <v>4084.4650000000001</v>
          </cell>
          <cell r="R19">
            <v>4206.9989500000001</v>
          </cell>
          <cell r="S19">
            <v>4333.2089185000004</v>
          </cell>
          <cell r="T19">
            <v>4463.2051860550009</v>
          </cell>
          <cell r="U19">
            <v>4597.1013416366513</v>
          </cell>
          <cell r="V19">
            <v>4735.0143818857514</v>
          </cell>
        </row>
        <row r="21">
          <cell r="B21">
            <v>120.99788238180281</v>
          </cell>
          <cell r="C21">
            <v>121.30113521985244</v>
          </cell>
          <cell r="D21">
            <v>121.60514809007763</v>
          </cell>
          <cell r="E21">
            <v>121.90992289732093</v>
          </cell>
          <cell r="F21">
            <v>122.21546155119891</v>
          </cell>
          <cell r="G21">
            <v>122.52176596611419</v>
          </cell>
          <cell r="H21">
            <v>122.82883806126735</v>
          </cell>
          <cell r="I21">
            <v>123.13667976066901</v>
          </cell>
          <cell r="J21">
            <v>123.44529299315188</v>
          </cell>
          <cell r="K21">
            <v>123.75467969238284</v>
          </cell>
          <cell r="L21">
            <v>124.06484179687502</v>
          </cell>
          <cell r="M21">
            <v>124.37578125</v>
          </cell>
          <cell r="N21">
            <v>124.6875</v>
          </cell>
          <cell r="O21">
            <v>125</v>
          </cell>
          <cell r="P21">
            <v>125.3125</v>
          </cell>
          <cell r="Q21">
            <v>125.62578124999999</v>
          </cell>
          <cell r="R21">
            <v>125.93984570312499</v>
          </cell>
          <cell r="S21">
            <v>126.2546953173828</v>
          </cell>
          <cell r="T21">
            <v>126.57033205567625</v>
          </cell>
          <cell r="U21">
            <v>126.88675788581543</v>
          </cell>
          <cell r="V21">
            <v>127.20397478052996</v>
          </cell>
        </row>
        <row r="28">
          <cell r="B28">
            <v>-1623.3428188532569</v>
          </cell>
          <cell r="C28">
            <v>-1596.860169276448</v>
          </cell>
          <cell r="D28">
            <v>-1758.00430253278</v>
          </cell>
          <cell r="E28">
            <v>-1890.5192205842404</v>
          </cell>
          <cell r="F28">
            <v>-2044.5279253977346</v>
          </cell>
          <cell r="G28">
            <v>-1929.5314189450974</v>
          </cell>
          <cell r="H28">
            <v>-2104.2467032031054</v>
          </cell>
          <cell r="I28">
            <v>-2365.7417801534889</v>
          </cell>
          <cell r="J28">
            <v>-2316.1866517829462</v>
          </cell>
          <cell r="K28">
            <v>-2102.2893200831545</v>
          </cell>
          <cell r="L28">
            <v>-2595.9907870507814</v>
          </cell>
          <cell r="M28">
            <v>-2634.8445046875008</v>
          </cell>
          <cell r="N28">
            <v>-3090.0991249999997</v>
          </cell>
          <cell r="O28">
            <v>-3319.65</v>
          </cell>
          <cell r="P28">
            <v>-3424.2868749999998</v>
          </cell>
          <cell r="Q28">
            <v>-3445.3935046875004</v>
          </cell>
          <cell r="R28">
            <v>-3489.1769595742189</v>
          </cell>
          <cell r="S28">
            <v>-3614.3975222319045</v>
          </cell>
          <cell r="T28">
            <v>-3743.5187836539972</v>
          </cell>
          <cell r="U28">
            <v>-3881.7577425081408</v>
          </cell>
          <cell r="V28">
            <v>-4024.1349073662705</v>
          </cell>
        </row>
        <row r="51">
          <cell r="B51">
            <v>102</v>
          </cell>
          <cell r="C51">
            <v>51</v>
          </cell>
          <cell r="D51">
            <v>220</v>
          </cell>
          <cell r="E51">
            <v>129</v>
          </cell>
          <cell r="F51">
            <v>66</v>
          </cell>
          <cell r="G51">
            <v>85</v>
          </cell>
          <cell r="H51">
            <v>127</v>
          </cell>
          <cell r="I51">
            <v>25</v>
          </cell>
          <cell r="J51">
            <v>23</v>
          </cell>
          <cell r="K51">
            <v>81</v>
          </cell>
          <cell r="L51">
            <v>145</v>
          </cell>
          <cell r="M51">
            <v>139.89999999999998</v>
          </cell>
          <cell r="N51">
            <v>112.20000000000005</v>
          </cell>
          <cell r="O51">
            <v>110.40000000000009</v>
          </cell>
          <cell r="P51">
            <v>95.75</v>
          </cell>
          <cell r="Q51">
            <v>74</v>
          </cell>
          <cell r="R51">
            <v>51.25</v>
          </cell>
          <cell r="S51">
            <v>46.150000000000091</v>
          </cell>
          <cell r="T51">
            <v>41.049999999999955</v>
          </cell>
          <cell r="U51">
            <v>41.049999999999955</v>
          </cell>
          <cell r="V51">
            <v>41.049999999999955</v>
          </cell>
        </row>
      </sheetData>
      <sheetData sheetId="14" refreshError="1"/>
      <sheetData sheetId="15" refreshError="1"/>
      <sheetData sheetId="16" refreshError="1">
        <row r="2">
          <cell r="A2" t="str">
            <v>Cargill Crop Nutrition</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v>78.054968287526421</v>
          </cell>
          <cell r="C13">
            <v>74</v>
          </cell>
          <cell r="D13">
            <v>74.568527918781726</v>
          </cell>
          <cell r="E13">
            <v>63.544465770953295</v>
          </cell>
          <cell r="F13">
            <v>74.655647382920108</v>
          </cell>
          <cell r="G13">
            <v>76.874095513748188</v>
          </cell>
          <cell r="H13">
            <v>85.580286168521454</v>
          </cell>
          <cell r="I13">
            <v>84.149443561208273</v>
          </cell>
          <cell r="J13">
            <v>86.653650254668918</v>
          </cell>
          <cell r="K13">
            <v>84.633851468048363</v>
          </cell>
          <cell r="L13">
            <v>83.813471502590673</v>
          </cell>
          <cell r="M13">
            <v>82.854922279792731</v>
          </cell>
          <cell r="N13">
            <v>80.239361702127667</v>
          </cell>
          <cell r="O13">
            <v>82.288602941176464</v>
          </cell>
          <cell r="P13">
            <v>82.945772058823536</v>
          </cell>
          <cell r="Q13">
            <v>82.119856887298752</v>
          </cell>
          <cell r="R13">
            <v>83.519677996422175</v>
          </cell>
          <cell r="S13">
            <v>84.279964221824685</v>
          </cell>
          <cell r="T13">
            <v>84.279964221824685</v>
          </cell>
          <cell r="U13">
            <v>84.279964221824685</v>
          </cell>
          <cell r="V13">
            <v>84.279964221824685</v>
          </cell>
        </row>
        <row r="14">
          <cell r="B14">
            <v>7384</v>
          </cell>
          <cell r="C14">
            <v>6142</v>
          </cell>
          <cell r="D14">
            <v>5876</v>
          </cell>
          <cell r="E14">
            <v>4966</v>
          </cell>
          <cell r="F14">
            <v>5420</v>
          </cell>
          <cell r="G14">
            <v>5312</v>
          </cell>
          <cell r="H14">
            <v>5383</v>
          </cell>
          <cell r="I14">
            <v>5293</v>
          </cell>
          <cell r="J14">
            <v>5103.8999999999996</v>
          </cell>
          <cell r="K14">
            <v>4900.3</v>
          </cell>
          <cell r="L14">
            <v>4852.8</v>
          </cell>
          <cell r="M14">
            <v>4797.2999999999993</v>
          </cell>
          <cell r="N14">
            <v>4525.5</v>
          </cell>
          <cell r="O14">
            <v>4476.5</v>
          </cell>
          <cell r="P14">
            <v>4512.25</v>
          </cell>
          <cell r="Q14">
            <v>4590.5</v>
          </cell>
          <cell r="R14">
            <v>4668.75</v>
          </cell>
          <cell r="S14">
            <v>4711.25</v>
          </cell>
          <cell r="T14">
            <v>4711.25</v>
          </cell>
          <cell r="U14">
            <v>4711.25</v>
          </cell>
          <cell r="V14">
            <v>4711.25</v>
          </cell>
        </row>
        <row r="19">
          <cell r="B19">
            <v>5721.2</v>
          </cell>
          <cell r="C19">
            <v>5077.6000000000004</v>
          </cell>
          <cell r="D19">
            <v>4686.5</v>
          </cell>
          <cell r="E19">
            <v>4115.6000000000004</v>
          </cell>
          <cell r="F19">
            <v>4172.8999999999996</v>
          </cell>
          <cell r="G19">
            <v>4268.8999999999996</v>
          </cell>
          <cell r="H19">
            <v>4345.3</v>
          </cell>
          <cell r="I19">
            <v>4380.6000000000004</v>
          </cell>
          <cell r="J19">
            <v>4301.8</v>
          </cell>
          <cell r="K19">
            <v>4151.6000000000004</v>
          </cell>
          <cell r="L19">
            <v>3935.4</v>
          </cell>
          <cell r="M19">
            <v>3572.6</v>
          </cell>
          <cell r="N19">
            <v>3640.3</v>
          </cell>
          <cell r="O19">
            <v>3600</v>
          </cell>
          <cell r="P19">
            <v>3510</v>
          </cell>
          <cell r="Q19">
            <v>3422.25</v>
          </cell>
          <cell r="R19">
            <v>3336.6937499999999</v>
          </cell>
          <cell r="S19">
            <v>3253.27640625</v>
          </cell>
          <cell r="T19">
            <v>3171.9444960937499</v>
          </cell>
          <cell r="U19">
            <v>3092.6458836914062</v>
          </cell>
          <cell r="V19">
            <v>3015.3297365991211</v>
          </cell>
        </row>
        <row r="21">
          <cell r="B21">
            <v>435.59237657449012</v>
          </cell>
          <cell r="C21">
            <v>436.68408679146876</v>
          </cell>
          <cell r="D21">
            <v>437.77853312427942</v>
          </cell>
          <cell r="E21">
            <v>438.87572243035527</v>
          </cell>
          <cell r="F21">
            <v>439.97566158431601</v>
          </cell>
          <cell r="G21">
            <v>441.07835747801101</v>
          </cell>
          <cell r="H21">
            <v>442.1838170205624</v>
          </cell>
          <cell r="I21">
            <v>443.29204713840841</v>
          </cell>
          <cell r="J21">
            <v>444.40305477534673</v>
          </cell>
          <cell r="K21">
            <v>445.51684689257814</v>
          </cell>
          <cell r="L21">
            <v>446.63343046875002</v>
          </cell>
          <cell r="M21">
            <v>447.7528125</v>
          </cell>
          <cell r="N21">
            <v>448.875</v>
          </cell>
          <cell r="O21">
            <v>450</v>
          </cell>
          <cell r="P21">
            <v>450</v>
          </cell>
          <cell r="Q21">
            <v>450</v>
          </cell>
          <cell r="R21">
            <v>450</v>
          </cell>
          <cell r="S21">
            <v>450</v>
          </cell>
          <cell r="T21">
            <v>450</v>
          </cell>
          <cell r="U21">
            <v>450</v>
          </cell>
          <cell r="V21">
            <v>450</v>
          </cell>
        </row>
        <row r="28">
          <cell r="B28">
            <v>1104.07177589402</v>
          </cell>
          <cell r="C28">
            <v>517.43023147270105</v>
          </cell>
          <cell r="D28">
            <v>649.23589621323481</v>
          </cell>
          <cell r="E28">
            <v>320.43476312103758</v>
          </cell>
          <cell r="F28">
            <v>714.86682518399812</v>
          </cell>
          <cell r="G28">
            <v>507.82207537242903</v>
          </cell>
          <cell r="H28">
            <v>499.76650663902637</v>
          </cell>
          <cell r="I28">
            <v>372.63011191882288</v>
          </cell>
          <cell r="J28">
            <v>262.77288412914641</v>
          </cell>
          <cell r="K28">
            <v>211.24081616956937</v>
          </cell>
          <cell r="L28">
            <v>383.12590092187475</v>
          </cell>
          <cell r="M28">
            <v>696.54013124999983</v>
          </cell>
          <cell r="N28">
            <v>354.54149999999936</v>
          </cell>
          <cell r="O28">
            <v>345.5</v>
          </cell>
          <cell r="P28">
            <v>473.05000000000018</v>
          </cell>
          <cell r="Q28">
            <v>640.80499999999984</v>
          </cell>
          <cell r="R28">
            <v>806.32237500000019</v>
          </cell>
          <cell r="S28">
            <v>933.90806562499984</v>
          </cell>
          <cell r="T28">
            <v>1016.8666139843749</v>
          </cell>
          <cell r="U28">
            <v>1097.7511986347658</v>
          </cell>
          <cell r="V28">
            <v>1176.6136686688965</v>
          </cell>
        </row>
        <row r="51">
          <cell r="B51">
            <v>2076</v>
          </cell>
          <cell r="C51">
            <v>2158</v>
          </cell>
          <cell r="D51">
            <v>2004</v>
          </cell>
          <cell r="E51">
            <v>2849</v>
          </cell>
          <cell r="F51">
            <v>1840</v>
          </cell>
          <cell r="G51">
            <v>1598</v>
          </cell>
          <cell r="H51">
            <v>907</v>
          </cell>
          <cell r="I51">
            <v>997</v>
          </cell>
          <cell r="J51">
            <v>786.10000000000036</v>
          </cell>
          <cell r="K51">
            <v>889.69999999999982</v>
          </cell>
          <cell r="L51">
            <v>937.19999999999982</v>
          </cell>
          <cell r="M51">
            <v>992.70000000000073</v>
          </cell>
          <cell r="N51">
            <v>1114.5</v>
          </cell>
          <cell r="O51">
            <v>963.5</v>
          </cell>
          <cell r="P51">
            <v>927.75</v>
          </cell>
          <cell r="Q51">
            <v>999.5</v>
          </cell>
          <cell r="R51">
            <v>921.25</v>
          </cell>
          <cell r="S51">
            <v>878.75</v>
          </cell>
          <cell r="T51">
            <v>878.75</v>
          </cell>
          <cell r="U51">
            <v>878.75</v>
          </cell>
          <cell r="V51">
            <v>878.75</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IS"/>
      <sheetName val="Pro Forma (2)"/>
      <sheetName val="Output (GAAP) (2)"/>
      <sheetName val="Output (2)"/>
      <sheetName val="Pro Forma"/>
      <sheetName val="__FDSCACHE__"/>
      <sheetName val="Output (GAAP)"/>
      <sheetName val="Output"/>
      <sheetName val="Inputs"/>
      <sheetName val="INSS"/>
      <sheetName val="PMO"/>
      <sheetName val="Contribution"/>
      <sheetName val="Contr - FD"/>
      <sheetName val="Contr - TM"/>
      <sheetName val="Adjusted Contribution"/>
      <sheetName val="Cash Burn"/>
      <sheetName val="Multiples"/>
      <sheetName val="SyncAlloc"/>
      <sheetName val="PricePerformance"/>
      <sheetName val="ValMtrx"/>
      <sheetName val="CapSum-Tux"/>
      <sheetName val="CapSum-Top hat"/>
      <sheetName val="DCF-Tux Mgt 2001"/>
      <sheetName val="DCF-Tux Mgt 2002"/>
      <sheetName val="DCF-Tux Mgt 2001 Norm"/>
      <sheetName val="DCF-Tux Str Estimates"/>
      <sheetName val="DCF-Top Hat mgt"/>
      <sheetName val="DCF-Top Hat Str Est."/>
      <sheetName val="DCF-Top Hat Synergies"/>
      <sheetName val="MSDW SbyS"/>
      <sheetName val="SbyS"/>
      <sheetName val="Contribution2"/>
      <sheetName val="Combination - Street Est."/>
      <sheetName val="PF W-O Synergies"/>
      <sheetName val="Combination -Management Est."/>
      <sheetName val="Top Hat"/>
      <sheetName val="Tuxedo"/>
      <sheetName val="Analyst Avg"/>
      <sheetName val="Synergy Sensitivity"/>
      <sheetName val="Sheet2"/>
      <sheetName val="Sheet3"/>
      <sheetName val="IS"/>
      <sheetName val="BS|CF"/>
      <sheetName val="Assum"/>
      <sheetName val="OpBS"/>
      <sheetName val="BSCF"/>
      <sheetName val="Ratios"/>
      <sheetName val="AcqIS"/>
      <sheetName val="AcqBSCF"/>
      <sheetName val="AcqRat"/>
      <sheetName val="TargBSCF"/>
      <sheetName val="TargRat"/>
      <sheetName val="AcqDCF1"/>
      <sheetName val="AcqDCF2"/>
      <sheetName val="TargDCF1"/>
      <sheetName val="TargDCF2"/>
      <sheetName val="CashAcq"/>
      <sheetName val="LBO Assum"/>
      <sheetName val="LBO IS"/>
      <sheetName val="LBO  BSCF"/>
      <sheetName val="LBO Ratios"/>
      <sheetName val="LBO Returns"/>
      <sheetName val="Contrib"/>
      <sheetName val="Presentation&gt;&gt;&gt;"/>
      <sheetName val="TargFin"/>
      <sheetName val="ValMatrix"/>
      <sheetName val="TargDCF"/>
      <sheetName val="CashAcqOutput"/>
      <sheetName val="PF EPS1"/>
      <sheetName val="PF EPS2"/>
      <sheetName val="PF Ratios"/>
      <sheetName val="StckPrc1"/>
      <sheetName val="StckPrc2"/>
      <sheetName val="Summary"/>
      <sheetName val="Output&gt;&gt;"/>
      <sheetName val="SummaryCases"/>
      <sheetName val="Summary FS"/>
      <sheetName val="Sources and Uses"/>
      <sheetName val="Acc Dil"/>
      <sheetName val="Cash Acc Dil"/>
      <sheetName val="Summary Credit Stats"/>
      <sheetName val="Summary Debt Paydown"/>
      <sheetName val="Growth Analysis"/>
      <sheetName val="Conv Returns Summary"/>
      <sheetName val="Class A Returns Summary"/>
      <sheetName val="Stk Price Acc Dil"/>
      <sheetName val="Pro Forma&gt;&gt;"/>
      <sheetName val="Convertible Returns"/>
      <sheetName val="Class A Returns"/>
      <sheetName val="PIK Returns"/>
      <sheetName val="99 and LTM PF"/>
      <sheetName val="Hawk&gt;&gt;"/>
      <sheetName val="Midway&gt;&gt;"/>
      <sheetName val="TargIS £"/>
      <sheetName val="TargBSCF £"/>
      <sheetName val="TargIS $"/>
      <sheetName val="TargBSCF $"/>
      <sheetName val="TargIS-Adj"/>
      <sheetName val="TargBSCF-Adj"/>
      <sheetName val="AerospaceISMonthly"/>
      <sheetName val="WholeTargetISMonthly"/>
      <sheetName val="--NOT USED--"/>
      <sheetName val="Jupiter&gt;&gt;&gt;&gt;&gt;"/>
      <sheetName val="Jupiter IS"/>
      <sheetName val="Jupiter BSCF"/>
      <sheetName val="Jupiter Rat"/>
      <sheetName val="Jupiter DCF1"/>
      <sheetName val="Jupiter DCF2"/>
      <sheetName val="Saturn&gt;&gt;&gt;&gt;&gt;&gt;"/>
      <sheetName val="Saturn IS"/>
      <sheetName val="Saturn BSCF"/>
      <sheetName val="Saturn DCF1"/>
      <sheetName val="Saturn DCF2"/>
      <sheetName val="Saturn Ratios"/>
      <sheetName val="Spaceshot&gt;&gt;&gt;&gt;&gt;"/>
      <sheetName val="Op-BS"/>
      <sheetName val="Output&gt;&gt;&gt;&gt;&gt;"/>
      <sheetName val="Matri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 sheetId="21" refreshError="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sheetData sheetId="55"/>
      <sheetData sheetId="56"/>
      <sheetData sheetId="57"/>
      <sheetData sheetId="58"/>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refreshError="1"/>
      <sheetData sheetId="109"/>
      <sheetData sheetId="110"/>
      <sheetData sheetId="111"/>
      <sheetData sheetId="112"/>
      <sheetData sheetId="113" refreshError="1"/>
      <sheetData sheetId="114" refreshError="1"/>
      <sheetData sheetId="115"/>
      <sheetData sheetId="116" refreshError="1"/>
      <sheetData sheetId="1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tock Price"/>
      <sheetName val="Price of Comps-1yr (UHS)"/>
      <sheetName val="Price of Comps-1yr (UNH)"/>
      <sheetName val="Price of Comps-3yrs (UHS)"/>
      <sheetName val="Price of Comps-3yrs (UNH)"/>
      <sheetName val="critical"/>
      <sheetName val="medical"/>
      <sheetName val="manor"/>
      <sheetName val="Stock Price (4)"/>
      <sheetName val="Shareholder Value"/>
      <sheetName val="Shareholder Value (2)"/>
      <sheetName val="Shareholder Value (3)"/>
      <sheetName val="theatre"/>
      <sheetName val="StockPrice"/>
      <sheetName val="Total"/>
      <sheetName val="Stock_Price"/>
      <sheetName val="Price_of_Comps-1yr_(UHS)"/>
      <sheetName val="Price_of_Comps-1yr_(UNH)"/>
      <sheetName val="Price_of_Comps-3yrs_(UHS)"/>
      <sheetName val="Price_of_Comps-3yrs_(UNH)"/>
      <sheetName val="Stock_Price_(4)"/>
      <sheetName val="Shareholder_Value"/>
      <sheetName val="Shareholder_Value_(2)"/>
      <sheetName val="Shareholder_Value_(3)"/>
      <sheetName val="Graph"/>
      <sheetName val="Clec_Comp"/>
      <sheetName val="Assump"/>
      <sheetName val="DCF_Rider_Term_Mult"/>
      <sheetName val="Horus_P&amp;L"/>
      <sheetName val="Assumptions"/>
      <sheetName val="sales_vol_"/>
      <sheetName val="NewGLP_Assumptions"/>
      <sheetName val="Revenue"/>
      <sheetName val="3"/>
      <sheetName val="Acc_Dil"/>
      <sheetName val="6b"/>
      <sheetName val="ValMatrix"/>
      <sheetName val="Overview_1"/>
      <sheetName val="Value_Creation"/>
      <sheetName val="Controls"/>
      <sheetName val="budg_act"/>
      <sheetName val="1"/>
      <sheetName val="Admin"/>
      <sheetName val="Constants"/>
      <sheetName val="Model"/>
      <sheetName val="MOE"/>
      <sheetName val="Financials_Old"/>
      <sheetName val="5a"/>
      <sheetName val="Side_by_Side"/>
      <sheetName val="CA"/>
      <sheetName val="Overview_2"/>
      <sheetName val="Value_Creation_Chart"/>
      <sheetName val="PF__Cash_EPS_Graph"/>
      <sheetName val="Cash_Flow"/>
      <sheetName val="4"/>
      <sheetName val="Contribution"/>
      <sheetName val="middle-market_-_new"/>
      <sheetName val="7"/>
      <sheetName val="DRDs"/>
      <sheetName val="SX3"/>
      <sheetName val="QuickMerge"/>
      <sheetName val="CONTROL"/>
      <sheetName val="Parameters"/>
      <sheetName val="NOPAT_VDF"/>
      <sheetName val="RC"/>
      <sheetName val="Chapter_7"/>
      <sheetName val="Invested_capital_VDF"/>
      <sheetName val="DCF_VDF"/>
      <sheetName val="MWV-BAL"/>
      <sheetName val="Balance_Sheet"/>
      <sheetName val="US_dollar_mkt"/>
      <sheetName val="riderF"/>
      <sheetName val="cd_Data"/>
      <sheetName val="Colour_Hierarchy"/>
      <sheetName val="graphdialog"/>
      <sheetName val="CID"/>
      <sheetName val="Inputs"/>
      <sheetName val="Customers"/>
      <sheetName val="WEEKLYVLS"/>
      <sheetName val="Data"/>
      <sheetName val="Market_Share"/>
      <sheetName val="DCF"/>
      <sheetName val="lev_loan_raw_data"/>
      <sheetName val="Valuation_Matrix"/>
      <sheetName val="MLP_IPO_Yields_vs_MLP_Index"/>
      <sheetName val="Forecast"/>
      <sheetName val="Financing_Memo"/>
      <sheetName val="Force_Count"/>
      <sheetName val="Instructions"/>
      <sheetName val="MWV-FUN"/>
      <sheetName val="FX_Rates"/>
      <sheetName val="Delhaize"/>
      <sheetName val="Income_Stmt"/>
      <sheetName val="Income_Statement"/>
      <sheetName val="Input"/>
      <sheetName val="Accretion_SensitivityOutput"/>
      <sheetName val="Summary"/>
      <sheetName val="IRR"/>
      <sheetName val="Lookup"/>
      <sheetName val="Budget"/>
      <sheetName val="WACC_VDF"/>
      <sheetName val="Minutes"/>
      <sheetName val="Monthly_IS"/>
      <sheetName val="Scenario_Manager"/>
      <sheetName val="PV_of_Op_Leases_VDF"/>
      <sheetName val="Sensitivity"/>
      <sheetName val="LBO_Model"/>
      <sheetName val="1991_-_1999_Drilling_Type"/>
      <sheetName val="MWV-QTR1"/>
      <sheetName val="LookupRanges"/>
      <sheetName val="Ali_Synergy_Est_(2)"/>
      <sheetName val="Summary_Inc_Stmt"/>
      <sheetName val="f3"/>
      <sheetName val="MarketData"/>
      <sheetName val="Definitions"/>
      <sheetName val="Team_Award"/>
      <sheetName val="Income_Statement_VDF"/>
      <sheetName val="Neste_Oy"/>
      <sheetName val="yc_Formula"/>
      <sheetName val="SEP"/>
      <sheetName val="Stock_Price1"/>
      <sheetName val="Price_of_Comps-1yr_(UHS)1"/>
      <sheetName val="Price_of_Comps-1yr_(UNH)1"/>
      <sheetName val="Price_of_Comps-3yrs_(UHS)1"/>
      <sheetName val="Price_of_Comps-3yrs_(UNH)1"/>
      <sheetName val="Stock_Price_(4)1"/>
      <sheetName val="Shareholder_Value1"/>
      <sheetName val="Shareholder_Value_(2)1"/>
      <sheetName val="Shareholder_Value_(3)1"/>
      <sheetName val="Stock_Price2"/>
      <sheetName val="Price_of_Comps-1yr_(UHS)2"/>
      <sheetName val="Price_of_Comps-1yr_(UNH)2"/>
      <sheetName val="Price_of_Comps-3yrs_(UHS)2"/>
      <sheetName val="Price_of_Comps-3yrs_(UNH)2"/>
      <sheetName val="Stock_Price_(4)2"/>
      <sheetName val="Shareholder_Value2"/>
      <sheetName val="Shareholder_Value_(2)2"/>
      <sheetName val="Shareholder_Value_(3)2"/>
      <sheetName val="Stock_Price3"/>
      <sheetName val="Price_of_Comps-1yr_(UHS)3"/>
      <sheetName val="Price_of_Comps-1yr_(UNH)3"/>
      <sheetName val="Price_of_Comps-3yrs_(UHS)3"/>
      <sheetName val="Price_of_Comps-3yrs_(UNH)3"/>
      <sheetName val="Stock_Price_(4)3"/>
      <sheetName val="Shareholder_Value3"/>
      <sheetName val="Shareholder_Value_(2)3"/>
      <sheetName val="Shareholder_Value_(3)3"/>
      <sheetName val="EuroInputs"/>
      <sheetName val="Price_of_Compsjà_x0013__x0000_¤ß_x0013__x0000_lâ_x0013_"/>
      <sheetName val="9040832n"/>
      <sheetName val="oldSEG"/>
      <sheetName val="Quarters"/>
      <sheetName val="sales vol."/>
      <sheetName val="Entry data"/>
      <sheetName val="Refunds Weekly"/>
      <sheetName val="Final Payments"/>
      <sheetName val="FootballField"/>
      <sheetName val="CNST"/>
      <sheetName val="AL &amp; NHY"/>
      <sheetName val="SEE"/>
      <sheetName val="P&amp;L"/>
      <sheetName val="company"/>
      <sheetName val="99 JULY SALE"/>
    </sheetNames>
    <sheetDataSet>
      <sheetData sheetId="0"/>
      <sheetData sheetId="1" refreshError="1">
        <row r="4">
          <cell r="A4">
            <v>35464</v>
          </cell>
          <cell r="B4">
            <v>1</v>
          </cell>
          <cell r="C4">
            <v>1</v>
          </cell>
          <cell r="D4">
            <v>1</v>
          </cell>
          <cell r="E4">
            <v>1</v>
          </cell>
          <cell r="F4">
            <v>1</v>
          </cell>
          <cell r="G4">
            <v>1</v>
          </cell>
        </row>
        <row r="5">
          <cell r="A5">
            <v>35465</v>
          </cell>
          <cell r="B5">
            <v>0.99669966996699666</v>
          </cell>
          <cell r="C5">
            <v>1.0280811232449298</v>
          </cell>
          <cell r="D5">
            <v>1</v>
          </cell>
          <cell r="E5">
            <v>0.99328859060402686</v>
          </cell>
          <cell r="F5">
            <v>0.97093023255813948</v>
          </cell>
          <cell r="G5">
            <v>1.0113636363636365</v>
          </cell>
        </row>
        <row r="6">
          <cell r="A6">
            <v>35466</v>
          </cell>
          <cell r="B6">
            <v>0.97689768976897695</v>
          </cell>
          <cell r="C6">
            <v>0.97347893915756634</v>
          </cell>
          <cell r="D6">
            <v>1.0112781954887218</v>
          </cell>
          <cell r="E6">
            <v>0.96644295302013428</v>
          </cell>
          <cell r="F6">
            <v>0.95813953488372094</v>
          </cell>
          <cell r="G6">
            <v>0.96590909090909094</v>
          </cell>
        </row>
        <row r="7">
          <cell r="A7">
            <v>35467</v>
          </cell>
          <cell r="B7">
            <v>0.99339933993399343</v>
          </cell>
          <cell r="C7">
            <v>0.96567862714508579</v>
          </cell>
          <cell r="D7">
            <v>1.0263157894736843</v>
          </cell>
          <cell r="E7">
            <v>0.95302013422818788</v>
          </cell>
          <cell r="F7">
            <v>0.92093023255813955</v>
          </cell>
          <cell r="G7">
            <v>0.95454545454545459</v>
          </cell>
        </row>
        <row r="8">
          <cell r="A8">
            <v>35468</v>
          </cell>
          <cell r="B8">
            <v>1.0297029702970297</v>
          </cell>
          <cell r="C8">
            <v>0.97347893915756634</v>
          </cell>
          <cell r="D8">
            <v>1.0413533834586466</v>
          </cell>
          <cell r="E8">
            <v>0.97315436241610742</v>
          </cell>
          <cell r="F8">
            <v>0.95581395348837206</v>
          </cell>
          <cell r="G8">
            <v>0.96590909090909094</v>
          </cell>
        </row>
        <row r="9">
          <cell r="A9">
            <v>35471</v>
          </cell>
          <cell r="B9">
            <v>1.033003300330033</v>
          </cell>
          <cell r="C9">
            <v>0.99375975039001563</v>
          </cell>
          <cell r="D9">
            <v>1.0883458646616542</v>
          </cell>
          <cell r="E9">
            <v>0.98657718120805371</v>
          </cell>
          <cell r="F9">
            <v>0.94883720930232562</v>
          </cell>
          <cell r="G9">
            <v>0.95454545454545459</v>
          </cell>
        </row>
        <row r="10">
          <cell r="A10">
            <v>35472</v>
          </cell>
          <cell r="B10">
            <v>1.0594059405940595</v>
          </cell>
          <cell r="C10">
            <v>0.99843993759750393</v>
          </cell>
          <cell r="D10">
            <v>1.0676691729323309</v>
          </cell>
          <cell r="E10">
            <v>1.0067114093959733</v>
          </cell>
          <cell r="F10">
            <v>0.96976744186046515</v>
          </cell>
          <cell r="G10">
            <v>0.95454545454545459</v>
          </cell>
        </row>
        <row r="11">
          <cell r="A11">
            <v>35473</v>
          </cell>
          <cell r="B11">
            <v>1.0734323432343233</v>
          </cell>
          <cell r="C11">
            <v>1.0265210608424338</v>
          </cell>
          <cell r="D11">
            <v>1.0864661654135339</v>
          </cell>
          <cell r="E11">
            <v>1.0067114093959733</v>
          </cell>
          <cell r="F11">
            <v>1.0418604651162791</v>
          </cell>
          <cell r="G11">
            <v>0.96590909090909094</v>
          </cell>
        </row>
        <row r="12">
          <cell r="A12">
            <v>35474</v>
          </cell>
          <cell r="B12">
            <v>1.0981848184818481</v>
          </cell>
          <cell r="C12">
            <v>1.0733229329173166</v>
          </cell>
          <cell r="D12">
            <v>1.1165413533834587</v>
          </cell>
          <cell r="E12">
            <v>1.0536912751677852</v>
          </cell>
          <cell r="F12">
            <v>1.1046511627906976</v>
          </cell>
          <cell r="G12">
            <v>0.98863636363636365</v>
          </cell>
        </row>
        <row r="13">
          <cell r="A13">
            <v>35475</v>
          </cell>
          <cell r="B13">
            <v>1.1056105610561056</v>
          </cell>
          <cell r="C13">
            <v>1.0795631825273011</v>
          </cell>
          <cell r="D13">
            <v>1.131578947368421</v>
          </cell>
          <cell r="E13">
            <v>1.0738255033557047</v>
          </cell>
          <cell r="F13">
            <v>1.1441860465116278</v>
          </cell>
          <cell r="G13">
            <v>1.2159090909090908</v>
          </cell>
        </row>
        <row r="14">
          <cell r="A14">
            <v>35478</v>
          </cell>
          <cell r="B14">
            <v>1.1056105610561056</v>
          </cell>
          <cell r="C14">
            <v>1.0795631825273011</v>
          </cell>
          <cell r="D14">
            <v>1.131578947368421</v>
          </cell>
          <cell r="E14">
            <v>1.0738255033557047</v>
          </cell>
          <cell r="F14">
            <v>1.1441860465116278</v>
          </cell>
          <cell r="G14">
            <v>1.2159090909090908</v>
          </cell>
        </row>
        <row r="15">
          <cell r="A15">
            <v>35479</v>
          </cell>
          <cell r="B15">
            <v>1.0990099009900991</v>
          </cell>
          <cell r="C15">
            <v>1.0608424336973479</v>
          </cell>
          <cell r="D15">
            <v>1.1090225563909775</v>
          </cell>
          <cell r="E15">
            <v>1.0738255033557047</v>
          </cell>
          <cell r="F15">
            <v>1.1000000000000001</v>
          </cell>
          <cell r="G15">
            <v>1.2159090909090908</v>
          </cell>
        </row>
        <row r="16">
          <cell r="A16">
            <v>35480</v>
          </cell>
          <cell r="B16">
            <v>1.1122112211221122</v>
          </cell>
          <cell r="C16">
            <v>1.0717628705148206</v>
          </cell>
          <cell r="D16">
            <v>1.131578947368421</v>
          </cell>
          <cell r="E16">
            <v>1.0268456375838926</v>
          </cell>
          <cell r="F16">
            <v>1.1046511627906976</v>
          </cell>
          <cell r="G16">
            <v>1.2159090909090908</v>
          </cell>
        </row>
        <row r="17">
          <cell r="A17">
            <v>35481</v>
          </cell>
          <cell r="B17">
            <v>1.1056105610561056</v>
          </cell>
          <cell r="C17">
            <v>1.0592823712948518</v>
          </cell>
          <cell r="D17">
            <v>1.1099624060150375</v>
          </cell>
          <cell r="E17">
            <v>1.0671140939597314</v>
          </cell>
          <cell r="F17">
            <v>1.0930232558139534</v>
          </cell>
          <cell r="G17">
            <v>1.2045454545454546</v>
          </cell>
        </row>
        <row r="18">
          <cell r="A18">
            <v>35482</v>
          </cell>
          <cell r="B18">
            <v>1.0990099009900991</v>
          </cell>
          <cell r="C18">
            <v>1.0608424336973479</v>
          </cell>
          <cell r="D18">
            <v>1.1353383458646618</v>
          </cell>
          <cell r="E18">
            <v>1.0738255033557047</v>
          </cell>
          <cell r="F18">
            <v>1.0953488372093023</v>
          </cell>
          <cell r="G18">
            <v>1.2159090909090908</v>
          </cell>
        </row>
        <row r="19">
          <cell r="A19">
            <v>35485</v>
          </cell>
          <cell r="B19">
            <v>1.0808580858085808</v>
          </cell>
          <cell r="C19">
            <v>1.0702028081123245</v>
          </cell>
          <cell r="D19">
            <v>1.1390977443609023</v>
          </cell>
          <cell r="E19">
            <v>1.0604026845637584</v>
          </cell>
          <cell r="F19">
            <v>1.0627906976744186</v>
          </cell>
          <cell r="G19">
            <v>1.2045454545454546</v>
          </cell>
        </row>
        <row r="20">
          <cell r="A20">
            <v>35486</v>
          </cell>
          <cell r="B20">
            <v>1.0990099009900991</v>
          </cell>
          <cell r="C20">
            <v>1.0670826833073324</v>
          </cell>
          <cell r="D20">
            <v>1.1503759398496241</v>
          </cell>
          <cell r="E20">
            <v>1.0738255033557047</v>
          </cell>
          <cell r="F20">
            <v>1.069767441860465</v>
          </cell>
          <cell r="G20">
            <v>1.2045454545454546</v>
          </cell>
        </row>
        <row r="21">
          <cell r="A21">
            <v>35487</v>
          </cell>
          <cell r="B21">
            <v>1.0940594059405941</v>
          </cell>
          <cell r="C21">
            <v>1.0405616224648986</v>
          </cell>
          <cell r="D21">
            <v>1.1503759398496241</v>
          </cell>
          <cell r="E21">
            <v>1.0134228187919463</v>
          </cell>
          <cell r="F21">
            <v>1.0488372093023255</v>
          </cell>
          <cell r="G21">
            <v>1.2045454545454546</v>
          </cell>
        </row>
        <row r="22">
          <cell r="A22">
            <v>35488</v>
          </cell>
          <cell r="B22">
            <v>1.0990099009900991</v>
          </cell>
          <cell r="C22">
            <v>1.0468018720748831</v>
          </cell>
          <cell r="D22">
            <v>1.1390977443609023</v>
          </cell>
          <cell r="E22">
            <v>1.0201342281879195</v>
          </cell>
          <cell r="F22">
            <v>1.0372093023255815</v>
          </cell>
          <cell r="G22">
            <v>1.2045454545454546</v>
          </cell>
        </row>
        <row r="23">
          <cell r="A23">
            <v>35489</v>
          </cell>
          <cell r="B23">
            <v>1.1056105610561056</v>
          </cell>
          <cell r="C23">
            <v>1.0374414976599065</v>
          </cell>
          <cell r="D23">
            <v>1.1353383458646618</v>
          </cell>
          <cell r="E23">
            <v>1.0536912751677852</v>
          </cell>
          <cell r="F23">
            <v>1.0372093023255815</v>
          </cell>
          <cell r="G23">
            <v>1.1931818181818181</v>
          </cell>
        </row>
        <row r="24">
          <cell r="A24">
            <v>35492</v>
          </cell>
          <cell r="B24">
            <v>1.0965346534653466</v>
          </cell>
          <cell r="C24">
            <v>1.0577223088923557</v>
          </cell>
          <cell r="D24">
            <v>1.1390977443609023</v>
          </cell>
          <cell r="E24">
            <v>1.1342281879194631</v>
          </cell>
          <cell r="F24">
            <v>1.0325581395348837</v>
          </cell>
          <cell r="G24">
            <v>1.2159090909090908</v>
          </cell>
        </row>
        <row r="25">
          <cell r="A25">
            <v>35493</v>
          </cell>
          <cell r="B25">
            <v>1.0973597359735974</v>
          </cell>
          <cell r="C25">
            <v>1.06396255850234</v>
          </cell>
          <cell r="D25">
            <v>1.1353383458646618</v>
          </cell>
          <cell r="E25">
            <v>1.1610738255033557</v>
          </cell>
          <cell r="F25">
            <v>1.069767441860465</v>
          </cell>
          <cell r="G25">
            <v>1.2159090909090908</v>
          </cell>
        </row>
        <row r="26">
          <cell r="A26">
            <v>35494</v>
          </cell>
          <cell r="B26">
            <v>1.113861386138614</v>
          </cell>
          <cell r="C26">
            <v>1.076443057722309</v>
          </cell>
          <cell r="D26">
            <v>1.1278195488721805</v>
          </cell>
          <cell r="E26">
            <v>1.174496644295302</v>
          </cell>
          <cell r="F26">
            <v>1.1255813953488372</v>
          </cell>
          <cell r="G26">
            <v>1.2727272727272727</v>
          </cell>
        </row>
        <row r="27">
          <cell r="A27">
            <v>35495</v>
          </cell>
          <cell r="B27">
            <v>1.1460396039603959</v>
          </cell>
          <cell r="C27">
            <v>1.0717628705148206</v>
          </cell>
          <cell r="D27">
            <v>1.1090225563909775</v>
          </cell>
          <cell r="E27">
            <v>1.1208053691275168</v>
          </cell>
          <cell r="F27">
            <v>1.1093023255813954</v>
          </cell>
          <cell r="G27">
            <v>1.2272727272727273</v>
          </cell>
        </row>
        <row r="28">
          <cell r="A28">
            <v>35496</v>
          </cell>
          <cell r="B28">
            <v>1.165016501650165</v>
          </cell>
          <cell r="C28">
            <v>1.1216848673946958</v>
          </cell>
          <cell r="D28">
            <v>1.1541353383458646</v>
          </cell>
          <cell r="E28">
            <v>1.2147651006711409</v>
          </cell>
          <cell r="F28">
            <v>1.1511627906976745</v>
          </cell>
          <cell r="G28">
            <v>1.2386363636363635</v>
          </cell>
        </row>
        <row r="29">
          <cell r="A29">
            <v>35499</v>
          </cell>
          <cell r="B29">
            <v>1.165016501650165</v>
          </cell>
          <cell r="C29">
            <v>1.1372854914196568</v>
          </cell>
          <cell r="D29">
            <v>1.1766917293233083</v>
          </cell>
          <cell r="E29">
            <v>1.2348993288590604</v>
          </cell>
          <cell r="F29">
            <v>1.2069767441860466</v>
          </cell>
          <cell r="G29">
            <v>1.3068181818181819</v>
          </cell>
        </row>
        <row r="30">
          <cell r="A30">
            <v>35500</v>
          </cell>
          <cell r="B30">
            <v>1.1452145214521452</v>
          </cell>
          <cell r="C30">
            <v>1.1528861154446177</v>
          </cell>
          <cell r="D30">
            <v>1.1766917293233083</v>
          </cell>
          <cell r="E30">
            <v>1.2348993288590604</v>
          </cell>
          <cell r="F30">
            <v>1.2255813953488373</v>
          </cell>
          <cell r="G30">
            <v>1.2954545454545454</v>
          </cell>
        </row>
        <row r="31">
          <cell r="A31">
            <v>35501</v>
          </cell>
          <cell r="B31">
            <v>1.1386138613861385</v>
          </cell>
          <cell r="C31">
            <v>1.1591263650546022</v>
          </cell>
          <cell r="D31">
            <v>1.1879699248120301</v>
          </cell>
          <cell r="E31">
            <v>1.2214765100671141</v>
          </cell>
          <cell r="F31">
            <v>1.213953488372093</v>
          </cell>
          <cell r="G31">
            <v>1.2954545454545454</v>
          </cell>
        </row>
        <row r="32">
          <cell r="A32">
            <v>35502</v>
          </cell>
          <cell r="B32">
            <v>1.1353135313531353</v>
          </cell>
          <cell r="C32">
            <v>1.1232449297971918</v>
          </cell>
          <cell r="D32">
            <v>1.1766917293233083</v>
          </cell>
          <cell r="E32">
            <v>1.1879194630872483</v>
          </cell>
          <cell r="F32">
            <v>1.1895348837209303</v>
          </cell>
          <cell r="G32">
            <v>1.2954545454545454</v>
          </cell>
        </row>
        <row r="33">
          <cell r="A33">
            <v>35503</v>
          </cell>
          <cell r="B33">
            <v>1.1353135313531353</v>
          </cell>
          <cell r="C33">
            <v>1.1341653666146645</v>
          </cell>
          <cell r="D33">
            <v>1.1691729323308271</v>
          </cell>
          <cell r="E33">
            <v>1.2281879194630871</v>
          </cell>
          <cell r="F33">
            <v>1.1837209302325582</v>
          </cell>
          <cell r="G33">
            <v>1.2954545454545454</v>
          </cell>
        </row>
        <row r="34">
          <cell r="A34">
            <v>35506</v>
          </cell>
          <cell r="B34">
            <v>1.1377887788778878</v>
          </cell>
          <cell r="C34">
            <v>1.1216848673946958</v>
          </cell>
          <cell r="D34">
            <v>1.1541353383458646</v>
          </cell>
          <cell r="E34">
            <v>1.1946308724832215</v>
          </cell>
          <cell r="F34">
            <v>1.1348837209302325</v>
          </cell>
          <cell r="G34">
            <v>1.2954545454545454</v>
          </cell>
        </row>
        <row r="35">
          <cell r="A35">
            <v>35507</v>
          </cell>
          <cell r="B35">
            <v>1.1287128712871286</v>
          </cell>
          <cell r="C35">
            <v>1.1154446177847115</v>
          </cell>
          <cell r="D35">
            <v>1.1428571428571428</v>
          </cell>
          <cell r="E35">
            <v>1.1946308724832215</v>
          </cell>
          <cell r="F35">
            <v>1.1093023255813954</v>
          </cell>
          <cell r="G35">
            <v>1.3068181818181819</v>
          </cell>
        </row>
        <row r="36">
          <cell r="A36">
            <v>35508</v>
          </cell>
          <cell r="B36">
            <v>1.1287128712871286</v>
          </cell>
          <cell r="C36">
            <v>1.0936037441497659</v>
          </cell>
          <cell r="D36">
            <v>1.1466165413533835</v>
          </cell>
          <cell r="E36">
            <v>1.174496644295302</v>
          </cell>
          <cell r="F36">
            <v>1.1232558139534883</v>
          </cell>
          <cell r="G36">
            <v>1.2954545454545454</v>
          </cell>
        </row>
        <row r="37">
          <cell r="A37">
            <v>35509</v>
          </cell>
          <cell r="B37">
            <v>1.1303630363036303</v>
          </cell>
          <cell r="C37">
            <v>1.0998439937597504</v>
          </cell>
          <cell r="D37">
            <v>1.1503759398496241</v>
          </cell>
          <cell r="E37">
            <v>1.1677852348993289</v>
          </cell>
          <cell r="F37">
            <v>1.155813953488372</v>
          </cell>
          <cell r="G37">
            <v>1.2954545454545454</v>
          </cell>
        </row>
        <row r="38">
          <cell r="A38">
            <v>35510</v>
          </cell>
          <cell r="B38">
            <v>1.1221122112211221</v>
          </cell>
          <cell r="C38">
            <v>1.1014040561622465</v>
          </cell>
          <cell r="D38">
            <v>1.1466165413533835</v>
          </cell>
          <cell r="E38">
            <v>1.1812080536912752</v>
          </cell>
          <cell r="F38">
            <v>1.1441860465116278</v>
          </cell>
          <cell r="G38">
            <v>1.2954545454545454</v>
          </cell>
        </row>
        <row r="39">
          <cell r="A39">
            <v>35513</v>
          </cell>
          <cell r="B39">
            <v>1.0965346534653466</v>
          </cell>
          <cell r="C39">
            <v>1.0951638065522622</v>
          </cell>
          <cell r="D39">
            <v>1.1353383458646618</v>
          </cell>
          <cell r="E39">
            <v>1.1677852348993289</v>
          </cell>
          <cell r="F39">
            <v>1.1441860465116278</v>
          </cell>
          <cell r="G39">
            <v>1.2954545454545454</v>
          </cell>
        </row>
        <row r="40">
          <cell r="A40">
            <v>35514</v>
          </cell>
          <cell r="B40">
            <v>1.1221122112211221</v>
          </cell>
          <cell r="C40">
            <v>1.1232449297971918</v>
          </cell>
          <cell r="D40">
            <v>1.131578947368421</v>
          </cell>
          <cell r="E40">
            <v>1.1812080536912752</v>
          </cell>
          <cell r="F40">
            <v>1.1790697674418604</v>
          </cell>
          <cell r="G40">
            <v>1.2954545454545454</v>
          </cell>
        </row>
        <row r="41">
          <cell r="A41">
            <v>35515</v>
          </cell>
          <cell r="B41">
            <v>1.1435643564356435</v>
          </cell>
          <cell r="C41">
            <v>1.1185647425897036</v>
          </cell>
          <cell r="D41">
            <v>1.112781954887218</v>
          </cell>
          <cell r="E41">
            <v>1.2013422818791946</v>
          </cell>
          <cell r="F41">
            <v>1.1697674418604651</v>
          </cell>
          <cell r="G41">
            <v>1.2954545454545454</v>
          </cell>
        </row>
        <row r="42">
          <cell r="A42">
            <v>35516</v>
          </cell>
          <cell r="B42">
            <v>1.141914191419142</v>
          </cell>
          <cell r="C42">
            <v>1.0904836193447738</v>
          </cell>
          <cell r="D42">
            <v>1.1052631578947369</v>
          </cell>
          <cell r="E42">
            <v>1.174496644295302</v>
          </cell>
          <cell r="F42">
            <v>1.1372093023255814</v>
          </cell>
          <cell r="G42">
            <v>1.2954545454545454</v>
          </cell>
        </row>
        <row r="43">
          <cell r="A43">
            <v>35517</v>
          </cell>
          <cell r="B43">
            <v>1.141914191419142</v>
          </cell>
          <cell r="C43">
            <v>1.0904836193447738</v>
          </cell>
          <cell r="D43">
            <v>1.1052631578947369</v>
          </cell>
          <cell r="E43">
            <v>1.174496644295302</v>
          </cell>
          <cell r="F43">
            <v>1.1372093023255814</v>
          </cell>
          <cell r="G43">
            <v>1.2954545454545454</v>
          </cell>
        </row>
        <row r="44">
          <cell r="A44">
            <v>35520</v>
          </cell>
          <cell r="B44">
            <v>1.1386138613861385</v>
          </cell>
          <cell r="C44">
            <v>1.0717628705148206</v>
          </cell>
          <cell r="D44">
            <v>1.0977443609022557</v>
          </cell>
          <cell r="E44">
            <v>1.1812080536912752</v>
          </cell>
          <cell r="F44">
            <v>1.0906976744186045</v>
          </cell>
          <cell r="G44">
            <v>1.2954545454545454</v>
          </cell>
        </row>
        <row r="45">
          <cell r="A45">
            <v>35521</v>
          </cell>
          <cell r="B45">
            <v>1.1056105610561056</v>
          </cell>
          <cell r="C45">
            <v>1.0748829953198127</v>
          </cell>
          <cell r="D45">
            <v>1.1090225563909775</v>
          </cell>
          <cell r="E45">
            <v>1.1342281879194631</v>
          </cell>
          <cell r="F45">
            <v>1.0604651162790697</v>
          </cell>
          <cell r="G45">
            <v>1.2954545454545454</v>
          </cell>
        </row>
        <row r="46">
          <cell r="A46">
            <v>35522</v>
          </cell>
          <cell r="B46">
            <v>1.0973597359735974</v>
          </cell>
          <cell r="C46">
            <v>1.0748829953198127</v>
          </cell>
          <cell r="D46">
            <v>0.84586466165413532</v>
          </cell>
          <cell r="E46">
            <v>1.1140939597315436</v>
          </cell>
          <cell r="F46">
            <v>1.0511627906976744</v>
          </cell>
          <cell r="G46">
            <v>1.2954545454545454</v>
          </cell>
        </row>
        <row r="47">
          <cell r="A47">
            <v>35523</v>
          </cell>
          <cell r="B47">
            <v>1.0957095709570956</v>
          </cell>
          <cell r="C47">
            <v>1.0842433697347893</v>
          </cell>
          <cell r="D47">
            <v>0.82330827067669177</v>
          </cell>
          <cell r="E47">
            <v>1.1342281879194631</v>
          </cell>
          <cell r="F47">
            <v>1.0813953488372092</v>
          </cell>
          <cell r="G47">
            <v>1.2840909090909092</v>
          </cell>
        </row>
        <row r="48">
          <cell r="A48">
            <v>35524</v>
          </cell>
          <cell r="B48">
            <v>1.1023102310231023</v>
          </cell>
          <cell r="C48">
            <v>1.076443057722309</v>
          </cell>
          <cell r="D48">
            <v>0.83082706766917291</v>
          </cell>
          <cell r="E48">
            <v>1.1342281879194631</v>
          </cell>
          <cell r="F48">
            <v>1.0790697674418606</v>
          </cell>
          <cell r="G48">
            <v>1.2954545454545454</v>
          </cell>
        </row>
        <row r="49">
          <cell r="A49">
            <v>35527</v>
          </cell>
          <cell r="B49">
            <v>1.0907590759075907</v>
          </cell>
          <cell r="C49">
            <v>1.0670826833073324</v>
          </cell>
          <cell r="D49">
            <v>0.82706766917293228</v>
          </cell>
          <cell r="E49">
            <v>1.1677852348993289</v>
          </cell>
          <cell r="F49">
            <v>1.1093023255813954</v>
          </cell>
          <cell r="G49">
            <v>1.2954545454545454</v>
          </cell>
        </row>
        <row r="50">
          <cell r="A50">
            <v>35528</v>
          </cell>
          <cell r="B50">
            <v>1.0907590759075907</v>
          </cell>
          <cell r="C50">
            <v>1.0686427457098284</v>
          </cell>
          <cell r="D50">
            <v>0.81578947368421051</v>
          </cell>
          <cell r="E50">
            <v>1.1610738255033557</v>
          </cell>
          <cell r="F50">
            <v>1.1418604651162791</v>
          </cell>
          <cell r="G50">
            <v>1.2840909090909092</v>
          </cell>
        </row>
        <row r="51">
          <cell r="A51">
            <v>35529</v>
          </cell>
          <cell r="B51">
            <v>1.0874587458745875</v>
          </cell>
          <cell r="C51">
            <v>1.0655226209048363</v>
          </cell>
          <cell r="D51">
            <v>0.83834586466165417</v>
          </cell>
          <cell r="E51">
            <v>1.1208053691275168</v>
          </cell>
          <cell r="F51">
            <v>1.1744186046511629</v>
          </cell>
          <cell r="G51">
            <v>1.3068181818181819</v>
          </cell>
        </row>
        <row r="52">
          <cell r="A52">
            <v>35530</v>
          </cell>
          <cell r="B52">
            <v>1.0891089108910892</v>
          </cell>
          <cell r="C52">
            <v>1.076443057722309</v>
          </cell>
          <cell r="D52">
            <v>0.83458646616541354</v>
          </cell>
          <cell r="E52">
            <v>1.1409395973154361</v>
          </cell>
          <cell r="F52">
            <v>1.1976744186046511</v>
          </cell>
          <cell r="G52">
            <v>1.2954545454545454</v>
          </cell>
        </row>
        <row r="53">
          <cell r="A53">
            <v>35531</v>
          </cell>
          <cell r="B53">
            <v>1.0577557755775577</v>
          </cell>
          <cell r="C53">
            <v>1.0436817472698907</v>
          </cell>
          <cell r="D53">
            <v>0.81203007518796988</v>
          </cell>
          <cell r="E53">
            <v>1.1140939597315436</v>
          </cell>
          <cell r="F53">
            <v>1.1232558139534883</v>
          </cell>
          <cell r="G53">
            <v>1.2840909090909092</v>
          </cell>
        </row>
        <row r="54">
          <cell r="A54">
            <v>35534</v>
          </cell>
          <cell r="B54">
            <v>1.0379537953795379</v>
          </cell>
          <cell r="C54">
            <v>1.0748829953198127</v>
          </cell>
          <cell r="D54">
            <v>0.82330827067669177</v>
          </cell>
          <cell r="E54">
            <v>1.1275167785234899</v>
          </cell>
          <cell r="F54">
            <v>1.1534883720930234</v>
          </cell>
          <cell r="G54">
            <v>1.2727272727272727</v>
          </cell>
        </row>
        <row r="55">
          <cell r="A55">
            <v>35535</v>
          </cell>
          <cell r="B55">
            <v>1.0742574257425743</v>
          </cell>
          <cell r="C55">
            <v>1.1045241809672386</v>
          </cell>
          <cell r="D55">
            <v>0.84586466165413532</v>
          </cell>
          <cell r="E55">
            <v>1.1476510067114094</v>
          </cell>
          <cell r="F55">
            <v>1.1767441860465115</v>
          </cell>
          <cell r="G55">
            <v>1.2727272727272727</v>
          </cell>
        </row>
        <row r="56">
          <cell r="A56">
            <v>35536</v>
          </cell>
          <cell r="B56">
            <v>1.1039603960396041</v>
          </cell>
          <cell r="C56">
            <v>1.1201248049921997</v>
          </cell>
          <cell r="D56">
            <v>0.86466165413533835</v>
          </cell>
          <cell r="E56">
            <v>1.1476510067114094</v>
          </cell>
          <cell r="F56">
            <v>1.1476744186046512</v>
          </cell>
          <cell r="G56">
            <v>1.2840909090909092</v>
          </cell>
        </row>
        <row r="57">
          <cell r="A57">
            <v>35537</v>
          </cell>
          <cell r="B57">
            <v>1.0990099009900991</v>
          </cell>
          <cell r="C57">
            <v>1.0982839313572543</v>
          </cell>
          <cell r="D57">
            <v>0.84962406015037595</v>
          </cell>
          <cell r="E57">
            <v>1.1409395973154361</v>
          </cell>
          <cell r="F57">
            <v>1.1627906976744187</v>
          </cell>
          <cell r="G57">
            <v>1.2840909090909092</v>
          </cell>
        </row>
        <row r="58">
          <cell r="A58">
            <v>35538</v>
          </cell>
          <cell r="B58">
            <v>1.0577557755775577</v>
          </cell>
          <cell r="C58">
            <v>1.0717628705148206</v>
          </cell>
          <cell r="D58">
            <v>0.80451127819548873</v>
          </cell>
          <cell r="E58">
            <v>1.080536912751678</v>
          </cell>
          <cell r="F58">
            <v>1.1232558139534883</v>
          </cell>
          <cell r="G58">
            <v>1.2840909090909092</v>
          </cell>
        </row>
        <row r="59">
          <cell r="A59">
            <v>35541</v>
          </cell>
          <cell r="B59">
            <v>1.0445544554455446</v>
          </cell>
          <cell r="C59">
            <v>1.0624024960998439</v>
          </cell>
          <cell r="D59">
            <v>0.77819548872180455</v>
          </cell>
          <cell r="E59">
            <v>1.0939597315436242</v>
          </cell>
          <cell r="F59">
            <v>1.1232558139534883</v>
          </cell>
          <cell r="G59">
            <v>1.2727272727272727</v>
          </cell>
        </row>
        <row r="60">
          <cell r="A60">
            <v>35542</v>
          </cell>
          <cell r="B60">
            <v>1.0297029702970297</v>
          </cell>
          <cell r="C60">
            <v>1.0702028081123245</v>
          </cell>
          <cell r="D60">
            <v>0.76691729323308266</v>
          </cell>
          <cell r="E60">
            <v>1.1073825503355705</v>
          </cell>
          <cell r="F60">
            <v>1.1418604651162791</v>
          </cell>
          <cell r="G60">
            <v>1.2727272727272727</v>
          </cell>
        </row>
        <row r="61">
          <cell r="A61">
            <v>35543</v>
          </cell>
          <cell r="B61">
            <v>1.0148514851485149</v>
          </cell>
          <cell r="C61">
            <v>1.0686427457098284</v>
          </cell>
          <cell r="D61">
            <v>0.75563909774436089</v>
          </cell>
          <cell r="E61">
            <v>1.1208053691275168</v>
          </cell>
          <cell r="F61">
            <v>1.1488372093023256</v>
          </cell>
          <cell r="G61">
            <v>1.2727272727272727</v>
          </cell>
        </row>
        <row r="62">
          <cell r="A62">
            <v>35544</v>
          </cell>
          <cell r="B62">
            <v>1.0198019801980198</v>
          </cell>
          <cell r="C62">
            <v>1.0530421216848673</v>
          </cell>
          <cell r="D62">
            <v>0.75939849624060152</v>
          </cell>
          <cell r="E62">
            <v>1.080536912751678</v>
          </cell>
          <cell r="F62">
            <v>1.1395348837209303</v>
          </cell>
          <cell r="G62">
            <v>1.2727272727272727</v>
          </cell>
        </row>
        <row r="63">
          <cell r="A63">
            <v>35545</v>
          </cell>
          <cell r="B63">
            <v>1.0156765676567656</v>
          </cell>
          <cell r="C63">
            <v>1.0483619344773791</v>
          </cell>
          <cell r="D63">
            <v>0.74060150375939848</v>
          </cell>
          <cell r="E63">
            <v>1.0939597315436242</v>
          </cell>
          <cell r="F63">
            <v>1.1046511627906976</v>
          </cell>
          <cell r="G63">
            <v>1.2727272727272727</v>
          </cell>
        </row>
        <row r="64">
          <cell r="A64">
            <v>35548</v>
          </cell>
          <cell r="B64">
            <v>1.0099009900990099</v>
          </cell>
          <cell r="C64">
            <v>1.0468018720748831</v>
          </cell>
          <cell r="D64">
            <v>0.73308270676691734</v>
          </cell>
          <cell r="E64">
            <v>1.087248322147651</v>
          </cell>
          <cell r="F64">
            <v>1.0976744186046512</v>
          </cell>
          <cell r="G64">
            <v>1.2613636363636365</v>
          </cell>
        </row>
        <row r="65">
          <cell r="A65">
            <v>35549</v>
          </cell>
          <cell r="B65">
            <v>1.033003300330033</v>
          </cell>
          <cell r="C65">
            <v>1.1185647425897036</v>
          </cell>
          <cell r="D65">
            <v>0.77067669172932329</v>
          </cell>
          <cell r="E65">
            <v>1.1543624161073827</v>
          </cell>
          <cell r="F65">
            <v>1.1674418604651162</v>
          </cell>
          <cell r="G65">
            <v>1.2613636363636365</v>
          </cell>
        </row>
        <row r="66">
          <cell r="A66">
            <v>35550</v>
          </cell>
          <cell r="B66">
            <v>1.0594059405940595</v>
          </cell>
          <cell r="C66">
            <v>1.1372854914196568</v>
          </cell>
          <cell r="D66">
            <v>0.81203007518796988</v>
          </cell>
          <cell r="E66">
            <v>1.1677852348993289</v>
          </cell>
          <cell r="F66">
            <v>1.2255813953488373</v>
          </cell>
          <cell r="G66">
            <v>1.2613636363636365</v>
          </cell>
        </row>
        <row r="67">
          <cell r="A67">
            <v>35551</v>
          </cell>
          <cell r="B67">
            <v>1.0148514851485149</v>
          </cell>
          <cell r="C67">
            <v>1.1216848673946958</v>
          </cell>
          <cell r="D67">
            <v>0.80451127819548873</v>
          </cell>
          <cell r="E67">
            <v>1.1610738255033557</v>
          </cell>
          <cell r="F67">
            <v>1.213953488372093</v>
          </cell>
          <cell r="G67">
            <v>1.2727272727272727</v>
          </cell>
        </row>
        <row r="68">
          <cell r="A68">
            <v>35552</v>
          </cell>
          <cell r="B68">
            <v>1.0181518151815181</v>
          </cell>
          <cell r="C68">
            <v>1.1216848673946958</v>
          </cell>
          <cell r="D68">
            <v>0.82330827067669177</v>
          </cell>
          <cell r="E68">
            <v>1.174496644295302</v>
          </cell>
          <cell r="F68">
            <v>1.2720930232558139</v>
          </cell>
          <cell r="G68">
            <v>1.2727272727272727</v>
          </cell>
        </row>
        <row r="69">
          <cell r="A69">
            <v>35555</v>
          </cell>
          <cell r="B69">
            <v>1.0396039603960396</v>
          </cell>
          <cell r="C69">
            <v>1.1310452418096724</v>
          </cell>
          <cell r="D69">
            <v>0.83458646616541354</v>
          </cell>
          <cell r="E69">
            <v>1.1543624161073827</v>
          </cell>
          <cell r="F69">
            <v>1.2</v>
          </cell>
          <cell r="G69">
            <v>1.2954545454545454</v>
          </cell>
        </row>
        <row r="70">
          <cell r="A70">
            <v>35556</v>
          </cell>
          <cell r="B70">
            <v>1.056930693069307</v>
          </cell>
          <cell r="C70">
            <v>1.1965678627145087</v>
          </cell>
          <cell r="D70">
            <v>0.81203007518796988</v>
          </cell>
          <cell r="E70">
            <v>1.1543624161073827</v>
          </cell>
          <cell r="F70">
            <v>1.2441860465116279</v>
          </cell>
          <cell r="G70">
            <v>1.2727272727272727</v>
          </cell>
        </row>
        <row r="71">
          <cell r="A71">
            <v>35557</v>
          </cell>
          <cell r="B71">
            <v>1.0627062706270627</v>
          </cell>
          <cell r="C71">
            <v>1.2059282371294853</v>
          </cell>
          <cell r="D71">
            <v>0.81203007518796988</v>
          </cell>
          <cell r="E71">
            <v>1.1610738255033557</v>
          </cell>
          <cell r="F71">
            <v>1.2511627906976743</v>
          </cell>
          <cell r="G71">
            <v>1.2840909090909092</v>
          </cell>
        </row>
        <row r="72">
          <cell r="A72">
            <v>35558</v>
          </cell>
          <cell r="B72">
            <v>1.0412541254125414</v>
          </cell>
          <cell r="C72">
            <v>1.2246489859594383</v>
          </cell>
          <cell r="D72">
            <v>0.80451127819548873</v>
          </cell>
          <cell r="E72">
            <v>1.1476510067114094</v>
          </cell>
          <cell r="F72">
            <v>1.2279069767441861</v>
          </cell>
          <cell r="G72">
            <v>1.2727272727272727</v>
          </cell>
        </row>
        <row r="73">
          <cell r="A73">
            <v>35559</v>
          </cell>
          <cell r="B73">
            <v>1.028052805280528</v>
          </cell>
          <cell r="C73">
            <v>1.2293291731669267</v>
          </cell>
          <cell r="D73">
            <v>0.81578947368421051</v>
          </cell>
          <cell r="E73">
            <v>1.1409395973154361</v>
          </cell>
          <cell r="F73">
            <v>1.2069767441860466</v>
          </cell>
          <cell r="G73">
            <v>1.2840909090909092</v>
          </cell>
        </row>
        <row r="74">
          <cell r="A74">
            <v>35562</v>
          </cell>
          <cell r="B74">
            <v>1.033003300330033</v>
          </cell>
          <cell r="C74">
            <v>1.2402496099843994</v>
          </cell>
          <cell r="D74">
            <v>0.83834586466165417</v>
          </cell>
          <cell r="E74">
            <v>1.174496644295302</v>
          </cell>
          <cell r="F74">
            <v>1.2279069767441861</v>
          </cell>
          <cell r="G74">
            <v>1.2840909090909092</v>
          </cell>
        </row>
        <row r="75">
          <cell r="A75">
            <v>35563</v>
          </cell>
          <cell r="B75">
            <v>0.98844884488448848</v>
          </cell>
          <cell r="C75">
            <v>1.2308892355694228</v>
          </cell>
          <cell r="D75">
            <v>0.83458646616541354</v>
          </cell>
          <cell r="E75">
            <v>1.2013422818791946</v>
          </cell>
          <cell r="F75">
            <v>1.2127906976744185</v>
          </cell>
          <cell r="G75">
            <v>1.2840909090909092</v>
          </cell>
        </row>
        <row r="76">
          <cell r="A76">
            <v>35564</v>
          </cell>
          <cell r="B76">
            <v>0.95379537953795379</v>
          </cell>
          <cell r="C76">
            <v>1.218408736349454</v>
          </cell>
          <cell r="D76">
            <v>0.83458646616541354</v>
          </cell>
          <cell r="E76">
            <v>1.1543624161073827</v>
          </cell>
          <cell r="F76">
            <v>1.1883720930232557</v>
          </cell>
          <cell r="G76">
            <v>1.2727272727272727</v>
          </cell>
        </row>
        <row r="77">
          <cell r="A77">
            <v>35565</v>
          </cell>
          <cell r="B77">
            <v>0.96039603960396036</v>
          </cell>
          <cell r="C77">
            <v>1.2090483619344774</v>
          </cell>
          <cell r="D77">
            <v>0.83834586466165417</v>
          </cell>
          <cell r="E77">
            <v>1.1610738255033557</v>
          </cell>
          <cell r="F77">
            <v>1.1744186046511629</v>
          </cell>
          <cell r="G77">
            <v>1.2840909090909092</v>
          </cell>
        </row>
        <row r="78">
          <cell r="A78">
            <v>35566</v>
          </cell>
          <cell r="B78">
            <v>0.97029702970297027</v>
          </cell>
          <cell r="C78">
            <v>1.1825273010920436</v>
          </cell>
          <cell r="D78">
            <v>0.83834586466165417</v>
          </cell>
          <cell r="E78">
            <v>1.1409395973154361</v>
          </cell>
          <cell r="F78">
            <v>1.1790697674418604</v>
          </cell>
          <cell r="G78">
            <v>1.2840909090909092</v>
          </cell>
        </row>
        <row r="79">
          <cell r="A79">
            <v>35569</v>
          </cell>
          <cell r="B79">
            <v>0.97854785478547857</v>
          </cell>
          <cell r="C79">
            <v>1.204368174726989</v>
          </cell>
          <cell r="D79">
            <v>0.84210526315789469</v>
          </cell>
          <cell r="E79">
            <v>1.1610738255033557</v>
          </cell>
          <cell r="F79">
            <v>1.2186046511627906</v>
          </cell>
          <cell r="G79">
            <v>1.2840909090909092</v>
          </cell>
        </row>
        <row r="80">
          <cell r="A80">
            <v>35570</v>
          </cell>
          <cell r="B80">
            <v>0.98679867986798675</v>
          </cell>
          <cell r="C80">
            <v>1.204368174726989</v>
          </cell>
          <cell r="D80">
            <v>0.83834586466165417</v>
          </cell>
          <cell r="E80">
            <v>1.1677852348993289</v>
          </cell>
          <cell r="F80">
            <v>1.2488372093023257</v>
          </cell>
          <cell r="G80">
            <v>1.2840909090909092</v>
          </cell>
        </row>
        <row r="81">
          <cell r="A81">
            <v>35571</v>
          </cell>
          <cell r="B81">
            <v>0.98514851485148514</v>
          </cell>
          <cell r="C81">
            <v>1.1778471138845554</v>
          </cell>
          <cell r="D81">
            <v>0.84586466165413532</v>
          </cell>
          <cell r="E81">
            <v>1.1409395973154361</v>
          </cell>
          <cell r="F81">
            <v>1.2244186046511627</v>
          </cell>
          <cell r="G81">
            <v>1.2840909090909092</v>
          </cell>
        </row>
        <row r="82">
          <cell r="A82">
            <v>35572</v>
          </cell>
          <cell r="B82">
            <v>1.0148514851485149</v>
          </cell>
          <cell r="C82">
            <v>1.1825273010920436</v>
          </cell>
          <cell r="D82">
            <v>0.84962406015037595</v>
          </cell>
          <cell r="E82">
            <v>1.1342281879194631</v>
          </cell>
          <cell r="F82">
            <v>1.2116279069767442</v>
          </cell>
          <cell r="G82">
            <v>1.3068181818181819</v>
          </cell>
        </row>
        <row r="83">
          <cell r="A83">
            <v>35573</v>
          </cell>
          <cell r="B83">
            <v>1.0066006600660067</v>
          </cell>
          <cell r="C83">
            <v>1.1887675507020281</v>
          </cell>
          <cell r="D83">
            <v>0.8571428571428571</v>
          </cell>
          <cell r="E83">
            <v>1.1677852348993289</v>
          </cell>
          <cell r="F83">
            <v>1.2116279069767442</v>
          </cell>
          <cell r="G83">
            <v>1.2954545454545454</v>
          </cell>
        </row>
        <row r="84">
          <cell r="A84">
            <v>35576</v>
          </cell>
          <cell r="B84">
            <v>1.0066006600660067</v>
          </cell>
          <cell r="C84">
            <v>1.1887675507020281</v>
          </cell>
          <cell r="D84">
            <v>0.8571428571428571</v>
          </cell>
          <cell r="E84">
            <v>1.1677852348993289</v>
          </cell>
          <cell r="F84">
            <v>1.2116279069767442</v>
          </cell>
          <cell r="G84">
            <v>1.2954545454545454</v>
          </cell>
        </row>
        <row r="85">
          <cell r="A85">
            <v>35577</v>
          </cell>
          <cell r="B85">
            <v>1.0066006600660067</v>
          </cell>
          <cell r="C85">
            <v>1.1903276131045242</v>
          </cell>
          <cell r="D85">
            <v>0.8721804511278195</v>
          </cell>
          <cell r="E85">
            <v>1.1543624161073827</v>
          </cell>
          <cell r="F85">
            <v>1.2232558139534884</v>
          </cell>
          <cell r="G85">
            <v>1.3068181818181819</v>
          </cell>
        </row>
        <row r="86">
          <cell r="A86">
            <v>35578</v>
          </cell>
          <cell r="B86">
            <v>1.0066006600660067</v>
          </cell>
          <cell r="C86">
            <v>1.1825273010920436</v>
          </cell>
          <cell r="D86">
            <v>0.88345864661654139</v>
          </cell>
          <cell r="E86">
            <v>1.1342281879194631</v>
          </cell>
          <cell r="F86">
            <v>1.2093023255813953</v>
          </cell>
          <cell r="G86">
            <v>1.3068181818181819</v>
          </cell>
        </row>
        <row r="87">
          <cell r="A87">
            <v>35579</v>
          </cell>
          <cell r="B87">
            <v>1.0297029702970297</v>
          </cell>
          <cell r="C87">
            <v>1.1965678627145087</v>
          </cell>
          <cell r="D87">
            <v>0.86842105263157898</v>
          </cell>
          <cell r="E87">
            <v>1.1543624161073827</v>
          </cell>
          <cell r="F87">
            <v>1.2116279069767442</v>
          </cell>
          <cell r="G87">
            <v>1.3068181818181819</v>
          </cell>
        </row>
        <row r="88">
          <cell r="A88">
            <v>35580</v>
          </cell>
          <cell r="B88">
            <v>1.0462046204620461</v>
          </cell>
          <cell r="C88">
            <v>1.2605304212168487</v>
          </cell>
          <cell r="D88">
            <v>0.89849624060150379</v>
          </cell>
          <cell r="E88">
            <v>1.2214765100671141</v>
          </cell>
          <cell r="F88">
            <v>1.3116279069767443</v>
          </cell>
          <cell r="G88">
            <v>1.3181818181818181</v>
          </cell>
        </row>
        <row r="89">
          <cell r="A89">
            <v>35583</v>
          </cell>
          <cell r="B89">
            <v>1.0511551155115511</v>
          </cell>
          <cell r="C89">
            <v>1.2480499219968799</v>
          </cell>
          <cell r="D89">
            <v>0.90225563909774431</v>
          </cell>
          <cell r="E89">
            <v>1.2483221476510067</v>
          </cell>
          <cell r="F89">
            <v>1.344186046511628</v>
          </cell>
          <cell r="G89">
            <v>1.3068181818181819</v>
          </cell>
        </row>
        <row r="90">
          <cell r="A90">
            <v>35584</v>
          </cell>
          <cell r="B90">
            <v>1.056105610561056</v>
          </cell>
          <cell r="C90">
            <v>1.2371294851794072</v>
          </cell>
          <cell r="D90">
            <v>0.92481203007518797</v>
          </cell>
          <cell r="E90">
            <v>1.2684563758389262</v>
          </cell>
          <cell r="F90">
            <v>1.35</v>
          </cell>
          <cell r="G90">
            <v>1.3068181818181819</v>
          </cell>
        </row>
        <row r="91">
          <cell r="A91">
            <v>35585</v>
          </cell>
          <cell r="B91">
            <v>1.0833333333333333</v>
          </cell>
          <cell r="C91">
            <v>1.2605304212168487</v>
          </cell>
          <cell r="D91">
            <v>0.9135338345864662</v>
          </cell>
          <cell r="E91">
            <v>1.2483221476510067</v>
          </cell>
          <cell r="F91">
            <v>1.3779069767441861</v>
          </cell>
          <cell r="G91">
            <v>1.3181818181818181</v>
          </cell>
        </row>
        <row r="92">
          <cell r="A92">
            <v>35586</v>
          </cell>
          <cell r="B92">
            <v>1.0891089108910892</v>
          </cell>
          <cell r="C92">
            <v>1.2854914196567864</v>
          </cell>
          <cell r="D92">
            <v>0.90977443609022557</v>
          </cell>
          <cell r="E92">
            <v>1.2550335570469799</v>
          </cell>
          <cell r="F92">
            <v>1.3395348837209302</v>
          </cell>
          <cell r="G92">
            <v>1.3068181818181819</v>
          </cell>
        </row>
        <row r="93">
          <cell r="A93">
            <v>35587</v>
          </cell>
          <cell r="B93">
            <v>1.0726072607260726</v>
          </cell>
          <cell r="C93">
            <v>1.313572542901716</v>
          </cell>
          <cell r="D93">
            <v>0.93233082706766912</v>
          </cell>
          <cell r="E93">
            <v>1.2416107382550337</v>
          </cell>
          <cell r="F93">
            <v>1.3162790697674418</v>
          </cell>
          <cell r="G93">
            <v>1.3068181818181819</v>
          </cell>
        </row>
        <row r="94">
          <cell r="A94">
            <v>35590</v>
          </cell>
          <cell r="B94">
            <v>1.0874587458745875</v>
          </cell>
          <cell r="C94">
            <v>1.3494539781591264</v>
          </cell>
          <cell r="D94">
            <v>0.94360902255639101</v>
          </cell>
          <cell r="E94">
            <v>1.2818791946308725</v>
          </cell>
          <cell r="F94">
            <v>1.3523255813953488</v>
          </cell>
          <cell r="G94">
            <v>1.3068181818181819</v>
          </cell>
        </row>
        <row r="95">
          <cell r="A95">
            <v>35591</v>
          </cell>
          <cell r="B95">
            <v>1.0808580858085808</v>
          </cell>
          <cell r="C95">
            <v>1.3416536661466458</v>
          </cell>
          <cell r="D95">
            <v>0.96240601503759393</v>
          </cell>
          <cell r="E95">
            <v>1.3020134228187918</v>
          </cell>
          <cell r="F95">
            <v>1.3383720930232559</v>
          </cell>
          <cell r="G95">
            <v>1.3295454545454546</v>
          </cell>
        </row>
        <row r="96">
          <cell r="A96">
            <v>35592</v>
          </cell>
          <cell r="B96">
            <v>1.1105610561056105</v>
          </cell>
          <cell r="C96">
            <v>1.3541341653666146</v>
          </cell>
          <cell r="D96">
            <v>0.98496240601503759</v>
          </cell>
          <cell r="E96">
            <v>1.2953020134228188</v>
          </cell>
          <cell r="F96">
            <v>1.3395348837209302</v>
          </cell>
          <cell r="G96">
            <v>1.3181818181818181</v>
          </cell>
        </row>
        <row r="97">
          <cell r="A97">
            <v>35593</v>
          </cell>
          <cell r="B97">
            <v>1.1468646864686469</v>
          </cell>
          <cell r="C97">
            <v>1.3884555382215289</v>
          </cell>
          <cell r="D97">
            <v>0.96992481203007519</v>
          </cell>
          <cell r="E97">
            <v>1.2818791946308725</v>
          </cell>
          <cell r="F97">
            <v>1.3209302325581396</v>
          </cell>
          <cell r="G97">
            <v>1.3181818181818181</v>
          </cell>
        </row>
        <row r="98">
          <cell r="A98">
            <v>35594</v>
          </cell>
          <cell r="B98">
            <v>1.1534653465346534</v>
          </cell>
          <cell r="C98">
            <v>1.4071762870514821</v>
          </cell>
          <cell r="D98">
            <v>0.97744360902255634</v>
          </cell>
          <cell r="E98">
            <v>1.3020134228187918</v>
          </cell>
          <cell r="F98">
            <v>1.3186046511627907</v>
          </cell>
          <cell r="G98">
            <v>1.3181818181818181</v>
          </cell>
        </row>
        <row r="99">
          <cell r="A99">
            <v>35597</v>
          </cell>
          <cell r="B99">
            <v>1.136138613861386</v>
          </cell>
          <cell r="C99">
            <v>1.3666146645865835</v>
          </cell>
          <cell r="D99">
            <v>0.96240601503759393</v>
          </cell>
          <cell r="E99">
            <v>1.2751677852348993</v>
          </cell>
          <cell r="F99">
            <v>1.2872093023255815</v>
          </cell>
          <cell r="G99">
            <v>1.3181818181818181</v>
          </cell>
        </row>
        <row r="100">
          <cell r="A100">
            <v>35598</v>
          </cell>
          <cell r="B100">
            <v>1.1303630363036303</v>
          </cell>
          <cell r="C100">
            <v>1.3650546021840875</v>
          </cell>
          <cell r="D100">
            <v>0.93984962406015038</v>
          </cell>
          <cell r="E100">
            <v>1.2818791946308725</v>
          </cell>
          <cell r="F100">
            <v>1.286046511627907</v>
          </cell>
          <cell r="G100">
            <v>1.3181818181818181</v>
          </cell>
        </row>
        <row r="101">
          <cell r="A101">
            <v>35599</v>
          </cell>
          <cell r="B101">
            <v>1.0973597359735974</v>
          </cell>
          <cell r="C101">
            <v>1.3338533541341653</v>
          </cell>
          <cell r="D101">
            <v>0.94360902255639101</v>
          </cell>
          <cell r="E101">
            <v>1.2751677852348993</v>
          </cell>
          <cell r="F101">
            <v>1.2790697674418605</v>
          </cell>
          <cell r="G101">
            <v>1.3181818181818181</v>
          </cell>
        </row>
        <row r="102">
          <cell r="A102">
            <v>35600</v>
          </cell>
          <cell r="B102">
            <v>1.1171617161716172</v>
          </cell>
          <cell r="C102">
            <v>1.3634945397815912</v>
          </cell>
          <cell r="D102">
            <v>0.97744360902255634</v>
          </cell>
          <cell r="E102">
            <v>1.2885906040268456</v>
          </cell>
          <cell r="F102">
            <v>1.3813953488372093</v>
          </cell>
          <cell r="G102">
            <v>1.3295454545454546</v>
          </cell>
        </row>
        <row r="103">
          <cell r="A103">
            <v>35601</v>
          </cell>
          <cell r="B103">
            <v>1.1320132013201321</v>
          </cell>
          <cell r="C103">
            <v>1.3494539781591264</v>
          </cell>
          <cell r="D103">
            <v>0.98496240601503759</v>
          </cell>
          <cell r="E103">
            <v>1.2751677852348993</v>
          </cell>
          <cell r="F103">
            <v>1.3651162790697675</v>
          </cell>
          <cell r="G103">
            <v>1.3295454545454546</v>
          </cell>
        </row>
        <row r="104">
          <cell r="A104">
            <v>35604</v>
          </cell>
          <cell r="B104">
            <v>1.1287128712871286</v>
          </cell>
          <cell r="C104">
            <v>1.3354134165366616</v>
          </cell>
          <cell r="D104">
            <v>0.97368421052631582</v>
          </cell>
          <cell r="E104">
            <v>1.2550335570469799</v>
          </cell>
          <cell r="F104">
            <v>1.3616279069767443</v>
          </cell>
          <cell r="G104">
            <v>1.3295454545454546</v>
          </cell>
        </row>
        <row r="105">
          <cell r="A105">
            <v>35605</v>
          </cell>
          <cell r="B105">
            <v>0.88118811881188119</v>
          </cell>
          <cell r="C105">
            <v>1.3494539781591264</v>
          </cell>
          <cell r="D105">
            <v>0.94736842105263153</v>
          </cell>
          <cell r="E105">
            <v>1.2483221476510067</v>
          </cell>
          <cell r="F105">
            <v>1.3651162790697675</v>
          </cell>
          <cell r="G105">
            <v>1.3295454545454546</v>
          </cell>
        </row>
        <row r="106">
          <cell r="A106">
            <v>35606</v>
          </cell>
          <cell r="B106">
            <v>0.92409240924092406</v>
          </cell>
          <cell r="C106">
            <v>1.3361934477379096</v>
          </cell>
          <cell r="D106">
            <v>0.94360902255639101</v>
          </cell>
          <cell r="E106">
            <v>1.2449664429530201</v>
          </cell>
          <cell r="F106">
            <v>1.3813953488372093</v>
          </cell>
          <cell r="G106">
            <v>1.3295454545454546</v>
          </cell>
        </row>
        <row r="107">
          <cell r="A107">
            <v>35607</v>
          </cell>
          <cell r="B107">
            <v>0.91171617161716167</v>
          </cell>
          <cell r="C107">
            <v>1.3299531981279251</v>
          </cell>
          <cell r="D107">
            <v>0.93609022556390975</v>
          </cell>
          <cell r="E107">
            <v>1.2315436241610738</v>
          </cell>
          <cell r="F107">
            <v>1.3744186046511628</v>
          </cell>
          <cell r="G107">
            <v>1.3238636363636365</v>
          </cell>
        </row>
        <row r="108">
          <cell r="A108">
            <v>35608</v>
          </cell>
          <cell r="B108">
            <v>0.83003300330033003</v>
          </cell>
          <cell r="C108">
            <v>1.2971918876755071</v>
          </cell>
          <cell r="D108">
            <v>0.93984962406015038</v>
          </cell>
          <cell r="E108">
            <v>1.2281879194630871</v>
          </cell>
          <cell r="F108">
            <v>1.3581395348837209</v>
          </cell>
          <cell r="G108">
            <v>1.3295454545454546</v>
          </cell>
        </row>
        <row r="109">
          <cell r="A109">
            <v>35611</v>
          </cell>
          <cell r="B109">
            <v>0.84323432343234328</v>
          </cell>
          <cell r="C109">
            <v>1.2776911076443058</v>
          </cell>
          <cell r="D109">
            <v>0.91165413533834583</v>
          </cell>
          <cell r="E109">
            <v>1.2416107382550337</v>
          </cell>
          <cell r="F109">
            <v>1.3348837209302327</v>
          </cell>
          <cell r="G109">
            <v>1.3295454545454546</v>
          </cell>
        </row>
        <row r="110">
          <cell r="A110">
            <v>35612</v>
          </cell>
          <cell r="B110">
            <v>0.84818481848184824</v>
          </cell>
          <cell r="C110">
            <v>1.2761310452418098</v>
          </cell>
          <cell r="D110">
            <v>0.9285714285714286</v>
          </cell>
          <cell r="E110">
            <v>1.238255033557047</v>
          </cell>
          <cell r="F110">
            <v>1.3837209302325582</v>
          </cell>
          <cell r="G110">
            <v>1.3295454545454546</v>
          </cell>
        </row>
        <row r="111">
          <cell r="A111">
            <v>35613</v>
          </cell>
          <cell r="B111">
            <v>0.8366336633663366</v>
          </cell>
          <cell r="C111">
            <v>1.2901716068642746</v>
          </cell>
          <cell r="D111">
            <v>0.9285714285714286</v>
          </cell>
          <cell r="E111">
            <v>1.2449664429530201</v>
          </cell>
          <cell r="F111">
            <v>1.4116279069767441</v>
          </cell>
          <cell r="G111">
            <v>1.3181818181818181</v>
          </cell>
        </row>
        <row r="112">
          <cell r="A112">
            <v>35614</v>
          </cell>
          <cell r="B112">
            <v>0.84570957095709576</v>
          </cell>
          <cell r="C112">
            <v>1.3151326053042123</v>
          </cell>
          <cell r="D112">
            <v>0.93421052631578949</v>
          </cell>
          <cell r="E112">
            <v>1.2348993288590604</v>
          </cell>
          <cell r="F112">
            <v>1.4290697674418604</v>
          </cell>
          <cell r="G112">
            <v>1.3125</v>
          </cell>
        </row>
        <row r="113">
          <cell r="A113">
            <v>35615</v>
          </cell>
          <cell r="B113">
            <v>0.84570957095709576</v>
          </cell>
          <cell r="C113">
            <v>1.3151326053042123</v>
          </cell>
          <cell r="D113">
            <v>0.93421052631578949</v>
          </cell>
          <cell r="E113">
            <v>1.2348993288590604</v>
          </cell>
          <cell r="F113">
            <v>1.4290697674418604</v>
          </cell>
          <cell r="G113">
            <v>1.3125</v>
          </cell>
        </row>
        <row r="114">
          <cell r="A114">
            <v>35618</v>
          </cell>
          <cell r="B114">
            <v>0.84158415841584155</v>
          </cell>
          <cell r="C114">
            <v>1.3018720748829953</v>
          </cell>
          <cell r="D114">
            <v>0.93984962406015038</v>
          </cell>
          <cell r="E114">
            <v>1.238255033557047</v>
          </cell>
          <cell r="F114">
            <v>1.4162790697674419</v>
          </cell>
          <cell r="G114">
            <v>1.3181818181818181</v>
          </cell>
        </row>
        <row r="115">
          <cell r="A115">
            <v>35619</v>
          </cell>
          <cell r="B115">
            <v>0.85808580858085803</v>
          </cell>
          <cell r="C115">
            <v>1.3112324492979719</v>
          </cell>
          <cell r="D115">
            <v>0.9285714285714286</v>
          </cell>
          <cell r="E115">
            <v>1.2315436241610738</v>
          </cell>
          <cell r="F115">
            <v>1.4953488372093022</v>
          </cell>
          <cell r="G115">
            <v>1.3181818181818181</v>
          </cell>
        </row>
        <row r="116">
          <cell r="A116">
            <v>35620</v>
          </cell>
          <cell r="B116">
            <v>0.86303630363036299</v>
          </cell>
          <cell r="C116">
            <v>1.2893915756630265</v>
          </cell>
          <cell r="D116">
            <v>0.90977443609022557</v>
          </cell>
          <cell r="E116">
            <v>1.2348993288590604</v>
          </cell>
          <cell r="F116">
            <v>1.4441860465116279</v>
          </cell>
          <cell r="G116">
            <v>1.3295454545454546</v>
          </cell>
        </row>
        <row r="117">
          <cell r="A117">
            <v>35621</v>
          </cell>
          <cell r="B117">
            <v>0.86138613861386137</v>
          </cell>
          <cell r="C117">
            <v>1.2901716068642746</v>
          </cell>
          <cell r="D117">
            <v>0.91917293233082709</v>
          </cell>
          <cell r="E117">
            <v>1.261744966442953</v>
          </cell>
          <cell r="F117">
            <v>1.4744186046511627</v>
          </cell>
          <cell r="G117">
            <v>1.3295454545454546</v>
          </cell>
        </row>
        <row r="118">
          <cell r="A118">
            <v>35622</v>
          </cell>
          <cell r="B118">
            <v>0.83333333333333337</v>
          </cell>
          <cell r="C118">
            <v>1.3096723868954758</v>
          </cell>
          <cell r="D118">
            <v>0.9135338345864662</v>
          </cell>
          <cell r="E118">
            <v>1.2751677852348993</v>
          </cell>
          <cell r="F118">
            <v>1.5069767441860464</v>
          </cell>
          <cell r="G118">
            <v>1.3181818181818181</v>
          </cell>
        </row>
        <row r="119">
          <cell r="A119">
            <v>35625</v>
          </cell>
          <cell r="B119">
            <v>0.84818481848184824</v>
          </cell>
          <cell r="C119">
            <v>1.3010920436817472</v>
          </cell>
          <cell r="D119">
            <v>0.92293233082706772</v>
          </cell>
          <cell r="E119">
            <v>1.261744966442953</v>
          </cell>
          <cell r="F119">
            <v>1.4697674418604652</v>
          </cell>
          <cell r="G119">
            <v>1.3295454545454546</v>
          </cell>
        </row>
        <row r="120">
          <cell r="A120">
            <v>35626</v>
          </cell>
          <cell r="B120">
            <v>0.85231023102310233</v>
          </cell>
          <cell r="C120">
            <v>1.3042121684867394</v>
          </cell>
          <cell r="D120">
            <v>0.93045112781954886</v>
          </cell>
          <cell r="E120">
            <v>1.2651006711409396</v>
          </cell>
          <cell r="F120">
            <v>1.5139534883720931</v>
          </cell>
          <cell r="G120">
            <v>1.3181818181818181</v>
          </cell>
        </row>
        <row r="121">
          <cell r="A121">
            <v>35627</v>
          </cell>
          <cell r="B121">
            <v>0.84983498349834985</v>
          </cell>
          <cell r="C121">
            <v>1.3424336973478939</v>
          </cell>
          <cell r="D121">
            <v>0.9135338345864662</v>
          </cell>
          <cell r="E121">
            <v>1.2885906040268456</v>
          </cell>
          <cell r="F121">
            <v>1.569767441860465</v>
          </cell>
          <cell r="G121">
            <v>1.2954545454545454</v>
          </cell>
        </row>
        <row r="122">
          <cell r="A122">
            <v>35628</v>
          </cell>
          <cell r="B122">
            <v>0.85313531353135319</v>
          </cell>
          <cell r="C122">
            <v>1.3338533541341653</v>
          </cell>
          <cell r="D122">
            <v>0.91541353383458646</v>
          </cell>
          <cell r="E122">
            <v>1.2684563758389262</v>
          </cell>
          <cell r="F122">
            <v>1.6069767441860465</v>
          </cell>
          <cell r="G122">
            <v>1.3068181818181819</v>
          </cell>
        </row>
        <row r="123">
          <cell r="A123">
            <v>35629</v>
          </cell>
          <cell r="B123">
            <v>0.84653465346534651</v>
          </cell>
          <cell r="C123">
            <v>1.3018720748829953</v>
          </cell>
          <cell r="D123">
            <v>0.91541353383458646</v>
          </cell>
          <cell r="E123">
            <v>1.2583892617449663</v>
          </cell>
          <cell r="F123">
            <v>1.6046511627906976</v>
          </cell>
          <cell r="G123">
            <v>1.2954545454545454</v>
          </cell>
        </row>
        <row r="124">
          <cell r="A124">
            <v>35632</v>
          </cell>
          <cell r="B124">
            <v>0.83993399339933994</v>
          </cell>
          <cell r="C124">
            <v>1.3252730109204369</v>
          </cell>
          <cell r="D124">
            <v>0.90037593984962405</v>
          </cell>
          <cell r="E124">
            <v>1.2483221476510067</v>
          </cell>
          <cell r="F124">
            <v>1.5488372093023255</v>
          </cell>
          <cell r="G124">
            <v>1.3125</v>
          </cell>
        </row>
        <row r="125">
          <cell r="A125">
            <v>35633</v>
          </cell>
          <cell r="B125">
            <v>0.84488448844884489</v>
          </cell>
          <cell r="C125">
            <v>1.3400936037441498</v>
          </cell>
          <cell r="D125">
            <v>0.90413533834586468</v>
          </cell>
          <cell r="E125">
            <v>1.2751677852348993</v>
          </cell>
          <cell r="F125">
            <v>1.5813953488372092</v>
          </cell>
          <cell r="G125">
            <v>1.3238636363636365</v>
          </cell>
        </row>
        <row r="126">
          <cell r="A126">
            <v>35634</v>
          </cell>
          <cell r="B126">
            <v>0.84158415841584155</v>
          </cell>
          <cell r="C126">
            <v>1.3837753510140405</v>
          </cell>
          <cell r="D126">
            <v>0.90601503759398494</v>
          </cell>
          <cell r="E126">
            <v>1.2483221476510067</v>
          </cell>
          <cell r="F126">
            <v>1.5930232558139534</v>
          </cell>
          <cell r="G126">
            <v>1.3238636363636365</v>
          </cell>
        </row>
        <row r="127">
          <cell r="A127">
            <v>35635</v>
          </cell>
          <cell r="B127">
            <v>0.86551155115511547</v>
          </cell>
          <cell r="C127">
            <v>1.43603744149766</v>
          </cell>
          <cell r="D127">
            <v>0.95676691729323304</v>
          </cell>
          <cell r="E127">
            <v>1.3154362416107384</v>
          </cell>
          <cell r="F127">
            <v>1.6279069767441861</v>
          </cell>
          <cell r="G127">
            <v>1.3238636363636365</v>
          </cell>
        </row>
        <row r="128">
          <cell r="A128">
            <v>35636</v>
          </cell>
          <cell r="B128">
            <v>0.86963696369636967</v>
          </cell>
          <cell r="C128">
            <v>1.4056162246489861</v>
          </cell>
          <cell r="D128">
            <v>0.9285714285714286</v>
          </cell>
          <cell r="E128">
            <v>1.2651006711409396</v>
          </cell>
          <cell r="F128">
            <v>1.5837209302325581</v>
          </cell>
          <cell r="G128">
            <v>1.3238636363636365</v>
          </cell>
        </row>
        <row r="129">
          <cell r="A129">
            <v>35639</v>
          </cell>
          <cell r="B129">
            <v>0.85643564356435642</v>
          </cell>
          <cell r="C129">
            <v>1.3759750390015602</v>
          </cell>
          <cell r="D129">
            <v>0.9285714285714286</v>
          </cell>
          <cell r="E129">
            <v>1.2416107382550337</v>
          </cell>
          <cell r="F129">
            <v>1.5418604651162791</v>
          </cell>
          <cell r="G129">
            <v>1.3181818181818181</v>
          </cell>
        </row>
        <row r="130">
          <cell r="A130">
            <v>35640</v>
          </cell>
          <cell r="B130">
            <v>0.8729372937293729</v>
          </cell>
          <cell r="C130">
            <v>1.4149765990639624</v>
          </cell>
          <cell r="D130">
            <v>0.94360902255639101</v>
          </cell>
          <cell r="E130">
            <v>1.2550335570469799</v>
          </cell>
          <cell r="F130">
            <v>1.5441860465116279</v>
          </cell>
          <cell r="G130">
            <v>1.3125</v>
          </cell>
        </row>
        <row r="131">
          <cell r="A131">
            <v>35641</v>
          </cell>
          <cell r="B131">
            <v>0.9455445544554455</v>
          </cell>
          <cell r="C131">
            <v>1.4266770670826834</v>
          </cell>
          <cell r="D131">
            <v>0.96804511278195493</v>
          </cell>
          <cell r="E131">
            <v>1.2751677852348993</v>
          </cell>
          <cell r="F131">
            <v>1.5767441860465117</v>
          </cell>
          <cell r="G131">
            <v>1.3181818181818181</v>
          </cell>
        </row>
        <row r="132">
          <cell r="A132">
            <v>35642</v>
          </cell>
          <cell r="B132">
            <v>0.93399339933993397</v>
          </cell>
          <cell r="C132">
            <v>1.421996879875195</v>
          </cell>
          <cell r="D132">
            <v>0.97368421052631582</v>
          </cell>
          <cell r="E132">
            <v>1.3087248322147651</v>
          </cell>
          <cell r="F132">
            <v>1.5639534883720929</v>
          </cell>
          <cell r="G132">
            <v>1.3181818181818181</v>
          </cell>
        </row>
        <row r="133">
          <cell r="A133">
            <v>35643</v>
          </cell>
          <cell r="B133">
            <v>0.8910891089108911</v>
          </cell>
          <cell r="C133">
            <v>1.422776911076443</v>
          </cell>
          <cell r="D133">
            <v>0.96240601503759393</v>
          </cell>
          <cell r="E133">
            <v>1.2852348993288591</v>
          </cell>
          <cell r="F133">
            <v>1.5488372093023255</v>
          </cell>
          <cell r="G133">
            <v>1.3181818181818181</v>
          </cell>
        </row>
        <row r="134">
          <cell r="A134">
            <v>35646</v>
          </cell>
          <cell r="B134">
            <v>0.90594059405940597</v>
          </cell>
          <cell r="C134">
            <v>1.4602184087363494</v>
          </cell>
          <cell r="D134">
            <v>0.99436090225563911</v>
          </cell>
          <cell r="E134">
            <v>1.3087248322147651</v>
          </cell>
          <cell r="F134">
            <v>1.5965116279069766</v>
          </cell>
          <cell r="G134">
            <v>1.3181818181818181</v>
          </cell>
        </row>
        <row r="135">
          <cell r="A135">
            <v>35647</v>
          </cell>
          <cell r="B135">
            <v>0.8952145214521452</v>
          </cell>
          <cell r="C135">
            <v>1.282371294851794</v>
          </cell>
          <cell r="D135">
            <v>0.97556390977443608</v>
          </cell>
          <cell r="E135">
            <v>1.2885906040268456</v>
          </cell>
          <cell r="F135">
            <v>1.527906976744186</v>
          </cell>
          <cell r="G135">
            <v>1.3238636363636365</v>
          </cell>
        </row>
        <row r="136">
          <cell r="A136">
            <v>35648</v>
          </cell>
          <cell r="B136">
            <v>0.8910891089108911</v>
          </cell>
          <cell r="C136">
            <v>1.2730109204368174</v>
          </cell>
          <cell r="D136">
            <v>0.94736842105263153</v>
          </cell>
          <cell r="E136">
            <v>1.3154362416107384</v>
          </cell>
          <cell r="F136">
            <v>1.4744186046511627</v>
          </cell>
          <cell r="G136">
            <v>1.3125</v>
          </cell>
        </row>
        <row r="137">
          <cell r="A137">
            <v>35649</v>
          </cell>
          <cell r="B137">
            <v>0.88778877887788776</v>
          </cell>
          <cell r="C137">
            <v>1.2074882995319813</v>
          </cell>
          <cell r="D137">
            <v>0.91165413533834583</v>
          </cell>
          <cell r="E137">
            <v>1.2751677852348993</v>
          </cell>
          <cell r="F137">
            <v>1.3767441860465117</v>
          </cell>
          <cell r="G137">
            <v>1.2954545454545454</v>
          </cell>
        </row>
        <row r="138">
          <cell r="A138">
            <v>35650</v>
          </cell>
          <cell r="B138">
            <v>0.91089108910891092</v>
          </cell>
          <cell r="C138">
            <v>1.218408736349454</v>
          </cell>
          <cell r="D138">
            <v>0.91729323308270672</v>
          </cell>
          <cell r="E138">
            <v>1.2583892617449663</v>
          </cell>
          <cell r="F138">
            <v>1.3767441860465117</v>
          </cell>
          <cell r="G138">
            <v>1.3125</v>
          </cell>
        </row>
        <row r="139">
          <cell r="A139">
            <v>35653</v>
          </cell>
          <cell r="B139">
            <v>0.91749174917491749</v>
          </cell>
          <cell r="C139">
            <v>1.2199687987519501</v>
          </cell>
          <cell r="D139">
            <v>0.9135338345864662</v>
          </cell>
          <cell r="E139">
            <v>1.2818791946308725</v>
          </cell>
          <cell r="F139">
            <v>1.3813953488372093</v>
          </cell>
          <cell r="G139">
            <v>1.3295454545454546</v>
          </cell>
        </row>
        <row r="140">
          <cell r="A140">
            <v>35654</v>
          </cell>
          <cell r="B140">
            <v>0.91254125412541254</v>
          </cell>
          <cell r="C140">
            <v>1.217628705148206</v>
          </cell>
          <cell r="D140">
            <v>0.90789473684210531</v>
          </cell>
          <cell r="E140">
            <v>1.2550335570469799</v>
          </cell>
          <cell r="F140">
            <v>1.386046511627907</v>
          </cell>
          <cell r="G140">
            <v>1.3295454545454546</v>
          </cell>
        </row>
        <row r="141">
          <cell r="A141">
            <v>35655</v>
          </cell>
          <cell r="B141">
            <v>0.93399339933993397</v>
          </cell>
          <cell r="C141">
            <v>1.2012480499219969</v>
          </cell>
          <cell r="D141">
            <v>0.9135338345864662</v>
          </cell>
          <cell r="E141">
            <v>1.2248322147651007</v>
          </cell>
          <cell r="F141">
            <v>1.3558139534883722</v>
          </cell>
          <cell r="G141">
            <v>1.3295454545454546</v>
          </cell>
        </row>
        <row r="142">
          <cell r="A142">
            <v>35656</v>
          </cell>
          <cell r="B142">
            <v>0.95132013201320131</v>
          </cell>
          <cell r="C142">
            <v>1.2082683307332294</v>
          </cell>
          <cell r="D142">
            <v>0.9135338345864662</v>
          </cell>
          <cell r="E142">
            <v>1.2483221476510067</v>
          </cell>
          <cell r="F142">
            <v>1.3953488372093024</v>
          </cell>
          <cell r="G142">
            <v>1.3295454545454546</v>
          </cell>
        </row>
        <row r="143">
          <cell r="A143">
            <v>35657</v>
          </cell>
          <cell r="B143">
            <v>0.94884488448844884</v>
          </cell>
          <cell r="C143">
            <v>1.1950078003120126</v>
          </cell>
          <cell r="D143">
            <v>0.90977443609022557</v>
          </cell>
          <cell r="E143">
            <v>1.2684563758389262</v>
          </cell>
          <cell r="F143">
            <v>1.4</v>
          </cell>
          <cell r="G143">
            <v>1.3295454545454546</v>
          </cell>
        </row>
        <row r="144">
          <cell r="A144">
            <v>35660</v>
          </cell>
          <cell r="B144">
            <v>0.9356435643564357</v>
          </cell>
          <cell r="C144">
            <v>1.1895475819032761</v>
          </cell>
          <cell r="D144">
            <v>0.90601503759398494</v>
          </cell>
          <cell r="E144">
            <v>1.2651006711409396</v>
          </cell>
          <cell r="F144">
            <v>1.413953488372093</v>
          </cell>
          <cell r="G144">
            <v>1.3352272727272727</v>
          </cell>
        </row>
        <row r="145">
          <cell r="A145">
            <v>35661</v>
          </cell>
          <cell r="B145">
            <v>0.94224422442244227</v>
          </cell>
          <cell r="C145">
            <v>1.1770670826833074</v>
          </cell>
          <cell r="D145">
            <v>0.92481203007518797</v>
          </cell>
          <cell r="E145">
            <v>1.2986577181208054</v>
          </cell>
          <cell r="F145">
            <v>1.4604651162790698</v>
          </cell>
          <cell r="G145">
            <v>1.3522727272727273</v>
          </cell>
        </row>
        <row r="146">
          <cell r="A146">
            <v>35662</v>
          </cell>
          <cell r="B146">
            <v>0.95049504950495045</v>
          </cell>
          <cell r="C146">
            <v>1.173166926677067</v>
          </cell>
          <cell r="D146">
            <v>0.9135338345864662</v>
          </cell>
          <cell r="E146">
            <v>1.2986577181208054</v>
          </cell>
          <cell r="F146">
            <v>1.4767441860465116</v>
          </cell>
          <cell r="G146">
            <v>1.3522727272727273</v>
          </cell>
        </row>
        <row r="147">
          <cell r="A147">
            <v>35663</v>
          </cell>
          <cell r="B147">
            <v>0.92904290429042902</v>
          </cell>
          <cell r="C147">
            <v>1.1669266770670828</v>
          </cell>
          <cell r="D147">
            <v>0.91165413533834583</v>
          </cell>
          <cell r="E147">
            <v>1.2684563758389262</v>
          </cell>
          <cell r="F147">
            <v>1.4279069767441861</v>
          </cell>
          <cell r="G147">
            <v>1.3522727272727273</v>
          </cell>
        </row>
        <row r="148">
          <cell r="A148">
            <v>35664</v>
          </cell>
          <cell r="B148">
            <v>0.93894389438943893</v>
          </cell>
          <cell r="C148">
            <v>1.1653666146645867</v>
          </cell>
          <cell r="D148">
            <v>0.93984962406015038</v>
          </cell>
          <cell r="E148">
            <v>1.261744966442953</v>
          </cell>
          <cell r="F148">
            <v>1.430232558139535</v>
          </cell>
          <cell r="G148">
            <v>1.3522727272727273</v>
          </cell>
        </row>
        <row r="149">
          <cell r="A149">
            <v>35667</v>
          </cell>
          <cell r="B149">
            <v>0.91584158415841588</v>
          </cell>
          <cell r="C149">
            <v>1.187207488299532</v>
          </cell>
          <cell r="D149">
            <v>0.94548872180451127</v>
          </cell>
          <cell r="E149">
            <v>1.2919463087248322</v>
          </cell>
          <cell r="F149">
            <v>1.4244186046511629</v>
          </cell>
          <cell r="G149">
            <v>1.3465909090909092</v>
          </cell>
        </row>
        <row r="150">
          <cell r="A150">
            <v>35668</v>
          </cell>
          <cell r="B150">
            <v>0.92409240924092406</v>
          </cell>
          <cell r="C150">
            <v>1.1981279251170047</v>
          </cell>
          <cell r="D150">
            <v>0.92669172932330823</v>
          </cell>
          <cell r="E150">
            <v>1.2953020134228188</v>
          </cell>
          <cell r="F150">
            <v>1.4162790697674419</v>
          </cell>
          <cell r="G150">
            <v>1.3465909090909092</v>
          </cell>
        </row>
        <row r="151">
          <cell r="A151">
            <v>35669</v>
          </cell>
          <cell r="B151">
            <v>0.91254125412541254</v>
          </cell>
          <cell r="C151">
            <v>1.2098283931357254</v>
          </cell>
          <cell r="D151">
            <v>0.94736842105263153</v>
          </cell>
          <cell r="E151">
            <v>1.2818791946308725</v>
          </cell>
          <cell r="F151">
            <v>1.3930232558139535</v>
          </cell>
          <cell r="G151">
            <v>1.3522727272727273</v>
          </cell>
        </row>
        <row r="152">
          <cell r="A152">
            <v>35670</v>
          </cell>
          <cell r="B152">
            <v>0.9092409240924092</v>
          </cell>
          <cell r="C152">
            <v>1.1989079563182528</v>
          </cell>
          <cell r="D152">
            <v>0.95864661654135341</v>
          </cell>
          <cell r="E152">
            <v>1.2785234899328859</v>
          </cell>
          <cell r="F152">
            <v>1.3651162790697675</v>
          </cell>
          <cell r="G152">
            <v>1.3522727272727273</v>
          </cell>
        </row>
        <row r="153">
          <cell r="A153">
            <v>35671</v>
          </cell>
          <cell r="B153">
            <v>0.90264026402640263</v>
          </cell>
          <cell r="C153">
            <v>1.1911076443057722</v>
          </cell>
          <cell r="D153">
            <v>0.95676691729323304</v>
          </cell>
          <cell r="E153">
            <v>1.2651006711409396</v>
          </cell>
          <cell r="F153">
            <v>1.3604651162790697</v>
          </cell>
          <cell r="G153">
            <v>1.3522727272727273</v>
          </cell>
        </row>
        <row r="154">
          <cell r="A154">
            <v>35674</v>
          </cell>
          <cell r="B154">
            <v>0.90264026402640263</v>
          </cell>
          <cell r="C154">
            <v>1.1911076443057722</v>
          </cell>
          <cell r="D154">
            <v>0.95676691729323304</v>
          </cell>
          <cell r="E154">
            <v>1.2651006711409396</v>
          </cell>
          <cell r="F154">
            <v>1.3604651162790697</v>
          </cell>
          <cell r="G154">
            <v>1.3522727272727273</v>
          </cell>
        </row>
        <row r="155">
          <cell r="A155">
            <v>35675</v>
          </cell>
          <cell r="B155">
            <v>0.94801980198019797</v>
          </cell>
          <cell r="C155">
            <v>1.2207488299531981</v>
          </cell>
          <cell r="D155">
            <v>0.97368421052631582</v>
          </cell>
          <cell r="E155">
            <v>1.2516778523489933</v>
          </cell>
          <cell r="F155">
            <v>1.3813953488372093</v>
          </cell>
          <cell r="G155">
            <v>1.3579545454545454</v>
          </cell>
        </row>
        <row r="156">
          <cell r="A156">
            <v>35676</v>
          </cell>
          <cell r="B156">
            <v>0.95049504950495045</v>
          </cell>
          <cell r="C156">
            <v>1.2394695787831513</v>
          </cell>
          <cell r="D156">
            <v>0.98872180451127822</v>
          </cell>
          <cell r="E156">
            <v>1.3087248322147651</v>
          </cell>
          <cell r="F156">
            <v>1.4075581395348837</v>
          </cell>
          <cell r="G156">
            <v>1.3636363636363635</v>
          </cell>
        </row>
        <row r="157">
          <cell r="A157">
            <v>35677</v>
          </cell>
          <cell r="B157">
            <v>0.94059405940594054</v>
          </cell>
          <cell r="C157">
            <v>1.2464898595943839</v>
          </cell>
          <cell r="D157">
            <v>0.97744360902255634</v>
          </cell>
          <cell r="E157">
            <v>1.2885906040268456</v>
          </cell>
          <cell r="F157">
            <v>1.4046511627906977</v>
          </cell>
          <cell r="G157">
            <v>1.3522727272727273</v>
          </cell>
        </row>
        <row r="158">
          <cell r="A158">
            <v>35678</v>
          </cell>
          <cell r="B158">
            <v>0.94884488448844884</v>
          </cell>
          <cell r="C158">
            <v>1.2636505460218408</v>
          </cell>
          <cell r="D158">
            <v>0.99812030075187974</v>
          </cell>
          <cell r="E158">
            <v>1.3120805369127517</v>
          </cell>
          <cell r="F158">
            <v>1.4395348837209303</v>
          </cell>
          <cell r="G158">
            <v>1.3522727272727273</v>
          </cell>
        </row>
        <row r="159">
          <cell r="A159">
            <v>35681</v>
          </cell>
          <cell r="B159">
            <v>0.94636963696369636</v>
          </cell>
          <cell r="C159">
            <v>1.2659906396255851</v>
          </cell>
          <cell r="D159">
            <v>0.99248120300751874</v>
          </cell>
          <cell r="E159">
            <v>1.2818791946308725</v>
          </cell>
          <cell r="F159">
            <v>1.4186046511627908</v>
          </cell>
          <cell r="G159">
            <v>1.3636363636363635</v>
          </cell>
        </row>
        <row r="160">
          <cell r="A160">
            <v>35682</v>
          </cell>
          <cell r="B160">
            <v>0.95049504950495045</v>
          </cell>
          <cell r="C160">
            <v>1.2730109204368174</v>
          </cell>
          <cell r="D160">
            <v>0.99624060150375937</v>
          </cell>
          <cell r="E160">
            <v>1.2953020134228188</v>
          </cell>
          <cell r="F160">
            <v>1.4209302325581394</v>
          </cell>
          <cell r="G160">
            <v>1.3579545454545454</v>
          </cell>
        </row>
        <row r="161">
          <cell r="A161">
            <v>35683</v>
          </cell>
          <cell r="B161">
            <v>0.95379537953795379</v>
          </cell>
          <cell r="C161">
            <v>1.2652106084243371</v>
          </cell>
          <cell r="D161">
            <v>0.99624060150375937</v>
          </cell>
          <cell r="E161">
            <v>1.2953020134228188</v>
          </cell>
          <cell r="F161">
            <v>1.4162790697674419</v>
          </cell>
          <cell r="G161">
            <v>1.3636363636363635</v>
          </cell>
        </row>
        <row r="162">
          <cell r="A162">
            <v>35684</v>
          </cell>
          <cell r="B162">
            <v>0.95049504950495045</v>
          </cell>
          <cell r="C162">
            <v>1.2480499219968799</v>
          </cell>
          <cell r="D162">
            <v>0.99060150375939848</v>
          </cell>
          <cell r="E162">
            <v>1.2785234899328859</v>
          </cell>
          <cell r="F162">
            <v>1.4395348837209303</v>
          </cell>
          <cell r="G162">
            <v>1.3579545454545454</v>
          </cell>
        </row>
        <row r="163">
          <cell r="A163">
            <v>35685</v>
          </cell>
          <cell r="B163">
            <v>0.98679867986798675</v>
          </cell>
          <cell r="C163">
            <v>1.2730109204368174</v>
          </cell>
          <cell r="D163">
            <v>1.013157894736842</v>
          </cell>
          <cell r="E163">
            <v>1.3389261744966443</v>
          </cell>
          <cell r="F163">
            <v>1.45</v>
          </cell>
          <cell r="G163">
            <v>1.3579545454545454</v>
          </cell>
        </row>
        <row r="164">
          <cell r="A164">
            <v>35688</v>
          </cell>
          <cell r="B164">
            <v>0.97689768976897695</v>
          </cell>
          <cell r="C164">
            <v>1.2862714508580344</v>
          </cell>
          <cell r="D164">
            <v>1.0018796992481203</v>
          </cell>
          <cell r="E164">
            <v>1.2885906040268456</v>
          </cell>
          <cell r="F164">
            <v>1.413953488372093</v>
          </cell>
          <cell r="G164">
            <v>1.3522727272727273</v>
          </cell>
        </row>
        <row r="165">
          <cell r="A165">
            <v>35689</v>
          </cell>
          <cell r="B165">
            <v>0.96534653465346532</v>
          </cell>
          <cell r="C165">
            <v>1.3213728549141965</v>
          </cell>
          <cell r="D165">
            <v>1.005639097744361</v>
          </cell>
          <cell r="E165">
            <v>1.3355704697986577</v>
          </cell>
          <cell r="F165">
            <v>1.4511627906976745</v>
          </cell>
          <cell r="G165">
            <v>1.3579545454545454</v>
          </cell>
        </row>
        <row r="166">
          <cell r="A166">
            <v>35690</v>
          </cell>
          <cell r="B166">
            <v>0.9636963696369637</v>
          </cell>
          <cell r="C166">
            <v>1.3237129485179406</v>
          </cell>
          <cell r="D166">
            <v>0.99436090225563911</v>
          </cell>
          <cell r="E166">
            <v>1.3355704697986577</v>
          </cell>
          <cell r="F166">
            <v>1.4279069767441861</v>
          </cell>
          <cell r="G166">
            <v>1.3636363636363635</v>
          </cell>
        </row>
        <row r="167">
          <cell r="A167">
            <v>35691</v>
          </cell>
          <cell r="B167">
            <v>0.96039603960396036</v>
          </cell>
          <cell r="C167">
            <v>1.3244929797191887</v>
          </cell>
          <cell r="D167">
            <v>1.0075187969924813</v>
          </cell>
          <cell r="E167">
            <v>1.3288590604026846</v>
          </cell>
          <cell r="F167">
            <v>1.430232558139535</v>
          </cell>
          <cell r="G167">
            <v>1.3636363636363635</v>
          </cell>
        </row>
        <row r="168">
          <cell r="A168">
            <v>35692</v>
          </cell>
          <cell r="B168">
            <v>0.96204620462046209</v>
          </cell>
          <cell r="C168">
            <v>1.3057722308892357</v>
          </cell>
          <cell r="D168">
            <v>1.0093984962406015</v>
          </cell>
          <cell r="E168">
            <v>1.3154362416107384</v>
          </cell>
          <cell r="F168">
            <v>1.4232558139534883</v>
          </cell>
          <cell r="G168">
            <v>1.3636363636363635</v>
          </cell>
        </row>
        <row r="169">
          <cell r="A169">
            <v>35695</v>
          </cell>
          <cell r="B169">
            <v>0.95709570957095713</v>
          </cell>
          <cell r="C169">
            <v>1.282371294851794</v>
          </cell>
          <cell r="D169">
            <v>1.0075187969924813</v>
          </cell>
          <cell r="E169">
            <v>1.3020134228187918</v>
          </cell>
          <cell r="F169">
            <v>1.4476744186046511</v>
          </cell>
          <cell r="G169">
            <v>1.3636363636363635</v>
          </cell>
        </row>
        <row r="170">
          <cell r="A170">
            <v>35696</v>
          </cell>
          <cell r="B170">
            <v>0.92574257425742579</v>
          </cell>
          <cell r="C170">
            <v>1.1692667706708268</v>
          </cell>
          <cell r="D170">
            <v>0.99812030075187974</v>
          </cell>
          <cell r="E170">
            <v>1.2785234899328859</v>
          </cell>
          <cell r="F170">
            <v>1.4313953488372093</v>
          </cell>
          <cell r="G170">
            <v>1.3636363636363635</v>
          </cell>
        </row>
        <row r="171">
          <cell r="A171">
            <v>35697</v>
          </cell>
          <cell r="B171">
            <v>0.92409240924092406</v>
          </cell>
          <cell r="C171">
            <v>1.1560062402496101</v>
          </cell>
          <cell r="D171">
            <v>0.98872180451127822</v>
          </cell>
          <cell r="E171">
            <v>1.2684563758389262</v>
          </cell>
          <cell r="F171">
            <v>1.4162790697674419</v>
          </cell>
          <cell r="G171">
            <v>1.3636363636363635</v>
          </cell>
        </row>
        <row r="172">
          <cell r="A172">
            <v>35698</v>
          </cell>
          <cell r="B172">
            <v>0.92079207920792083</v>
          </cell>
          <cell r="C172">
            <v>1.1248049921996879</v>
          </cell>
          <cell r="D172">
            <v>0.99436090225563911</v>
          </cell>
          <cell r="E172">
            <v>1.238255033557047</v>
          </cell>
          <cell r="F172">
            <v>1.3941860465116278</v>
          </cell>
          <cell r="G172">
            <v>1.3636363636363635</v>
          </cell>
        </row>
        <row r="173">
          <cell r="A173">
            <v>35699</v>
          </cell>
          <cell r="B173">
            <v>0.8952145214521452</v>
          </cell>
          <cell r="C173">
            <v>1.1294851794071763</v>
          </cell>
          <cell r="D173">
            <v>0.97556390977443608</v>
          </cell>
          <cell r="E173">
            <v>1.2550335570469799</v>
          </cell>
          <cell r="F173">
            <v>1.4511627906976745</v>
          </cell>
          <cell r="G173">
            <v>1.3636363636363635</v>
          </cell>
        </row>
        <row r="174">
          <cell r="A174">
            <v>35702</v>
          </cell>
          <cell r="B174">
            <v>0.88778877887788776</v>
          </cell>
          <cell r="C174">
            <v>1.0109204368174727</v>
          </cell>
          <cell r="D174">
            <v>0.96052631578947367</v>
          </cell>
          <cell r="E174">
            <v>1.2550335570469799</v>
          </cell>
          <cell r="F174">
            <v>1.4116279069767441</v>
          </cell>
          <cell r="G174">
            <v>1.3636363636363635</v>
          </cell>
        </row>
        <row r="175">
          <cell r="A175">
            <v>35703</v>
          </cell>
          <cell r="B175">
            <v>0.89933993399339929</v>
          </cell>
          <cell r="C175">
            <v>1.0163806552262091</v>
          </cell>
          <cell r="D175">
            <v>0.96240601503759393</v>
          </cell>
          <cell r="E175">
            <v>1.2785234899328859</v>
          </cell>
          <cell r="F175">
            <v>1.3930232558139535</v>
          </cell>
          <cell r="G175">
            <v>1.3636363636363635</v>
          </cell>
        </row>
        <row r="176">
          <cell r="A176">
            <v>35704</v>
          </cell>
          <cell r="B176">
            <v>0.88448844884488453</v>
          </cell>
          <cell r="C176">
            <v>0.99531981279251169</v>
          </cell>
          <cell r="D176">
            <v>0.97932330827067671</v>
          </cell>
          <cell r="E176">
            <v>1.2550335570469799</v>
          </cell>
          <cell r="F176">
            <v>1.336046511627907</v>
          </cell>
          <cell r="G176">
            <v>1.3636363636363635</v>
          </cell>
        </row>
        <row r="177">
          <cell r="A177">
            <v>35705</v>
          </cell>
          <cell r="B177">
            <v>0.88531353135313529</v>
          </cell>
          <cell r="C177">
            <v>0.97659906396255847</v>
          </cell>
          <cell r="D177">
            <v>0.96240601503759393</v>
          </cell>
          <cell r="E177">
            <v>1.1946308724832215</v>
          </cell>
          <cell r="F177">
            <v>1.3255813953488371</v>
          </cell>
          <cell r="G177">
            <v>1.3636363636363635</v>
          </cell>
        </row>
        <row r="178">
          <cell r="A178">
            <v>35706</v>
          </cell>
          <cell r="B178">
            <v>0.89603960396039606</v>
          </cell>
          <cell r="C178">
            <v>0.9726989079563183</v>
          </cell>
          <cell r="D178">
            <v>0.96240601503759393</v>
          </cell>
          <cell r="E178">
            <v>1.2516778523489933</v>
          </cell>
          <cell r="F178">
            <v>1.3720930232558139</v>
          </cell>
          <cell r="G178">
            <v>1.3636363636363635</v>
          </cell>
        </row>
        <row r="179">
          <cell r="A179">
            <v>35709</v>
          </cell>
          <cell r="B179">
            <v>0.90594059405940597</v>
          </cell>
          <cell r="C179">
            <v>0.9726989079563183</v>
          </cell>
          <cell r="D179">
            <v>0.95676691729323304</v>
          </cell>
          <cell r="E179">
            <v>1.2348993288590604</v>
          </cell>
          <cell r="F179">
            <v>1.3232558139534885</v>
          </cell>
          <cell r="G179">
            <v>1.3636363636363635</v>
          </cell>
        </row>
        <row r="180">
          <cell r="A180">
            <v>35710</v>
          </cell>
          <cell r="B180">
            <v>0.94059405940594054</v>
          </cell>
          <cell r="C180">
            <v>1.0015600624024961</v>
          </cell>
          <cell r="D180">
            <v>1.0037593984962405</v>
          </cell>
          <cell r="E180">
            <v>1.3154362416107384</v>
          </cell>
          <cell r="F180">
            <v>1.4267441860465115</v>
          </cell>
          <cell r="G180">
            <v>1.3636363636363635</v>
          </cell>
        </row>
        <row r="181">
          <cell r="A181">
            <v>35711</v>
          </cell>
          <cell r="B181">
            <v>0.92904290429042902</v>
          </cell>
          <cell r="C181">
            <v>0.98751950078003126</v>
          </cell>
          <cell r="D181">
            <v>0.99812030075187974</v>
          </cell>
          <cell r="E181">
            <v>1.2718120805369129</v>
          </cell>
          <cell r="F181">
            <v>1.4488372093023256</v>
          </cell>
          <cell r="G181">
            <v>1.3636363636363635</v>
          </cell>
        </row>
        <row r="182">
          <cell r="A182">
            <v>35712</v>
          </cell>
          <cell r="B182">
            <v>0.93234323432343236</v>
          </cell>
          <cell r="C182">
            <v>0.98595943837753508</v>
          </cell>
          <cell r="D182">
            <v>0.98308270676691734</v>
          </cell>
          <cell r="E182">
            <v>1.2785234899328859</v>
          </cell>
          <cell r="F182">
            <v>1.430232558139535</v>
          </cell>
          <cell r="G182">
            <v>1.3636363636363635</v>
          </cell>
        </row>
        <row r="183">
          <cell r="A183">
            <v>35713</v>
          </cell>
          <cell r="B183">
            <v>0.92079207920792083</v>
          </cell>
          <cell r="C183">
            <v>0.98049921996879874</v>
          </cell>
          <cell r="D183">
            <v>0.98308270676691734</v>
          </cell>
          <cell r="E183">
            <v>1.2651006711409396</v>
          </cell>
          <cell r="F183">
            <v>1.3720930232558139</v>
          </cell>
          <cell r="G183">
            <v>1.3636363636363635</v>
          </cell>
        </row>
        <row r="184">
          <cell r="A184">
            <v>35716</v>
          </cell>
          <cell r="B184">
            <v>0.91419141914191415</v>
          </cell>
          <cell r="C184">
            <v>0.99687987519500776</v>
          </cell>
          <cell r="D184">
            <v>0.98684210526315785</v>
          </cell>
          <cell r="E184">
            <v>1.2885906040268456</v>
          </cell>
          <cell r="F184">
            <v>1.4162790697674419</v>
          </cell>
          <cell r="G184">
            <v>1.3636363636363635</v>
          </cell>
        </row>
        <row r="185">
          <cell r="A185">
            <v>35717</v>
          </cell>
          <cell r="B185">
            <v>0.91914191419141911</v>
          </cell>
          <cell r="C185">
            <v>0.98985959438377535</v>
          </cell>
          <cell r="D185">
            <v>0.99248120300751874</v>
          </cell>
          <cell r="E185">
            <v>1.2818791946308725</v>
          </cell>
          <cell r="F185">
            <v>1.3767441860465117</v>
          </cell>
          <cell r="G185">
            <v>1.3636363636363635</v>
          </cell>
        </row>
        <row r="186">
          <cell r="A186">
            <v>35718</v>
          </cell>
          <cell r="B186">
            <v>0.91089108910891092</v>
          </cell>
          <cell r="C186">
            <v>0.98361934477379098</v>
          </cell>
          <cell r="D186">
            <v>0.98308270676691734</v>
          </cell>
          <cell r="E186">
            <v>1.2919463087248322</v>
          </cell>
          <cell r="F186">
            <v>1.3674418604651162</v>
          </cell>
          <cell r="G186">
            <v>1.3636363636363635</v>
          </cell>
        </row>
        <row r="187">
          <cell r="A187">
            <v>35719</v>
          </cell>
          <cell r="B187">
            <v>0.91419141914191415</v>
          </cell>
          <cell r="C187">
            <v>0.95865834633385338</v>
          </cell>
          <cell r="D187">
            <v>0.95864661654135341</v>
          </cell>
          <cell r="E187">
            <v>1.2651006711409396</v>
          </cell>
          <cell r="F187">
            <v>1.3465116279069766</v>
          </cell>
          <cell r="G187">
            <v>1.3636363636363635</v>
          </cell>
        </row>
        <row r="188">
          <cell r="A188">
            <v>35720</v>
          </cell>
          <cell r="B188">
            <v>0.90594059405940597</v>
          </cell>
          <cell r="C188">
            <v>0.93369734789391579</v>
          </cell>
          <cell r="D188">
            <v>0.96804511278195493</v>
          </cell>
          <cell r="E188">
            <v>1.2718120805369129</v>
          </cell>
          <cell r="F188">
            <v>1.3104651162790697</v>
          </cell>
          <cell r="G188">
            <v>1.3636363636363635</v>
          </cell>
        </row>
        <row r="189">
          <cell r="A189">
            <v>35723</v>
          </cell>
          <cell r="B189">
            <v>0.91584158415841588</v>
          </cell>
          <cell r="C189">
            <v>0.9430577223088924</v>
          </cell>
          <cell r="D189">
            <v>0.99624060150375937</v>
          </cell>
          <cell r="E189">
            <v>1.2986577181208054</v>
          </cell>
          <cell r="F189">
            <v>1.3511627906976744</v>
          </cell>
          <cell r="G189">
            <v>1.3636363636363635</v>
          </cell>
        </row>
        <row r="190">
          <cell r="A190">
            <v>35724</v>
          </cell>
          <cell r="B190">
            <v>0.94059405940594054</v>
          </cell>
          <cell r="C190">
            <v>0.96567862714508579</v>
          </cell>
          <cell r="D190">
            <v>0.98308270676691734</v>
          </cell>
          <cell r="E190">
            <v>1.3221476510067114</v>
          </cell>
          <cell r="F190">
            <v>1.3604651162790697</v>
          </cell>
          <cell r="G190">
            <v>1.3636363636363635</v>
          </cell>
        </row>
        <row r="191">
          <cell r="A191">
            <v>35725</v>
          </cell>
          <cell r="B191">
            <v>0.93151815181518149</v>
          </cell>
          <cell r="C191">
            <v>0.95865834633385338</v>
          </cell>
          <cell r="D191">
            <v>0.96992481203007519</v>
          </cell>
          <cell r="E191">
            <v>1.2818791946308725</v>
          </cell>
          <cell r="F191">
            <v>1.3627906976744186</v>
          </cell>
          <cell r="G191">
            <v>1.3636363636363635</v>
          </cell>
        </row>
        <row r="192">
          <cell r="A192">
            <v>35726</v>
          </cell>
          <cell r="B192">
            <v>0.93069306930693074</v>
          </cell>
          <cell r="C192">
            <v>0.95163806552262087</v>
          </cell>
          <cell r="D192">
            <v>0.96052631578947367</v>
          </cell>
          <cell r="E192">
            <v>1.2449664429530201</v>
          </cell>
          <cell r="F192">
            <v>1.3209302325581396</v>
          </cell>
          <cell r="G192">
            <v>1.3636363636363635</v>
          </cell>
        </row>
        <row r="193">
          <cell r="A193">
            <v>35727</v>
          </cell>
          <cell r="B193">
            <v>0.9092409240924092</v>
          </cell>
          <cell r="C193">
            <v>0.94071762870514819</v>
          </cell>
          <cell r="D193">
            <v>0.96240601503759393</v>
          </cell>
          <cell r="E193">
            <v>1.2147651006711409</v>
          </cell>
          <cell r="F193">
            <v>1.2790697674418605</v>
          </cell>
          <cell r="G193">
            <v>1.3636363636363635</v>
          </cell>
        </row>
        <row r="194">
          <cell r="A194">
            <v>35730</v>
          </cell>
          <cell r="B194">
            <v>0.83333333333333337</v>
          </cell>
          <cell r="C194">
            <v>0.86115444617784709</v>
          </cell>
          <cell r="D194">
            <v>0.89473684210526316</v>
          </cell>
          <cell r="E194">
            <v>1.1241610738255035</v>
          </cell>
          <cell r="F194">
            <v>0.4813953488372093</v>
          </cell>
          <cell r="G194">
            <v>1.3636363636363635</v>
          </cell>
        </row>
        <row r="195">
          <cell r="A195">
            <v>35731</v>
          </cell>
          <cell r="B195">
            <v>0.87458745874587462</v>
          </cell>
          <cell r="C195">
            <v>0.89781591263650551</v>
          </cell>
          <cell r="D195">
            <v>0.91917293233082709</v>
          </cell>
          <cell r="E195">
            <v>1.1543624161073827</v>
          </cell>
          <cell r="F195">
            <v>0.47209302325581393</v>
          </cell>
          <cell r="G195">
            <v>1.3636363636363635</v>
          </cell>
        </row>
        <row r="196">
          <cell r="A196">
            <v>35732</v>
          </cell>
          <cell r="B196">
            <v>0.85973597359735976</v>
          </cell>
          <cell r="C196">
            <v>0.90561622464898595</v>
          </cell>
          <cell r="D196">
            <v>0.90601503759398494</v>
          </cell>
          <cell r="E196">
            <v>1.1577181208053691</v>
          </cell>
          <cell r="F196">
            <v>0.5058139534883721</v>
          </cell>
          <cell r="G196">
            <v>1.3636363636363635</v>
          </cell>
        </row>
        <row r="197">
          <cell r="A197">
            <v>35733</v>
          </cell>
          <cell r="B197">
            <v>0.85313531353135319</v>
          </cell>
          <cell r="C197">
            <v>0.8931357254290172</v>
          </cell>
          <cell r="D197">
            <v>0.89097744360902253</v>
          </cell>
          <cell r="E197">
            <v>1.1208053691275168</v>
          </cell>
          <cell r="F197">
            <v>0.48023255813953486</v>
          </cell>
          <cell r="G197">
            <v>1.3636363636363635</v>
          </cell>
        </row>
        <row r="198">
          <cell r="A198">
            <v>35734</v>
          </cell>
          <cell r="B198">
            <v>0.8547854785478548</v>
          </cell>
          <cell r="C198">
            <v>0.88689547581903272</v>
          </cell>
          <cell r="D198">
            <v>0.86466165413533835</v>
          </cell>
          <cell r="E198">
            <v>1.1241610738255035</v>
          </cell>
          <cell r="F198">
            <v>0.48023255813953486</v>
          </cell>
          <cell r="G198">
            <v>1.3636363636363635</v>
          </cell>
        </row>
        <row r="199">
          <cell r="A199">
            <v>35737</v>
          </cell>
          <cell r="B199">
            <v>0.86138613861386137</v>
          </cell>
          <cell r="C199">
            <v>0.90717628705148201</v>
          </cell>
          <cell r="D199">
            <v>0.8778195488721805</v>
          </cell>
          <cell r="E199">
            <v>1.1677852348993289</v>
          </cell>
          <cell r="F199">
            <v>0.48372093023255813</v>
          </cell>
          <cell r="G199">
            <v>1.3636363636363635</v>
          </cell>
        </row>
        <row r="200">
          <cell r="A200">
            <v>35738</v>
          </cell>
          <cell r="B200">
            <v>0.85973597359735976</v>
          </cell>
          <cell r="C200">
            <v>0.92433697347893917</v>
          </cell>
          <cell r="D200">
            <v>0.88157894736842102</v>
          </cell>
          <cell r="E200">
            <v>1.1845637583892616</v>
          </cell>
          <cell r="F200">
            <v>0.47093023255813954</v>
          </cell>
          <cell r="G200">
            <v>1.3636363636363635</v>
          </cell>
        </row>
        <row r="201">
          <cell r="A201">
            <v>35739</v>
          </cell>
          <cell r="B201">
            <v>0.86138613861386137</v>
          </cell>
          <cell r="C201">
            <v>0.89937597503900157</v>
          </cell>
          <cell r="D201">
            <v>0.89473684210526316</v>
          </cell>
          <cell r="E201">
            <v>1.1845637583892616</v>
          </cell>
          <cell r="F201">
            <v>0.44418604651162791</v>
          </cell>
          <cell r="G201">
            <v>1.3636363636363635</v>
          </cell>
        </row>
        <row r="202">
          <cell r="A202">
            <v>35740</v>
          </cell>
          <cell r="B202">
            <v>0.90264026402640263</v>
          </cell>
          <cell r="C202">
            <v>0.90639625585023398</v>
          </cell>
          <cell r="D202">
            <v>0.89097744360902253</v>
          </cell>
          <cell r="E202">
            <v>1.2080536912751678</v>
          </cell>
          <cell r="F202">
            <v>0.45930232558139533</v>
          </cell>
          <cell r="G202">
            <v>1.3636363636363635</v>
          </cell>
        </row>
        <row r="203">
          <cell r="A203">
            <v>35741</v>
          </cell>
          <cell r="B203">
            <v>0.9273927392739274</v>
          </cell>
          <cell r="C203">
            <v>0.92667706708268327</v>
          </cell>
          <cell r="D203">
            <v>0.87593984962406013</v>
          </cell>
          <cell r="E203">
            <v>1.2013422818791946</v>
          </cell>
          <cell r="F203">
            <v>0.47325581395348837</v>
          </cell>
          <cell r="G203">
            <v>1.3636363636363635</v>
          </cell>
        </row>
        <row r="204">
          <cell r="A204">
            <v>35744</v>
          </cell>
          <cell r="B204">
            <v>0.94389438943894388</v>
          </cell>
          <cell r="C204">
            <v>0.94461778471138846</v>
          </cell>
          <cell r="D204">
            <v>0.89473684210526316</v>
          </cell>
          <cell r="E204">
            <v>1.2214765100671141</v>
          </cell>
          <cell r="F204">
            <v>0.46046511627906977</v>
          </cell>
          <cell r="G204">
            <v>1.3636363636363635</v>
          </cell>
        </row>
        <row r="205">
          <cell r="A205">
            <v>35745</v>
          </cell>
          <cell r="B205">
            <v>0.94884488448844884</v>
          </cell>
          <cell r="C205">
            <v>0.97191887675507016</v>
          </cell>
          <cell r="D205">
            <v>0.92105263157894735</v>
          </cell>
          <cell r="E205">
            <v>1.2214765100671141</v>
          </cell>
          <cell r="F205">
            <v>0.46395348837209305</v>
          </cell>
          <cell r="G205">
            <v>1.3636363636363635</v>
          </cell>
        </row>
        <row r="206">
          <cell r="A206">
            <v>35746</v>
          </cell>
          <cell r="B206">
            <v>0.9092409240924092</v>
          </cell>
          <cell r="C206">
            <v>0.96099843993759748</v>
          </cell>
          <cell r="D206">
            <v>0.90601503759398494</v>
          </cell>
          <cell r="E206">
            <v>1.1812080536912752</v>
          </cell>
          <cell r="F206">
            <v>0.44534883720930235</v>
          </cell>
          <cell r="G206">
            <v>1.3636363636363635</v>
          </cell>
        </row>
        <row r="207">
          <cell r="A207">
            <v>35747</v>
          </cell>
          <cell r="B207">
            <v>0.91254125412541254</v>
          </cell>
          <cell r="C207">
            <v>0.95865834633385338</v>
          </cell>
          <cell r="D207">
            <v>0.91541353383458646</v>
          </cell>
          <cell r="E207">
            <v>1.1644295302013423</v>
          </cell>
          <cell r="F207">
            <v>0.43604651162790697</v>
          </cell>
          <cell r="G207">
            <v>1.3636363636363635</v>
          </cell>
        </row>
        <row r="208">
          <cell r="A208">
            <v>35748</v>
          </cell>
          <cell r="B208">
            <v>0.89768976897689767</v>
          </cell>
          <cell r="C208">
            <v>0.96723868954758185</v>
          </cell>
          <cell r="D208">
            <v>0.89473684210526316</v>
          </cell>
          <cell r="E208">
            <v>1.1644295302013423</v>
          </cell>
          <cell r="F208">
            <v>0.46279069767441861</v>
          </cell>
          <cell r="G208">
            <v>1.3636363636363635</v>
          </cell>
        </row>
        <row r="209">
          <cell r="A209">
            <v>35751</v>
          </cell>
          <cell r="B209">
            <v>0.90429042904290424</v>
          </cell>
          <cell r="C209">
            <v>0.98595943837753508</v>
          </cell>
          <cell r="D209">
            <v>0.90601503759398494</v>
          </cell>
          <cell r="E209">
            <v>1.1946308724832215</v>
          </cell>
          <cell r="F209">
            <v>0.44883720930232557</v>
          </cell>
          <cell r="G209">
            <v>1.3636363636363635</v>
          </cell>
        </row>
        <row r="210">
          <cell r="A210">
            <v>35752</v>
          </cell>
          <cell r="B210">
            <v>0.89273927392739272</v>
          </cell>
          <cell r="C210">
            <v>0.9773790951638065</v>
          </cell>
          <cell r="D210">
            <v>0.89849624060150379</v>
          </cell>
          <cell r="E210">
            <v>1.1979865771812082</v>
          </cell>
          <cell r="F210">
            <v>0.4325581395348837</v>
          </cell>
          <cell r="G210">
            <v>1.3636363636363635</v>
          </cell>
        </row>
        <row r="211">
          <cell r="A211">
            <v>35753</v>
          </cell>
          <cell r="B211">
            <v>0.89603960396039606</v>
          </cell>
          <cell r="C211">
            <v>0.97581903276131043</v>
          </cell>
          <cell r="D211">
            <v>0.87969924812030076</v>
          </cell>
          <cell r="E211">
            <v>1.1711409395973154</v>
          </cell>
          <cell r="F211">
            <v>0.44069767441860463</v>
          </cell>
          <cell r="G211">
            <v>1.3636363636363635</v>
          </cell>
        </row>
        <row r="212">
          <cell r="A212">
            <v>35754</v>
          </cell>
          <cell r="B212">
            <v>0.87128712871287128</v>
          </cell>
          <cell r="C212">
            <v>0.9726989079563183</v>
          </cell>
          <cell r="D212">
            <v>0.90037593984962405</v>
          </cell>
          <cell r="E212">
            <v>1.1812080536912752</v>
          </cell>
          <cell r="F212">
            <v>0.4325581395348837</v>
          </cell>
          <cell r="G212">
            <v>1.3636363636363635</v>
          </cell>
        </row>
        <row r="213">
          <cell r="A213">
            <v>35755</v>
          </cell>
          <cell r="B213">
            <v>0.88613861386138615</v>
          </cell>
          <cell r="C213">
            <v>0.97035881435257409</v>
          </cell>
          <cell r="D213">
            <v>0.8928571428571429</v>
          </cell>
          <cell r="E213">
            <v>1.1912751677852349</v>
          </cell>
          <cell r="F213">
            <v>0.42674418604651165</v>
          </cell>
          <cell r="G213">
            <v>1.3636363636363635</v>
          </cell>
        </row>
        <row r="214">
          <cell r="A214">
            <v>35758</v>
          </cell>
          <cell r="B214">
            <v>0.86468646864686471</v>
          </cell>
          <cell r="C214">
            <v>0.94929797191887677</v>
          </cell>
          <cell r="D214">
            <v>0.8928571428571429</v>
          </cell>
          <cell r="E214">
            <v>1.174496644295302</v>
          </cell>
          <cell r="F214">
            <v>0.42441860465116277</v>
          </cell>
          <cell r="G214">
            <v>1.3636363636363635</v>
          </cell>
        </row>
        <row r="215">
          <cell r="A215">
            <v>35759</v>
          </cell>
          <cell r="B215">
            <v>0.68151815181518149</v>
          </cell>
          <cell r="C215">
            <v>0.93369734789391579</v>
          </cell>
          <cell r="D215">
            <v>0.88721804511278191</v>
          </cell>
          <cell r="E215">
            <v>1.1812080536912752</v>
          </cell>
          <cell r="F215">
            <v>0.42790697674418604</v>
          </cell>
          <cell r="G215">
            <v>1.3636363636363635</v>
          </cell>
        </row>
        <row r="216">
          <cell r="A216">
            <v>35760</v>
          </cell>
          <cell r="B216">
            <v>0.70792079207920788</v>
          </cell>
          <cell r="C216">
            <v>0.93447737909516382</v>
          </cell>
          <cell r="D216">
            <v>0.84774436090225569</v>
          </cell>
          <cell r="E216">
            <v>1.1845637583892616</v>
          </cell>
          <cell r="F216">
            <v>0.43604651162790697</v>
          </cell>
          <cell r="G216">
            <v>1.3636363636363635</v>
          </cell>
        </row>
        <row r="217">
          <cell r="A217">
            <v>35761</v>
          </cell>
          <cell r="B217">
            <v>0.70792079207920788</v>
          </cell>
          <cell r="C217">
            <v>0.93447737909516382</v>
          </cell>
          <cell r="D217">
            <v>0.84774436090225569</v>
          </cell>
          <cell r="E217">
            <v>1.1845637583892616</v>
          </cell>
          <cell r="F217">
            <v>0.43604651162790697</v>
          </cell>
          <cell r="G217">
            <v>1.3636363636363635</v>
          </cell>
        </row>
        <row r="218">
          <cell r="A218">
            <v>35762</v>
          </cell>
          <cell r="B218">
            <v>0.70957095709570961</v>
          </cell>
          <cell r="C218">
            <v>0.93603744149765988</v>
          </cell>
          <cell r="D218">
            <v>0.84398496240601506</v>
          </cell>
          <cell r="E218">
            <v>1.1912751677852349</v>
          </cell>
          <cell r="F218">
            <v>0.44418604651162791</v>
          </cell>
          <cell r="G218">
            <v>1.3636363636363635</v>
          </cell>
        </row>
        <row r="219">
          <cell r="A219">
            <v>35765</v>
          </cell>
          <cell r="B219">
            <v>0.72277227722772275</v>
          </cell>
          <cell r="C219">
            <v>0.96723868954758185</v>
          </cell>
          <cell r="D219">
            <v>0.85902255639097747</v>
          </cell>
          <cell r="E219">
            <v>1.2281879194630871</v>
          </cell>
          <cell r="F219">
            <v>0.45348837209302323</v>
          </cell>
          <cell r="G219">
            <v>1.3636363636363635</v>
          </cell>
        </row>
        <row r="220">
          <cell r="A220">
            <v>35766</v>
          </cell>
          <cell r="B220">
            <v>0.70132013201320131</v>
          </cell>
          <cell r="C220">
            <v>0.98283931357254295</v>
          </cell>
          <cell r="D220">
            <v>0.84586466165413532</v>
          </cell>
          <cell r="E220">
            <v>1.2080536912751678</v>
          </cell>
          <cell r="F220">
            <v>0.43720930232558142</v>
          </cell>
          <cell r="G220">
            <v>1.3636363636363635</v>
          </cell>
        </row>
        <row r="221">
          <cell r="A221">
            <v>35767</v>
          </cell>
          <cell r="B221">
            <v>0.71122112211221122</v>
          </cell>
          <cell r="C221">
            <v>1.0015600624024961</v>
          </cell>
          <cell r="D221">
            <v>0.84586466165413532</v>
          </cell>
          <cell r="E221">
            <v>1.1879194630872483</v>
          </cell>
          <cell r="F221">
            <v>0.44186046511627908</v>
          </cell>
          <cell r="G221">
            <v>1.3636363636363635</v>
          </cell>
        </row>
        <row r="222">
          <cell r="A222">
            <v>35768</v>
          </cell>
          <cell r="B222">
            <v>0.70709570957095713</v>
          </cell>
          <cell r="C222">
            <v>0.9929797191887676</v>
          </cell>
          <cell r="D222">
            <v>0.84210526315789469</v>
          </cell>
          <cell r="E222">
            <v>1.2483221476510067</v>
          </cell>
          <cell r="F222">
            <v>0.39302325581395348</v>
          </cell>
          <cell r="G222">
            <v>1.3636363636363635</v>
          </cell>
        </row>
        <row r="223">
          <cell r="A223">
            <v>35769</v>
          </cell>
          <cell r="B223">
            <v>0.71452145214521456</v>
          </cell>
          <cell r="C223">
            <v>0.99687987519500776</v>
          </cell>
          <cell r="D223">
            <v>0.84210526315789469</v>
          </cell>
          <cell r="E223">
            <v>1.2583892617449663</v>
          </cell>
          <cell r="F223">
            <v>0.413953488372093</v>
          </cell>
          <cell r="G223">
            <v>1.3636363636363635</v>
          </cell>
        </row>
        <row r="224">
          <cell r="A224">
            <v>35772</v>
          </cell>
          <cell r="B224">
            <v>0.72277227722772275</v>
          </cell>
          <cell r="C224">
            <v>0.98673946957878311</v>
          </cell>
          <cell r="D224">
            <v>0.82518796992481203</v>
          </cell>
          <cell r="E224">
            <v>1.2483221476510067</v>
          </cell>
          <cell r="F224">
            <v>0.39767441860465114</v>
          </cell>
          <cell r="G224">
            <v>1.3636363636363635</v>
          </cell>
        </row>
        <row r="225">
          <cell r="A225">
            <v>35773</v>
          </cell>
          <cell r="B225">
            <v>0.71617161716171618</v>
          </cell>
          <cell r="C225">
            <v>0.99219968798751945</v>
          </cell>
          <cell r="D225">
            <v>0.80639097744360899</v>
          </cell>
          <cell r="E225">
            <v>1.2751677852348993</v>
          </cell>
          <cell r="F225">
            <v>0.37325581395348839</v>
          </cell>
          <cell r="G225">
            <v>1.3636363636363635</v>
          </cell>
        </row>
        <row r="226">
          <cell r="A226">
            <v>35774</v>
          </cell>
          <cell r="B226">
            <v>0.70792079207920788</v>
          </cell>
          <cell r="C226">
            <v>0.98751950078003126</v>
          </cell>
          <cell r="D226">
            <v>0.76315789473684215</v>
          </cell>
          <cell r="E226">
            <v>1.1476510067114094</v>
          </cell>
          <cell r="F226">
            <v>0.31860465116279069</v>
          </cell>
          <cell r="G226">
            <v>1.3636363636363635</v>
          </cell>
        </row>
        <row r="227">
          <cell r="A227">
            <v>35775</v>
          </cell>
          <cell r="B227">
            <v>0.70709570957095713</v>
          </cell>
          <cell r="C227">
            <v>0.9750390015600624</v>
          </cell>
          <cell r="D227">
            <v>0.75939849624060152</v>
          </cell>
          <cell r="E227">
            <v>1.1275167785234899</v>
          </cell>
          <cell r="F227">
            <v>0.30813953488372092</v>
          </cell>
          <cell r="G227">
            <v>1.3636363636363635</v>
          </cell>
        </row>
        <row r="228">
          <cell r="A228">
            <v>35776</v>
          </cell>
          <cell r="B228">
            <v>0.70297029702970293</v>
          </cell>
          <cell r="C228">
            <v>0.98517940717628705</v>
          </cell>
          <cell r="D228">
            <v>0.75939849624060152</v>
          </cell>
          <cell r="E228">
            <v>1.1241610738255035</v>
          </cell>
          <cell r="F228">
            <v>0.28953488372093023</v>
          </cell>
          <cell r="G228">
            <v>1.3636363636363635</v>
          </cell>
        </row>
        <row r="229">
          <cell r="A229">
            <v>35779</v>
          </cell>
          <cell r="B229">
            <v>0.71122112211221122</v>
          </cell>
          <cell r="C229">
            <v>1.0031201248049921</v>
          </cell>
          <cell r="D229">
            <v>0.73684210526315785</v>
          </cell>
          <cell r="E229">
            <v>1.1174496644295302</v>
          </cell>
          <cell r="F229">
            <v>0.2930232558139535</v>
          </cell>
          <cell r="G229">
            <v>1.3636363636363635</v>
          </cell>
        </row>
        <row r="230">
          <cell r="A230">
            <v>35780</v>
          </cell>
          <cell r="B230">
            <v>0.71947194719471952</v>
          </cell>
          <cell r="C230">
            <v>0.99375975039001563</v>
          </cell>
          <cell r="D230">
            <v>0.73872180451127822</v>
          </cell>
          <cell r="E230">
            <v>1.0906040268456376</v>
          </cell>
          <cell r="F230">
            <v>0.30116279069767443</v>
          </cell>
          <cell r="G230">
            <v>1.3636363636363635</v>
          </cell>
        </row>
        <row r="231">
          <cell r="A231">
            <v>35781</v>
          </cell>
          <cell r="B231">
            <v>0.71782178217821779</v>
          </cell>
          <cell r="C231">
            <v>0.98439937597503901</v>
          </cell>
          <cell r="D231">
            <v>0.75375939849624063</v>
          </cell>
          <cell r="E231">
            <v>1.080536912751678</v>
          </cell>
          <cell r="F231">
            <v>0.3</v>
          </cell>
          <cell r="G231">
            <v>1.3636363636363635</v>
          </cell>
        </row>
        <row r="232">
          <cell r="A232">
            <v>35782</v>
          </cell>
          <cell r="B232">
            <v>0.71122112211221122</v>
          </cell>
          <cell r="C232">
            <v>0.86739469578783146</v>
          </cell>
          <cell r="D232">
            <v>0.71240601503759393</v>
          </cell>
          <cell r="E232">
            <v>1.0671140939597314</v>
          </cell>
          <cell r="F232">
            <v>0.27790697674418607</v>
          </cell>
          <cell r="G232">
            <v>1.3636363636363635</v>
          </cell>
        </row>
        <row r="233">
          <cell r="A233">
            <v>35783</v>
          </cell>
          <cell r="B233">
            <v>0.70379537953795379</v>
          </cell>
          <cell r="C233">
            <v>0.84789391575663031</v>
          </cell>
          <cell r="D233">
            <v>0.68045112781954886</v>
          </cell>
          <cell r="E233">
            <v>1.0503355704697988</v>
          </cell>
          <cell r="F233">
            <v>0.28255813953488373</v>
          </cell>
          <cell r="G233">
            <v>1.3636363636363635</v>
          </cell>
        </row>
        <row r="234">
          <cell r="A234">
            <v>35786</v>
          </cell>
          <cell r="B234">
            <v>0.71947194719471952</v>
          </cell>
          <cell r="C234">
            <v>0.8408736349453978</v>
          </cell>
          <cell r="D234">
            <v>0.68045112781954886</v>
          </cell>
          <cell r="E234">
            <v>1.0402684563758389</v>
          </cell>
          <cell r="F234">
            <v>0.28139534883720929</v>
          </cell>
          <cell r="G234">
            <v>1.3636363636363635</v>
          </cell>
        </row>
        <row r="235">
          <cell r="A235">
            <v>35787</v>
          </cell>
          <cell r="B235">
            <v>0.70627062706270627</v>
          </cell>
          <cell r="C235">
            <v>0.8408736349453978</v>
          </cell>
          <cell r="D235">
            <v>0.67669172932330823</v>
          </cell>
          <cell r="E235">
            <v>1.0201342281879195</v>
          </cell>
          <cell r="F235">
            <v>0.27209302325581397</v>
          </cell>
          <cell r="G235">
            <v>1.3636363636363635</v>
          </cell>
        </row>
        <row r="236">
          <cell r="A236">
            <v>35788</v>
          </cell>
          <cell r="B236">
            <v>0.70297029702970293</v>
          </cell>
          <cell r="C236">
            <v>0.83619344773790949</v>
          </cell>
          <cell r="D236">
            <v>0.68421052631578949</v>
          </cell>
          <cell r="E236">
            <v>1.0134228187919463</v>
          </cell>
          <cell r="F236">
            <v>0.26976744186046514</v>
          </cell>
          <cell r="G236">
            <v>1.3636363636363635</v>
          </cell>
        </row>
        <row r="237">
          <cell r="A237">
            <v>35789</v>
          </cell>
          <cell r="B237">
            <v>0.70297029702970293</v>
          </cell>
          <cell r="C237">
            <v>0.83619344773790949</v>
          </cell>
          <cell r="D237">
            <v>0.68421052631578949</v>
          </cell>
          <cell r="E237">
            <v>1.0134228187919463</v>
          </cell>
          <cell r="F237">
            <v>0.26976744186046514</v>
          </cell>
          <cell r="G237">
            <v>1.3636363636363635</v>
          </cell>
        </row>
        <row r="238">
          <cell r="A238">
            <v>35790</v>
          </cell>
          <cell r="B238">
            <v>0.70462046204620465</v>
          </cell>
          <cell r="C238">
            <v>0.8408736349453978</v>
          </cell>
          <cell r="D238">
            <v>0.68233082706766912</v>
          </cell>
          <cell r="E238">
            <v>1.0134228187919463</v>
          </cell>
          <cell r="F238">
            <v>0.2686046511627907</v>
          </cell>
          <cell r="G238">
            <v>1.3636363636363635</v>
          </cell>
        </row>
        <row r="239">
          <cell r="A239">
            <v>35793</v>
          </cell>
          <cell r="B239">
            <v>0.68976897689768979</v>
          </cell>
          <cell r="C239">
            <v>0.84165366614664583</v>
          </cell>
          <cell r="D239">
            <v>0.68045112781954886</v>
          </cell>
          <cell r="E239">
            <v>1.0335570469798658</v>
          </cell>
          <cell r="F239">
            <v>0.2686046511627907</v>
          </cell>
          <cell r="G239">
            <v>1.3636363636363635</v>
          </cell>
        </row>
        <row r="240">
          <cell r="A240">
            <v>35794</v>
          </cell>
          <cell r="B240">
            <v>0.69471947194719474</v>
          </cell>
          <cell r="C240">
            <v>0.87363494539781594</v>
          </cell>
          <cell r="D240">
            <v>0.6992481203007519</v>
          </cell>
          <cell r="E240">
            <v>1.080536912751678</v>
          </cell>
          <cell r="F240">
            <v>0.28837209302325584</v>
          </cell>
          <cell r="G240">
            <v>1.3636363636363635</v>
          </cell>
        </row>
        <row r="241">
          <cell r="A241">
            <v>35795</v>
          </cell>
          <cell r="B241">
            <v>0.6914191419141914</v>
          </cell>
          <cell r="C241">
            <v>0.88065522620904835</v>
          </cell>
          <cell r="D241">
            <v>0.66917293233082709</v>
          </cell>
          <cell r="E241">
            <v>1.1140939597315436</v>
          </cell>
          <cell r="F241">
            <v>0.28953488372093023</v>
          </cell>
          <cell r="G241">
            <v>1.3636363636363635</v>
          </cell>
        </row>
        <row r="242">
          <cell r="A242">
            <v>35796</v>
          </cell>
          <cell r="B242">
            <v>0.6914191419141914</v>
          </cell>
          <cell r="C242">
            <v>0.88065522620904835</v>
          </cell>
          <cell r="D242">
            <v>0.66917293233082709</v>
          </cell>
          <cell r="E242">
            <v>1.1140939597315436</v>
          </cell>
          <cell r="F242">
            <v>0.28953488372093023</v>
          </cell>
          <cell r="G242">
            <v>1.3636363636363635</v>
          </cell>
        </row>
        <row r="243">
          <cell r="A243">
            <v>35797</v>
          </cell>
          <cell r="B243">
            <v>0.69636963696369636</v>
          </cell>
          <cell r="C243">
            <v>0.87363494539781594</v>
          </cell>
          <cell r="D243">
            <v>0.69548872180451127</v>
          </cell>
          <cell r="E243">
            <v>1.1342281879194631</v>
          </cell>
          <cell r="F243">
            <v>0.31860465116279069</v>
          </cell>
          <cell r="G243">
            <v>1.3636363636363635</v>
          </cell>
        </row>
        <row r="244">
          <cell r="A244">
            <v>35800</v>
          </cell>
          <cell r="B244">
            <v>0.68811881188118806</v>
          </cell>
          <cell r="C244">
            <v>0.87831513260530425</v>
          </cell>
          <cell r="D244">
            <v>0.69548872180451127</v>
          </cell>
          <cell r="E244">
            <v>1.1409395973154361</v>
          </cell>
          <cell r="F244">
            <v>0.33953488372093021</v>
          </cell>
          <cell r="G244">
            <v>1.3636363636363635</v>
          </cell>
        </row>
        <row r="245">
          <cell r="A245">
            <v>35801</v>
          </cell>
          <cell r="B245">
            <v>0.66666666666666663</v>
          </cell>
          <cell r="C245">
            <v>0.9024960998439937</v>
          </cell>
          <cell r="D245">
            <v>0.69172932330827064</v>
          </cell>
          <cell r="E245">
            <v>1.1140939597315436</v>
          </cell>
          <cell r="F245">
            <v>0.32558139534883723</v>
          </cell>
          <cell r="G245">
            <v>1.3636363636363635</v>
          </cell>
        </row>
        <row r="246">
          <cell r="A246">
            <v>35802</v>
          </cell>
          <cell r="B246">
            <v>0.72607260726072609</v>
          </cell>
          <cell r="C246">
            <v>0.91107644305772228</v>
          </cell>
          <cell r="D246">
            <v>0.73308270676691734</v>
          </cell>
          <cell r="E246">
            <v>1.1677852348993289</v>
          </cell>
          <cell r="F246">
            <v>0.3174418604651163</v>
          </cell>
          <cell r="G246">
            <v>1.3636363636363635</v>
          </cell>
        </row>
        <row r="247">
          <cell r="A247">
            <v>35803</v>
          </cell>
          <cell r="B247">
            <v>0.68646864686468645</v>
          </cell>
          <cell r="C247">
            <v>0.88767550702028086</v>
          </cell>
          <cell r="D247">
            <v>0.74060150375939848</v>
          </cell>
          <cell r="E247">
            <v>1.1174496644295302</v>
          </cell>
          <cell r="F247">
            <v>0.30465116279069765</v>
          </cell>
          <cell r="G247">
            <v>1.3636363636363635</v>
          </cell>
        </row>
        <row r="248">
          <cell r="A248">
            <v>35804</v>
          </cell>
          <cell r="B248">
            <v>0.65841584158415845</v>
          </cell>
          <cell r="C248">
            <v>0.86895475819032764</v>
          </cell>
          <cell r="D248">
            <v>0.74060150375939848</v>
          </cell>
          <cell r="E248">
            <v>1.0536912751677852</v>
          </cell>
          <cell r="F248">
            <v>0.29186046511627906</v>
          </cell>
          <cell r="G248">
            <v>1.3636363636363635</v>
          </cell>
        </row>
        <row r="249">
          <cell r="A249">
            <v>35807</v>
          </cell>
          <cell r="B249">
            <v>0.65676567656765672</v>
          </cell>
          <cell r="C249">
            <v>0.87909516380655228</v>
          </cell>
          <cell r="D249">
            <v>0.74060150375939848</v>
          </cell>
          <cell r="E249">
            <v>1.0738255033557047</v>
          </cell>
          <cell r="F249">
            <v>0.28255813953488373</v>
          </cell>
          <cell r="G249">
            <v>1.3636363636363635</v>
          </cell>
        </row>
        <row r="250">
          <cell r="A250">
            <v>35808</v>
          </cell>
          <cell r="B250">
            <v>0.66666666666666663</v>
          </cell>
          <cell r="C250">
            <v>0.87753510140405622</v>
          </cell>
          <cell r="D250">
            <v>0.73684210526315785</v>
          </cell>
          <cell r="E250">
            <v>1.0604026845637584</v>
          </cell>
          <cell r="F250">
            <v>0.28720930232558139</v>
          </cell>
          <cell r="G250">
            <v>1.3636363636363635</v>
          </cell>
        </row>
        <row r="251">
          <cell r="A251">
            <v>35809</v>
          </cell>
          <cell r="B251">
            <v>0.68316831683168322</v>
          </cell>
          <cell r="C251">
            <v>0.87597503900156004</v>
          </cell>
          <cell r="D251">
            <v>0.72556390977443608</v>
          </cell>
          <cell r="E251">
            <v>1.0939597315436242</v>
          </cell>
          <cell r="F251">
            <v>0.29534883720930233</v>
          </cell>
          <cell r="G251">
            <v>1.3636363636363635</v>
          </cell>
        </row>
        <row r="252">
          <cell r="A252">
            <v>35810</v>
          </cell>
          <cell r="B252">
            <v>0.71287128712871284</v>
          </cell>
          <cell r="C252">
            <v>0.89235569422776906</v>
          </cell>
          <cell r="D252">
            <v>0.73496240601503759</v>
          </cell>
          <cell r="E252">
            <v>1.0704697986577181</v>
          </cell>
          <cell r="F252">
            <v>0.29418604651162789</v>
          </cell>
          <cell r="G252">
            <v>1.3636363636363635</v>
          </cell>
        </row>
        <row r="253">
          <cell r="A253">
            <v>35811</v>
          </cell>
          <cell r="B253">
            <v>0.7277227722772277</v>
          </cell>
          <cell r="C253">
            <v>0.89703588143525737</v>
          </cell>
          <cell r="D253">
            <v>0.75187969924812026</v>
          </cell>
          <cell r="E253">
            <v>1.0838926174496644</v>
          </cell>
          <cell r="F253">
            <v>0.29534883720930233</v>
          </cell>
          <cell r="G253">
            <v>1.3636363636363635</v>
          </cell>
        </row>
        <row r="254">
          <cell r="A254">
            <v>35814</v>
          </cell>
          <cell r="B254">
            <v>0.7277227722772277</v>
          </cell>
          <cell r="C254">
            <v>0.89703588143525737</v>
          </cell>
          <cell r="D254">
            <v>0.75187969924812026</v>
          </cell>
          <cell r="E254">
            <v>1.0838926174496644</v>
          </cell>
          <cell r="F254">
            <v>0.29534883720930233</v>
          </cell>
          <cell r="G254">
            <v>1.3636363636363635</v>
          </cell>
        </row>
        <row r="255">
          <cell r="A255">
            <v>35815</v>
          </cell>
          <cell r="B255">
            <v>0.73019801980198018</v>
          </cell>
          <cell r="C255">
            <v>0.90873634945397819</v>
          </cell>
          <cell r="D255">
            <v>0.77067669172932329</v>
          </cell>
          <cell r="E255">
            <v>1.0738255033557047</v>
          </cell>
          <cell r="F255">
            <v>0.27906976744186046</v>
          </cell>
          <cell r="G255">
            <v>1.3636363636363635</v>
          </cell>
        </row>
        <row r="256">
          <cell r="A256">
            <v>35816</v>
          </cell>
          <cell r="B256">
            <v>0.76567656765676573</v>
          </cell>
          <cell r="C256">
            <v>0.91575663026521059</v>
          </cell>
          <cell r="D256">
            <v>0.77631578947368418</v>
          </cell>
          <cell r="E256">
            <v>1.0704697986577181</v>
          </cell>
          <cell r="F256">
            <v>0.27209302325581397</v>
          </cell>
          <cell r="G256">
            <v>1.3636363636363635</v>
          </cell>
        </row>
        <row r="257">
          <cell r="A257">
            <v>35817</v>
          </cell>
          <cell r="B257">
            <v>0.7722772277227723</v>
          </cell>
          <cell r="C257">
            <v>0.92823712948517945</v>
          </cell>
          <cell r="D257">
            <v>0.77819548872180455</v>
          </cell>
          <cell r="E257">
            <v>1.063758389261745</v>
          </cell>
          <cell r="F257">
            <v>0.2744186046511628</v>
          </cell>
          <cell r="G257">
            <v>1.3636363636363635</v>
          </cell>
        </row>
        <row r="258">
          <cell r="A258">
            <v>35818</v>
          </cell>
          <cell r="B258">
            <v>0.77516501650165015</v>
          </cell>
          <cell r="C258">
            <v>0.92199687987519496</v>
          </cell>
          <cell r="D258">
            <v>0.75563909774436089</v>
          </cell>
          <cell r="E258">
            <v>1.0469798657718121</v>
          </cell>
          <cell r="F258">
            <v>0.27325581395348836</v>
          </cell>
          <cell r="G258">
            <v>1.3636363636363635</v>
          </cell>
        </row>
        <row r="259">
          <cell r="A259">
            <v>35821</v>
          </cell>
          <cell r="B259">
            <v>0.7722772277227723</v>
          </cell>
          <cell r="C259">
            <v>0.93447737909516382</v>
          </cell>
          <cell r="D259">
            <v>0.74812030075187974</v>
          </cell>
          <cell r="E259">
            <v>1.0604026845637584</v>
          </cell>
          <cell r="F259">
            <v>0.27093023255813953</v>
          </cell>
          <cell r="G259">
            <v>1.3636363636363635</v>
          </cell>
        </row>
        <row r="260">
          <cell r="A260">
            <v>35822</v>
          </cell>
          <cell r="B260">
            <v>0.78382838283828382</v>
          </cell>
          <cell r="C260">
            <v>0.94929797191887677</v>
          </cell>
          <cell r="D260">
            <v>0.75187969924812026</v>
          </cell>
          <cell r="E260">
            <v>1.0704697986577181</v>
          </cell>
          <cell r="F260">
            <v>0.2686046511627907</v>
          </cell>
          <cell r="G260">
            <v>1.3636363636363635</v>
          </cell>
        </row>
        <row r="261">
          <cell r="A261">
            <v>35823</v>
          </cell>
          <cell r="B261">
            <v>0.77557755775577553</v>
          </cell>
          <cell r="C261">
            <v>0.94149765990639622</v>
          </cell>
          <cell r="D261">
            <v>0.76879699248120303</v>
          </cell>
          <cell r="E261">
            <v>1.0771812080536913</v>
          </cell>
          <cell r="F261">
            <v>0.26279069767441859</v>
          </cell>
          <cell r="G261">
            <v>1.3636363636363635</v>
          </cell>
        </row>
        <row r="262">
          <cell r="A262">
            <v>35824</v>
          </cell>
          <cell r="B262">
            <v>0.75247524752475248</v>
          </cell>
          <cell r="C262">
            <v>0.93837753510140409</v>
          </cell>
          <cell r="D262">
            <v>0.78947368421052633</v>
          </cell>
          <cell r="E262">
            <v>1.080536912751678</v>
          </cell>
          <cell r="F262">
            <v>0.2686046511627907</v>
          </cell>
          <cell r="G262">
            <v>1.3636363636363635</v>
          </cell>
        </row>
        <row r="263">
          <cell r="A263">
            <v>35825</v>
          </cell>
          <cell r="B263">
            <v>0.76567656765676573</v>
          </cell>
          <cell r="C263">
            <v>0.91731669266770666</v>
          </cell>
          <cell r="D263">
            <v>0.78007518796992481</v>
          </cell>
          <cell r="E263">
            <v>1.0771812080536913</v>
          </cell>
          <cell r="F263">
            <v>0.32558139534883723</v>
          </cell>
          <cell r="G263">
            <v>1.3636363636363635</v>
          </cell>
        </row>
        <row r="264">
          <cell r="A264">
            <v>35828</v>
          </cell>
          <cell r="B264">
            <v>0.7722772277227723</v>
          </cell>
          <cell r="C264">
            <v>0.95709828393135721</v>
          </cell>
          <cell r="D264">
            <v>0.79135338345864659</v>
          </cell>
          <cell r="E264">
            <v>1.1073825503355705</v>
          </cell>
          <cell r="F264">
            <v>0.33023255813953489</v>
          </cell>
          <cell r="G264">
            <v>1.3636363636363635</v>
          </cell>
        </row>
        <row r="265">
          <cell r="A265">
            <v>35829</v>
          </cell>
          <cell r="B265">
            <v>0.78877887788778878</v>
          </cell>
          <cell r="C265">
            <v>0.95397815912636508</v>
          </cell>
          <cell r="D265">
            <v>0.77631578947368418</v>
          </cell>
          <cell r="E265">
            <v>1.0973154362416107</v>
          </cell>
          <cell r="F265">
            <v>0.30813953488372092</v>
          </cell>
          <cell r="G265">
            <v>1.3636363636363635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4"/>
      <sheetName val="09"/>
      <sheetName val="10"/>
      <sheetName val="11"/>
      <sheetName val="Total"/>
      <sheetName val="Europe"/>
      <sheetName val="US"/>
      <sheetName val="Sheet3"/>
      <sheetName val="DIV Y"/>
      <sheetName val="Inc"/>
      <sheetName val="Multiples"/>
    </sheetNames>
    <sheetDataSet>
      <sheetData sheetId="0"/>
      <sheetData sheetId="1"/>
      <sheetData sheetId="2"/>
      <sheetData sheetId="3"/>
      <sheetData sheetId="4" refreshError="1">
        <row r="322">
          <cell r="C322" t="str">
            <v>Quality 1</v>
          </cell>
          <cell r="D322">
            <v>54</v>
          </cell>
        </row>
        <row r="323">
          <cell r="C323" t="str">
            <v>Quality 2</v>
          </cell>
          <cell r="D323">
            <v>37</v>
          </cell>
        </row>
        <row r="324">
          <cell r="C324" t="str">
            <v>Quality 3</v>
          </cell>
          <cell r="D324">
            <v>33</v>
          </cell>
        </row>
        <row r="325">
          <cell r="C325" t="str">
            <v>Quality 4</v>
          </cell>
          <cell r="D325">
            <v>173</v>
          </cell>
        </row>
      </sheetData>
      <sheetData sheetId="5" refreshError="1"/>
      <sheetData sheetId="6" refreshError="1"/>
      <sheetData sheetId="7" refreshError="1"/>
      <sheetData sheetId="8"/>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vol."/>
      <sheetName val="Breakdown"/>
      <sheetName val="20 year"/>
      <sheetName val="ten year"/>
      <sheetName val="5 year"/>
      <sheetName val="spread"/>
      <sheetName val="Trading Summary"/>
      <sheetName val="Expected European Inv"/>
      <sheetName val="Diageo's investor base"/>
      <sheetName val="spread perf."/>
      <sheetName val="spread 2"/>
      <sheetName val="Global dist"/>
      <sheetName val="Global distribution"/>
      <sheetName val="Internat dist"/>
      <sheetName val="Post launch (6)"/>
      <sheetName val="Recent trading (7)"/>
      <sheetName val="salesvol_"/>
      <sheetName val="sales vol_"/>
      <sheetName val="Financials"/>
      <sheetName val="Stock Price"/>
      <sheetName val="20_year"/>
      <sheetName val="ten_year"/>
      <sheetName val="5_year"/>
      <sheetName val="Trading_Summary"/>
      <sheetName val="Expected_European_Inv"/>
      <sheetName val="Diageo's_investor_base"/>
      <sheetName val="sales_vol_"/>
      <sheetName val="spread_perf_"/>
      <sheetName val="spread_2"/>
      <sheetName val="Global_dist"/>
      <sheetName val="Global_distribution"/>
      <sheetName val="Internat_dist"/>
      <sheetName val="Post_launch_(6)"/>
      <sheetName val="Recent_trading_(7)"/>
      <sheetName val="sales_vol_1"/>
      <sheetName val="Stock_Price"/>
      <sheetName val="20_year1"/>
      <sheetName val="ten_year1"/>
      <sheetName val="5_year1"/>
      <sheetName val="Trading_Summary1"/>
      <sheetName val="Expected_European_Inv1"/>
      <sheetName val="Diageo's_investor_base1"/>
      <sheetName val="sales_vol_2"/>
      <sheetName val="spread_perf_1"/>
      <sheetName val="spread_21"/>
      <sheetName val="Global_dist1"/>
      <sheetName val="Global_distribution1"/>
      <sheetName val="Internat_dist1"/>
      <sheetName val="Post_launch_(6)1"/>
      <sheetName val="Recent_trading_(7)1"/>
      <sheetName val="sales_vol_3"/>
      <sheetName val="Stock_Price1"/>
      <sheetName val="20_year2"/>
      <sheetName val="ten_year2"/>
      <sheetName val="5_year2"/>
      <sheetName val="Trading_Summary2"/>
      <sheetName val="Expected_European_Inv2"/>
      <sheetName val="Diageo's_investor_base2"/>
      <sheetName val="sales_vol_4"/>
      <sheetName val="spread_perf_2"/>
      <sheetName val="spread_22"/>
      <sheetName val="Global_dist2"/>
      <sheetName val="Global_distribution2"/>
      <sheetName val="Internat_dist2"/>
      <sheetName val="Post_launch_(6)2"/>
      <sheetName val="Recent_trading_(7)2"/>
      <sheetName val="sales_vol_5"/>
      <sheetName val="Stock_Price2"/>
      <sheetName val="Input Projected"/>
      <sheetName val="consolidated"/>
      <sheetName val="oldSEG"/>
      <sheetName val="Quarters"/>
      <sheetName val="Financial Overview ShortProfile"/>
      <sheetName val="Summary"/>
      <sheetName val="CUS Image"/>
      <sheetName val="9-05046L"/>
      <sheetName val="Input"/>
      <sheetName val="ProForma"/>
      <sheetName val="__FDSCACHE__"/>
      <sheetName val="Output"/>
      <sheetName val="Sheet1"/>
      <sheetName val="Delhaize"/>
      <sheetName val="Prop Model"/>
      <sheetName val="Office Data"/>
      <sheetName val="Pro forma IS"/>
      <sheetName val="BTMAIN"/>
      <sheetName val="Assumptions"/>
      <sheetName val="OPER"/>
      <sheetName val="RSR"/>
      <sheetName val="Weeklies"/>
      <sheetName val="Opportunity Codes "/>
      <sheetName val="2013"/>
      <sheetName val="Sheet2"/>
      <sheetName val="Sheet3"/>
      <sheetName val="Sheet4"/>
      <sheetName val="Total"/>
      <sheetName val="CAPITAL PH1"/>
      <sheetName val=" BUDGET P1"/>
      <sheetName val="EuroInputs"/>
      <sheetName val="MktAss"/>
      <sheetName val="A"/>
      <sheetName val="Corp Overhead"/>
      <sheetName val="MWC"/>
      <sheetName val="Corp_Overhead"/>
      <sheetName val="Corp_Overhead1"/>
      <sheetName val="Corp_Overhead2"/>
      <sheetName val="CAPEX"/>
      <sheetName val="Parameters"/>
      <sheetName val="INPUT ACQUIROR DATA"/>
      <sheetName val="Transaction-Assum."/>
      <sheetName val="Gráfico"/>
      <sheetName val="Data"/>
      <sheetName val="All Sum"/>
      <sheetName val="P&amp;L --KRON"/>
      <sheetName val="P&amp;L -BayTV"/>
      <sheetName val="215002"/>
      <sheetName val="Summary Financials"/>
      <sheetName val="Amarillo I-40-HI"/>
      <sheetName val="LTM"/>
      <sheetName val="CREDIT STATS"/>
      <sheetName val="DropZone"/>
      <sheetName val="Cover"/>
      <sheetName val="Total Firm"/>
      <sheetName val="Data for 03-04 Base Position"/>
      <sheetName val="company"/>
      <sheetName val="BS Rollup"/>
      <sheetName val="BEV"/>
      <sheetName val="EBITDA"/>
      <sheetName val="Price Performance Output"/>
      <sheetName val="Historical Multiples Output"/>
      <sheetName val="Straw Man"/>
      <sheetName val="MedSolutions Financial Data"/>
      <sheetName val="Football Field "/>
      <sheetName val="DCF"/>
      <sheetName val="Qcharts"/>
      <sheetName val="Charts"/>
      <sheetName val="Offers G&amp;C"/>
      <sheetName val="Offers GE"/>
      <sheetName val="Offers GS"/>
      <sheetName val="Offers MC"/>
      <sheetName val="13199"/>
      <sheetName val="PNGOil"/>
      <sheetName val="Model"/>
      <sheetName val="MLP IPO Yields vs MLP Index"/>
      <sheetName val="Control Panel"/>
      <sheetName val="Market"/>
      <sheetName val="Country Risk"/>
      <sheetName val="Quarterly rates"/>
      <sheetName val="Codes"/>
      <sheetName val="NCV Pivot"/>
      <sheetName val="exec sum (ncv) (3)"/>
      <sheetName val="Data Control"/>
    </sheetNames>
    <sheetDataSet>
      <sheetData sheetId="0" refreshError="1">
        <row r="34">
          <cell r="J34" t="str">
            <v>Europe</v>
          </cell>
        </row>
        <row r="35">
          <cell r="J35" t="str">
            <v>Other</v>
          </cell>
        </row>
        <row r="36">
          <cell r="J36" t="str">
            <v>Swiss</v>
          </cell>
        </row>
        <row r="37">
          <cell r="J37" t="str">
            <v>UK</v>
          </cell>
        </row>
        <row r="211">
          <cell r="J211" t="str">
            <v>Europe</v>
          </cell>
          <cell r="K211">
            <v>42560000</v>
          </cell>
        </row>
        <row r="212">
          <cell r="J212" t="str">
            <v>Other</v>
          </cell>
          <cell r="K212">
            <v>87425000</v>
          </cell>
        </row>
        <row r="213">
          <cell r="J213" t="str">
            <v>Swiss</v>
          </cell>
          <cell r="K213">
            <v>24660000</v>
          </cell>
        </row>
        <row r="214">
          <cell r="J214" t="str">
            <v>UK</v>
          </cell>
          <cell r="K214">
            <v>42000000</v>
          </cell>
        </row>
        <row r="398">
          <cell r="J398" t="str">
            <v>Europe</v>
          </cell>
          <cell r="K398">
            <v>33000000</v>
          </cell>
        </row>
        <row r="399">
          <cell r="J399" t="str">
            <v>Other</v>
          </cell>
          <cell r="K399">
            <v>21500000</v>
          </cell>
        </row>
        <row r="400">
          <cell r="J400" t="str">
            <v>Swiss</v>
          </cell>
          <cell r="K400">
            <v>116440000</v>
          </cell>
        </row>
        <row r="401">
          <cell r="J401" t="str">
            <v>UK</v>
          </cell>
          <cell r="K401">
            <v>101448000</v>
          </cell>
        </row>
        <row r="1121">
          <cell r="I1121" t="str">
            <v>Europe</v>
          </cell>
          <cell r="J1121">
            <v>11000000</v>
          </cell>
        </row>
        <row r="1122">
          <cell r="I1122" t="str">
            <v>Swiss</v>
          </cell>
          <cell r="J1122">
            <v>3370000</v>
          </cell>
        </row>
        <row r="1632">
          <cell r="I1632" t="str">
            <v>Europe</v>
          </cell>
          <cell r="J1632">
            <v>96300000</v>
          </cell>
        </row>
        <row r="1633">
          <cell r="I1633" t="str">
            <v>Other</v>
          </cell>
          <cell r="J1633">
            <v>39000000</v>
          </cell>
        </row>
        <row r="1634">
          <cell r="I1634" t="str">
            <v>Swiss</v>
          </cell>
          <cell r="J1634">
            <v>92900000</v>
          </cell>
        </row>
        <row r="1635">
          <cell r="I1635" t="str">
            <v>UK</v>
          </cell>
          <cell r="J1635">
            <v>64000000</v>
          </cell>
        </row>
        <row r="2248">
          <cell r="I2248" t="str">
            <v>Europe</v>
          </cell>
          <cell r="J2248">
            <v>12600000</v>
          </cell>
        </row>
        <row r="2249">
          <cell r="I2249" t="str">
            <v>Other</v>
          </cell>
          <cell r="J2249">
            <v>24500000</v>
          </cell>
        </row>
        <row r="2250">
          <cell r="I2250" t="str">
            <v>Swiss</v>
          </cell>
          <cell r="J2250">
            <v>56200000</v>
          </cell>
        </row>
        <row r="2251">
          <cell r="I2251" t="str">
            <v>UK</v>
          </cell>
          <cell r="J2251">
            <v>56400000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Settings"/>
      <sheetName val="SectList"/>
      <sheetName val="AcList"/>
      <sheetName val="DepList"/>
      <sheetName val="CurList"/>
      <sheetName val="SectTB"/>
      <sheetName val="SectCDTB"/>
      <sheetName val="AcTB"/>
      <sheetName val="AcCDTB"/>
      <sheetName val="Settings"/>
      <sheetName val="TB Scheme A"/>
      <sheetName val="TB Scheme B"/>
      <sheetName val="TB Scheme C"/>
      <sheetName val="TB Scheme D"/>
      <sheetName val="Check List"/>
      <sheetName val="History"/>
      <sheetName val="TB"/>
      <sheetName val="Data"/>
      <sheetName val="CFWorkings"/>
      <sheetName val="Cover"/>
      <sheetName val="Contents"/>
      <sheetName val="Information"/>
      <sheetName val="Director"/>
      <sheetName val="Responsibilities"/>
      <sheetName val="Audit"/>
      <sheetName val="Compilation"/>
      <sheetName val="Accountant"/>
      <sheetName val="PL"/>
      <sheetName val="RGL"/>
      <sheetName val="PL 1 Page"/>
      <sheetName val="BS"/>
      <sheetName val="CF"/>
      <sheetName val="BS 1 Page"/>
      <sheetName val="Cash Flow"/>
      <sheetName val="Notes"/>
      <sheetName val="DetailPL1"/>
      <sheetName val="DetailPL2"/>
      <sheetName val="AbbCover"/>
      <sheetName val="AbbAudit"/>
      <sheetName val="AbbCompilation"/>
      <sheetName val="AbbAccountant"/>
      <sheetName val="AbbBS"/>
      <sheetName val="AbbNotes"/>
      <sheetName val="Library"/>
      <sheetName val="Info Required"/>
      <sheetName val="FAR"/>
      <sheetName val="Tax Comp"/>
      <sheetName val="Workings"/>
      <sheetName val="VT_Results"/>
      <sheetName val="2004 05 SCS UK management acco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6">
          <cell r="C56" t="str">
            <v>Stem Cell Sciences (UK) Limited</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MultInputs"/>
      <sheetName val="Setup"/>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F26"/>
  <sheetViews>
    <sheetView showGridLines="0" view="pageBreakPreview" zoomScale="60" zoomScaleNormal="100" workbookViewId="0">
      <selection activeCell="D13" sqref="D13:D14"/>
    </sheetView>
  </sheetViews>
  <sheetFormatPr defaultColWidth="9.28515625" defaultRowHeight="15" x14ac:dyDescent="0.25"/>
  <cols>
    <col min="1" max="1" width="3" style="1" customWidth="1"/>
    <col min="2" max="2" width="3.28515625" style="1" customWidth="1"/>
    <col min="3" max="3" width="9.28515625" style="1"/>
    <col min="4" max="4" width="91.7109375" style="2" customWidth="1"/>
    <col min="5" max="5" width="8.7109375" style="1" customWidth="1"/>
    <col min="6" max="6" width="3.28515625" style="1" customWidth="1"/>
    <col min="7" max="7" width="2.42578125" style="1" customWidth="1"/>
    <col min="8" max="16384" width="9.28515625" style="1"/>
  </cols>
  <sheetData>
    <row r="6" spans="2:6" ht="15.75" thickBot="1" x14ac:dyDescent="0.3">
      <c r="B6" s="3"/>
      <c r="C6" s="4"/>
      <c r="D6" s="5"/>
      <c r="E6" s="4"/>
      <c r="F6" s="4"/>
    </row>
    <row r="7" spans="2:6" ht="15.75" thickTop="1" x14ac:dyDescent="0.25">
      <c r="B7" s="6"/>
      <c r="C7" s="7"/>
      <c r="D7" s="8"/>
      <c r="E7" s="7"/>
      <c r="F7" s="7"/>
    </row>
    <row r="8" spans="2:6" s="9" customFormat="1" ht="49.5" x14ac:dyDescent="0.65">
      <c r="B8" s="10"/>
      <c r="C8" s="11"/>
      <c r="D8" s="12" t="s">
        <v>0</v>
      </c>
      <c r="E8" s="11"/>
      <c r="F8" s="11"/>
    </row>
    <row r="9" spans="2:6" x14ac:dyDescent="0.25">
      <c r="B9" s="6"/>
      <c r="C9" s="7"/>
      <c r="D9" s="7"/>
      <c r="E9" s="7"/>
      <c r="F9" s="7"/>
    </row>
    <row r="10" spans="2:6" x14ac:dyDescent="0.25">
      <c r="B10" s="6"/>
      <c r="C10" s="7"/>
      <c r="D10" s="7"/>
      <c r="E10" s="7"/>
      <c r="F10" s="7"/>
    </row>
    <row r="11" spans="2:6" ht="35.25" x14ac:dyDescent="0.5">
      <c r="B11" s="6"/>
      <c r="C11" s="7"/>
      <c r="D11" s="13" t="str">
        <f>"Satellite Healthcare "&amp;Outline!M2&amp;""</f>
        <v>Satellite Healthcare - Wellbound Santa Cruz</v>
      </c>
      <c r="E11" s="7"/>
      <c r="F11" s="7"/>
    </row>
    <row r="12" spans="2:6" x14ac:dyDescent="0.25">
      <c r="B12" s="14"/>
      <c r="C12" s="7"/>
      <c r="D12" s="15"/>
      <c r="E12" s="7"/>
      <c r="F12" s="7"/>
    </row>
    <row r="13" spans="2:6" ht="20.25" x14ac:dyDescent="0.3">
      <c r="B13" s="6"/>
      <c r="C13" s="7"/>
      <c r="D13" s="16" t="s">
        <v>303</v>
      </c>
      <c r="E13" s="7"/>
      <c r="F13" s="7"/>
    </row>
    <row r="14" spans="2:6" ht="20.25" x14ac:dyDescent="0.3">
      <c r="B14" s="6"/>
      <c r="C14" s="7"/>
      <c r="D14" s="16" t="s">
        <v>304</v>
      </c>
      <c r="E14" s="7"/>
      <c r="F14" s="7"/>
    </row>
    <row r="15" spans="2:6" ht="20.25" x14ac:dyDescent="0.3">
      <c r="B15" s="6"/>
      <c r="C15" s="7"/>
      <c r="D15" s="16"/>
      <c r="E15" s="7"/>
      <c r="F15" s="7"/>
    </row>
    <row r="16" spans="2:6" ht="15.75" thickBot="1" x14ac:dyDescent="0.3">
      <c r="B16" s="17"/>
      <c r="C16" s="18"/>
      <c r="D16" s="19"/>
      <c r="E16" s="18"/>
      <c r="F16" s="18"/>
    </row>
    <row r="17" spans="4:4" ht="15.75" thickTop="1" x14ac:dyDescent="0.25"/>
    <row r="20" spans="4:4" ht="26.25" x14ac:dyDescent="0.4">
      <c r="D20" s="20" t="s">
        <v>1</v>
      </c>
    </row>
    <row r="21" spans="4:4" ht="26.25" x14ac:dyDescent="0.4">
      <c r="D21" s="21">
        <f ca="1">NOW()</f>
        <v>43587.625225810189</v>
      </c>
    </row>
    <row r="26" spans="4:4" ht="47.65" customHeight="1" x14ac:dyDescent="0.25"/>
  </sheetData>
  <printOptions horizontalCentered="1" verticalCentered="1"/>
  <pageMargins left="0.7" right="0.7" top="0.75" bottom="0.75" header="0.3" footer="0.3"/>
  <pageSetup fitToWidth="0"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42"/>
  <sheetViews>
    <sheetView showGridLines="0" view="pageBreakPreview" zoomScaleNormal="100" zoomScaleSheetLayoutView="100" workbookViewId="0">
      <selection activeCell="D13" sqref="D13:D14"/>
    </sheetView>
  </sheetViews>
  <sheetFormatPr defaultColWidth="9.140625" defaultRowHeight="12.75" outlineLevelRow="1" outlineLevelCol="1" x14ac:dyDescent="0.2"/>
  <cols>
    <col min="1" max="1" width="2.7109375" style="54" customWidth="1"/>
    <col min="2" max="2" width="37.28515625" style="54" customWidth="1"/>
    <col min="3" max="3" width="2.42578125" style="54" customWidth="1"/>
    <col min="4" max="4" width="10" style="54" customWidth="1"/>
    <col min="5" max="5" width="9.28515625" style="54" hidden="1" customWidth="1" outlineLevel="1"/>
    <col min="6" max="7" width="8.42578125" style="54" hidden="1" customWidth="1" outlineLevel="1"/>
    <col min="8" max="8" width="9" style="54" customWidth="1" collapsed="1"/>
    <col min="9" max="9" width="9.85546875" style="54" customWidth="1"/>
    <col min="10" max="10" width="8.42578125" style="54" customWidth="1"/>
    <col min="11" max="11" width="10" style="54" customWidth="1"/>
    <col min="12" max="12" width="2.42578125" style="54" customWidth="1"/>
    <col min="13" max="13" width="8.7109375" style="54" customWidth="1"/>
    <col min="14" max="15" width="7.5703125" style="54" customWidth="1"/>
    <col min="16" max="16" width="2.42578125" style="229" customWidth="1"/>
    <col min="17" max="17" width="7.5703125" style="54" customWidth="1"/>
    <col min="18" max="18" width="2.42578125" style="54" customWidth="1"/>
    <col min="19" max="19" width="10" style="54" hidden="1" customWidth="1" outlineLevel="1"/>
    <col min="20" max="20" width="8.42578125" style="54" hidden="1" customWidth="1" outlineLevel="1"/>
    <col min="21" max="23" width="7.5703125" style="54" hidden="1" customWidth="1" outlineLevel="1"/>
    <col min="24" max="24" width="10.28515625" style="54" customWidth="1" collapsed="1"/>
    <col min="25" max="25" width="8.140625" style="54" customWidth="1"/>
    <col min="26" max="26" width="2.7109375" style="54" customWidth="1"/>
    <col min="27" max="27" width="15" style="54" bestFit="1" customWidth="1"/>
    <col min="28" max="28" width="10.5703125" style="54" bestFit="1" customWidth="1"/>
    <col min="29" max="29" width="8.140625" style="54" bestFit="1" customWidth="1"/>
    <col min="30" max="30" width="8.7109375" style="54" bestFit="1" customWidth="1"/>
    <col min="31" max="16384" width="9.140625" style="54"/>
  </cols>
  <sheetData>
    <row r="1" spans="2:35" s="34" customFormat="1" ht="10.7" customHeight="1" thickBot="1" x14ac:dyDescent="0.25"/>
    <row r="2" spans="2:35" s="34" customFormat="1" ht="16.5" customHeight="1" thickTop="1" x14ac:dyDescent="0.25">
      <c r="B2" s="35" t="str">
        <f>Outline!B2</f>
        <v>Satellite Healthcare - Wellbound Santa Cruz</v>
      </c>
      <c r="C2" s="35"/>
      <c r="D2" s="35"/>
      <c r="E2" s="35"/>
      <c r="F2" s="35"/>
      <c r="G2" s="35"/>
      <c r="H2" s="35"/>
      <c r="I2" s="35"/>
      <c r="J2" s="35"/>
      <c r="K2" s="35"/>
      <c r="L2" s="35"/>
      <c r="M2" s="35"/>
      <c r="N2" s="35"/>
      <c r="O2" s="35"/>
      <c r="P2" s="35"/>
      <c r="Q2" s="35"/>
      <c r="R2" s="35"/>
      <c r="S2" s="35"/>
      <c r="T2" s="35"/>
      <c r="U2" s="35"/>
      <c r="V2" s="35"/>
      <c r="W2" s="35"/>
      <c r="X2" s="35"/>
      <c r="Y2" s="35"/>
      <c r="AA2" s="96" t="s">
        <v>95</v>
      </c>
      <c r="AB2" s="331">
        <f>'Asset Vol_2'!AB2</f>
        <v>43465</v>
      </c>
    </row>
    <row r="3" spans="2:35" s="34" customFormat="1" ht="15.75" customHeight="1" x14ac:dyDescent="0.25">
      <c r="B3" s="36" t="str">
        <f>Outline!C15</f>
        <v>Workpaper 7</v>
      </c>
      <c r="C3" s="36"/>
      <c r="D3" s="36"/>
      <c r="E3" s="36"/>
      <c r="F3" s="36"/>
      <c r="G3" s="36"/>
      <c r="H3" s="36"/>
      <c r="I3" s="36"/>
      <c r="J3" s="36"/>
      <c r="K3" s="36"/>
      <c r="L3" s="36"/>
      <c r="M3" s="36"/>
      <c r="N3" s="36"/>
      <c r="O3" s="36"/>
      <c r="P3" s="36"/>
      <c r="Q3" s="36"/>
      <c r="R3" s="36"/>
      <c r="S3" s="36"/>
      <c r="T3" s="36"/>
      <c r="U3" s="36"/>
      <c r="V3" s="36"/>
      <c r="W3" s="36"/>
      <c r="X3" s="36"/>
      <c r="Y3" s="36"/>
      <c r="AA3" s="77" t="s">
        <v>96</v>
      </c>
      <c r="AB3" s="327" t="s">
        <v>97</v>
      </c>
    </row>
    <row r="4" spans="2:35" s="34" customFormat="1" ht="16.5" customHeight="1" thickBot="1" x14ac:dyDescent="0.3">
      <c r="B4" s="37" t="str">
        <f>"Asset Volatility - Term of "&amp;TEXT(N7,"0.00")&amp;" Year"</f>
        <v>Asset Volatility - Term of 1.75 Year</v>
      </c>
      <c r="C4" s="37"/>
      <c r="D4" s="37"/>
      <c r="E4" s="37"/>
      <c r="F4" s="37"/>
      <c r="G4" s="37"/>
      <c r="H4" s="37"/>
      <c r="I4" s="37"/>
      <c r="J4" s="37"/>
      <c r="K4" s="37"/>
      <c r="L4" s="37"/>
      <c r="M4" s="37"/>
      <c r="N4" s="37"/>
      <c r="O4" s="37"/>
      <c r="P4" s="37"/>
      <c r="Q4" s="37"/>
      <c r="R4" s="37"/>
      <c r="S4" s="37"/>
      <c r="T4" s="37"/>
      <c r="U4" s="37"/>
      <c r="V4" s="37"/>
      <c r="W4" s="37"/>
      <c r="X4" s="37"/>
      <c r="Y4" s="144" t="s">
        <v>98</v>
      </c>
      <c r="AA4" s="77" t="s">
        <v>99</v>
      </c>
      <c r="AB4" s="328" t="s">
        <v>100</v>
      </c>
    </row>
    <row r="5" spans="2:35" s="34" customFormat="1" ht="12.75" customHeight="1" thickTop="1" x14ac:dyDescent="0.2">
      <c r="B5" s="103"/>
      <c r="P5" s="103"/>
      <c r="AA5" s="77" t="s">
        <v>101</v>
      </c>
      <c r="AB5" s="327" t="s">
        <v>102</v>
      </c>
    </row>
    <row r="6" spans="2:35" s="34" customFormat="1" ht="12.75" customHeight="1" x14ac:dyDescent="0.2">
      <c r="B6" s="103"/>
      <c r="P6" s="103"/>
      <c r="AA6" s="82" t="s">
        <v>103</v>
      </c>
      <c r="AB6" s="329" t="s">
        <v>104</v>
      </c>
    </row>
    <row r="7" spans="2:35" s="34" customFormat="1" ht="12.75" hidden="1" customHeight="1" outlineLevel="1" x14ac:dyDescent="0.2">
      <c r="N7" s="145">
        <f>'DLOM_Quantitative Methods'!F9</f>
        <v>1.75</v>
      </c>
      <c r="O7" s="98">
        <f>'Risk-Free Rates'!F45</f>
        <v>2.5174999999999999E-2</v>
      </c>
      <c r="P7" s="103"/>
      <c r="Q7" s="146">
        <f>ROUND(N7,0)</f>
        <v>2</v>
      </c>
    </row>
    <row r="8" spans="2:35" s="34" customFormat="1" ht="25.5" customHeight="1" collapsed="1" x14ac:dyDescent="0.2">
      <c r="D8" s="92" t="s">
        <v>105</v>
      </c>
      <c r="E8" s="93"/>
      <c r="F8" s="93"/>
      <c r="G8" s="93"/>
      <c r="H8" s="93"/>
      <c r="I8" s="93"/>
      <c r="J8" s="93"/>
      <c r="K8" s="94"/>
      <c r="M8" s="92" t="s">
        <v>106</v>
      </c>
      <c r="N8" s="93"/>
      <c r="O8" s="93"/>
      <c r="P8" s="147"/>
      <c r="Q8" s="94"/>
      <c r="S8" s="386" t="s">
        <v>107</v>
      </c>
      <c r="T8" s="387"/>
      <c r="U8" s="387"/>
      <c r="V8" s="387"/>
      <c r="W8" s="387"/>
      <c r="X8" s="386" t="s">
        <v>107</v>
      </c>
      <c r="Y8" s="388"/>
    </row>
    <row r="9" spans="2:35" s="149" customFormat="1" ht="43.5" customHeight="1" x14ac:dyDescent="0.2">
      <c r="B9" s="148" t="s">
        <v>108</v>
      </c>
      <c r="D9" s="150" t="s">
        <v>109</v>
      </c>
      <c r="E9" s="151" t="s">
        <v>45</v>
      </c>
      <c r="F9" s="151" t="s">
        <v>110</v>
      </c>
      <c r="G9" s="151" t="s">
        <v>111</v>
      </c>
      <c r="H9" s="151" t="s">
        <v>112</v>
      </c>
      <c r="I9" s="151" t="s">
        <v>113</v>
      </c>
      <c r="J9" s="151" t="s">
        <v>114</v>
      </c>
      <c r="K9" s="152" t="s">
        <v>115</v>
      </c>
      <c r="L9" s="153"/>
      <c r="M9" s="150" t="s">
        <v>57</v>
      </c>
      <c r="N9" s="151" t="s">
        <v>116</v>
      </c>
      <c r="O9" s="152" t="s">
        <v>56</v>
      </c>
      <c r="P9" s="154"/>
      <c r="Q9" s="155" t="s">
        <v>117</v>
      </c>
      <c r="R9" s="154"/>
      <c r="S9" s="150" t="s">
        <v>118</v>
      </c>
      <c r="T9" s="151" t="s">
        <v>67</v>
      </c>
      <c r="U9" s="151" t="s">
        <v>68</v>
      </c>
      <c r="V9" s="151" t="s">
        <v>119</v>
      </c>
      <c r="W9" s="151" t="s">
        <v>120</v>
      </c>
      <c r="X9" s="150" t="s">
        <v>121</v>
      </c>
      <c r="Y9" s="152" t="s">
        <v>122</v>
      </c>
      <c r="Z9" s="156" t="s">
        <v>55</v>
      </c>
      <c r="AA9" s="157" t="s">
        <v>123</v>
      </c>
      <c r="AB9" s="158"/>
      <c r="AC9" s="158"/>
      <c r="AD9" s="159"/>
    </row>
    <row r="10" spans="2:35" s="34" customFormat="1" ht="12.75" customHeight="1" x14ac:dyDescent="0.2">
      <c r="P10" s="103"/>
    </row>
    <row r="11" spans="2:35" s="34" customFormat="1" ht="12.75" customHeight="1" x14ac:dyDescent="0.2">
      <c r="B11" s="160" t="str">
        <f>_xll.ciqfunctions.udf.CIQ($AA11,"IQ_COMPANY_NAME")</f>
        <v>Fresenius SE &amp; Co. KGaA</v>
      </c>
      <c r="D11" s="161">
        <f>_xll.ciqfunctions.udf.CIQ($AA11, "IQ_MARKETCAP", $AB$2, $AB$5, $AB$6)</f>
        <v>26881.01298</v>
      </c>
      <c r="E11" s="162">
        <f>_xll.ciqfunctions.udf.CIQ($AA11, "IQ_TOTAL_DEBT", IQ_LTM, $AB$2,$AB$4, $AB$3, $AB$5, $AB$6)</f>
        <v>22029.74324</v>
      </c>
      <c r="F11" s="162">
        <f>_xll.ciqfunctions.udf.CIQ($AA11, "IQ_PREF_EQUITY", IQ_LTM, $AB$2, $AB$4, $AB$3, $AB$5, $AB$6)</f>
        <v>0</v>
      </c>
      <c r="G11" s="162">
        <f>_xll.ciqfunctions.udf.CIQ($AA11, "IQ_MINORITY_INTEREST_TOTAL", IQ_LTM, $AB$2, $AB$4, $AB$3, $AB$5, $AB$6)</f>
        <v>10668.060880000001</v>
      </c>
      <c r="H11" s="116">
        <f>SUM(E11:G11)</f>
        <v>32697.804120000001</v>
      </c>
      <c r="I11" s="116">
        <f>SUM(D11:G11)</f>
        <v>59578.8171</v>
      </c>
      <c r="J11" s="163">
        <f>_xll.ciqfunctions.udf.CIQ($AA11, "IQ_CASH_ST_INVEST", IQ_LTM, $AB$2, $AB$4, $AB$3, $AB$5, $AB$6)</f>
        <v>2853.4913499999998</v>
      </c>
      <c r="K11" s="163">
        <f>_xll.ciqfunctions.udf.CIQ($AA11, "IQ_TEV", $AB$2, $AB$5, $AB$6)</f>
        <v>56291.36333</v>
      </c>
      <c r="M11" s="164">
        <f>IFERROR(_xll.ciqfunctions.udf.CIQ($AA11, "IQ_DIVIDEND_YIELD", $AB$2)/100,0)</f>
        <v>1.7763999999999999E-2</v>
      </c>
      <c r="N11" s="116">
        <f t="shared" ref="N11:O15" si="0">N$7</f>
        <v>1.75</v>
      </c>
      <c r="O11" s="165">
        <f t="shared" si="0"/>
        <v>2.5174999999999999E-2</v>
      </c>
      <c r="P11" s="166"/>
      <c r="Q11" s="167">
        <f>IFERROR(HLOOKUP($Q$7,'Equity Vol'!$B$8:$K10,ROWS('Equity Vol'!$C$8:$C10),FALSE),"n/a")</f>
        <v>0.28856512088536501</v>
      </c>
      <c r="R11" s="103"/>
      <c r="S11" s="168">
        <f>IFERROR(IF(Q11="n/a","n/a",Q11^2),"n/a")</f>
        <v>8.3269828991585318E-2</v>
      </c>
      <c r="T11" s="168">
        <f>IF(OR(K11="n/a",S11="n/a"),"n/a",IF(H11=0,0,IF(M11=0,(LN(K11/H11)+((O11+(S11/2))*N11))/((S11*N11)^0.5),(LN(K11/H11)+((O11-M11+(S11/2))*N11))/((S11*N11)^0.5))))</f>
        <v>1.6479030515186694</v>
      </c>
      <c r="U11" s="169">
        <f>IF(T11="n/a","n/a",IF(H11=0,0,T11-(S11*N11)^0.5))</f>
        <v>1.2661672780636861</v>
      </c>
      <c r="V11" s="169">
        <f>IF(OR(T11="n/a",S11="n/a"),"n/a",IF(H11=0,0,NORMSDIST(T11)))</f>
        <v>0.950313716432578</v>
      </c>
      <c r="W11" s="169">
        <f>IF(OR(U11="n/a",S11="n/a"),"n/a",IF(H11=0,0,NORMSDIST(U11)))</f>
        <v>0.89727340006084211</v>
      </c>
      <c r="X11" s="170">
        <f>IF(OR(K11="n/a",S11="n/a"),"n/a",IF(M11=0,(K11*V11)-((H11*EXP(1)^(-O11*N11))*W11),(K11*(2.718^(-M11*N11))*V11)-(H11*(2.718^(-O11*N11))*W11)))</f>
        <v>23782.725852218759</v>
      </c>
      <c r="Y11" s="171">
        <f>IFERROR(IF(LEN(B11)&gt;0,IF(H11=0,Q11,IF(ISERROR(Q11/((K11/X11)*V11)),"n/a",Q11/((K11/X11)*V11)))),"n/a")</f>
        <v>0.12829115093149979</v>
      </c>
      <c r="AA11" s="172" t="str">
        <f>'Asset Vol_2'!AA11</f>
        <v>DB:FRE</v>
      </c>
      <c r="AB11" s="116"/>
      <c r="AC11" s="173"/>
      <c r="AI11" s="174"/>
    </row>
    <row r="12" spans="2:35" s="34" customFormat="1" ht="12.75" customHeight="1" x14ac:dyDescent="0.2">
      <c r="B12" s="160" t="str">
        <f>_xll.ciqfunctions.udf.CIQ($AA12,"IQ_COMPANY_NAME")</f>
        <v>Fresenius Medical Care AG &amp; Co. KGaA</v>
      </c>
      <c r="D12" s="161">
        <f>_xll.ciqfunctions.udf.CIQ($AA12, "IQ_MARKETCAP", $AB$2, $AB$5, $AB$6)</f>
        <v>19898.931329999999</v>
      </c>
      <c r="E12" s="162">
        <f>_xll.ciqfunctions.udf.CIQ($AA12, "IQ_TOTAL_DEBT", IQ_LTM, $AB$2,$AB$4, $AB$3, $AB$5, $AB$6)</f>
        <v>8562.8604599999999</v>
      </c>
      <c r="F12" s="162">
        <f>_xll.ciqfunctions.udf.CIQ($AA12, "IQ_PREF_EQUITY", IQ_LTM, $AB$2, $AB$4, $AB$3, $AB$5, $AB$6)</f>
        <v>0</v>
      </c>
      <c r="G12" s="162">
        <f>_xll.ciqfunctions.udf.CIQ($AA12, "IQ_MINORITY_INTEREST_TOTAL", IQ_LTM, $AB$2, $AB$4, $AB$3, $AB$5, $AB$6)</f>
        <v>1312.1436000000001</v>
      </c>
      <c r="H12" s="116">
        <f>SUM(E12:G12)</f>
        <v>9875.0040599999993</v>
      </c>
      <c r="I12" s="116">
        <f>SUM(D12:G12)</f>
        <v>29773.935389999999</v>
      </c>
      <c r="J12" s="163">
        <f>_xll.ciqfunctions.udf.CIQ($AA12, "IQ_CASH_ST_INVEST", IQ_LTM, $AB$2, $AB$4, $AB$3, $AB$5, $AB$6)</f>
        <v>2037.9365600000001</v>
      </c>
      <c r="K12" s="163">
        <f>_xll.ciqfunctions.udf.CIQ($AA12, "IQ_TEV", $AB$2, $AB$5, $AB$6)</f>
        <v>27622.041020000001</v>
      </c>
      <c r="M12" s="164">
        <f>IFERROR(_xll.ciqfunctions.udf.CIQ($AA12, "IQ_DIVIDEND_YIELD", $AB$2)/100,0)</f>
        <v>1.8713999999999998E-2</v>
      </c>
      <c r="N12" s="116">
        <f t="shared" si="0"/>
        <v>1.75</v>
      </c>
      <c r="O12" s="165">
        <f t="shared" si="0"/>
        <v>2.5174999999999999E-2</v>
      </c>
      <c r="P12" s="166"/>
      <c r="Q12" s="167">
        <f>IFERROR(HLOOKUP($Q$7,'Equity Vol'!$B$8:$K11,ROWS('Equity Vol'!$C$8:$C11),FALSE),"n/a")</f>
        <v>0.26144451973052713</v>
      </c>
      <c r="R12" s="103"/>
      <c r="S12" s="168">
        <f>IFERROR(IF(Q12="n/a","n/a",Q12^2),"n/a")</f>
        <v>6.8353236897125982E-2</v>
      </c>
      <c r="T12" s="168">
        <f>IF(OR(K12="n/a",S12="n/a"),"n/a",IF(H12=0,0,IF(M12=0,(LN(K12/H12)+((O12+(S12/2))*N12))/((S12*N12)^0.5),(LN(K12/H12)+((O12-M12+(S12/2))*N12))/((S12*N12)^0.5))))</f>
        <v>3.1796901465241194</v>
      </c>
      <c r="U12" s="169">
        <f>IF(T12="n/a","n/a",IF(H12=0,0,T12-(S12*N12)^0.5))</f>
        <v>2.833831556100272</v>
      </c>
      <c r="V12" s="169">
        <f>IF(OR(T12="n/a",S12="n/a"),"n/a",IF(H12=0,0,NORMSDIST(T12)))</f>
        <v>0.99926283696624385</v>
      </c>
      <c r="W12" s="169">
        <f>IF(OR(U12="n/a",S12="n/a"),"n/a",IF(H12=0,0,NORMSDIST(U12)))</f>
        <v>0.99770032157826183</v>
      </c>
      <c r="X12" s="170">
        <f>IF(OR(K12="n/a",S12="n/a"),"n/a",IF(M12=0,(K12*V12)-((H12*EXP(1)^(-O12*N12))*W12),(K12*(2.718^(-M12*N12))*V12)-(H12*(2.718^(-O12*N12))*W12)))</f>
        <v>17284.764957265728</v>
      </c>
      <c r="Y12" s="171">
        <f>IFERROR(IF(LEN(B12)&gt;0,IF(H12=0,Q12,IF(ISERROR(Q12/((K12/X12)*V12)),"n/a",Q12/((K12/X12)*V12)))),"n/a")</f>
        <v>0.1637221801270434</v>
      </c>
      <c r="AA12" s="172" t="str">
        <f>'Asset Vol_2'!AA12</f>
        <v>XTRA:FME</v>
      </c>
      <c r="AB12" s="116"/>
      <c r="AC12" s="173"/>
      <c r="AI12" s="174"/>
    </row>
    <row r="13" spans="2:35" s="34" customFormat="1" ht="12.75" customHeight="1" x14ac:dyDescent="0.2">
      <c r="B13" s="160" t="str">
        <f>_xll.ciqfunctions.udf.CIQ($AA13,"IQ_COMPANY_NAME")</f>
        <v>DaVita Inc.</v>
      </c>
      <c r="D13" s="161">
        <f>_xll.ciqfunctions.udf.CIQ($AA13, "IQ_MARKETCAP", $AB$2, $AB$5, $AB$6)</f>
        <v>8541.5613400000002</v>
      </c>
      <c r="E13" s="162">
        <f>_xll.ciqfunctions.udf.CIQ($AA13, "IQ_TOTAL_DEBT", IQ_LTM, $AB$2,$AB$4, $AB$3, $AB$5, $AB$6)</f>
        <v>10224.737999999999</v>
      </c>
      <c r="F13" s="162">
        <f>_xll.ciqfunctions.udf.CIQ($AA13, "IQ_PREF_EQUITY", IQ_LTM, $AB$2, $AB$4, $AB$3, $AB$5, $AB$6)</f>
        <v>0</v>
      </c>
      <c r="G13" s="162">
        <f>_xll.ciqfunctions.udf.CIQ($AA13, "IQ_MINORITY_INTEREST_TOTAL", IQ_LTM, $AB$2, $AB$4, $AB$3, $AB$5, $AB$6)</f>
        <v>1269.0250000000001</v>
      </c>
      <c r="H13" s="116">
        <f>SUM(E13:G13)</f>
        <v>11493.762999999999</v>
      </c>
      <c r="I13" s="116">
        <f>SUM(D13:G13)</f>
        <v>20035.324339999999</v>
      </c>
      <c r="J13" s="163">
        <f>_xll.ciqfunctions.udf.CIQ($AA13, "IQ_CASH_ST_INVEST", IQ_LTM, $AB$2, $AB$4, $AB$3, $AB$5, $AB$6)</f>
        <v>452.94499999999999</v>
      </c>
      <c r="K13" s="163">
        <f>_xll.ciqfunctions.udf.CIQ($AA13, "IQ_TEV", $AB$2, $AB$5, $AB$6)</f>
        <v>19582.37934</v>
      </c>
      <c r="M13" s="164">
        <f>IFERROR(_xll.ciqfunctions.udf.CIQ($AA13, "IQ_DIVIDEND_YIELD", $AB$2)/100,0)</f>
        <v>0</v>
      </c>
      <c r="N13" s="116">
        <f t="shared" si="0"/>
        <v>1.75</v>
      </c>
      <c r="O13" s="165">
        <f t="shared" si="0"/>
        <v>2.5174999999999999E-2</v>
      </c>
      <c r="P13" s="166"/>
      <c r="Q13" s="167">
        <f>IFERROR(HLOOKUP($Q$7,'Equity Vol'!$B$8:$K12,ROWS('Equity Vol'!$C$8:$C12),FALSE),"n/a")</f>
        <v>0.30047832513311512</v>
      </c>
      <c r="R13" s="103"/>
      <c r="S13" s="168">
        <f>IFERROR(IF(Q13="n/a","n/a",Q13^2),"n/a")</f>
        <v>9.0287223874802036E-2</v>
      </c>
      <c r="T13" s="168">
        <f>IF(OR(K13="n/a",S13="n/a"),"n/a",IF(H13=0,0,IF(M13=0,(LN(K13/H13)+((O13+(S13/2))*N13))/((S13*N13)^0.5),(LN(K13/H13)+((O13-M13+(S13/2))*N13))/((S13*N13)^0.5))))</f>
        <v>1.6500394165176249</v>
      </c>
      <c r="U13" s="169">
        <f>IF(T13="n/a","n/a",IF(H13=0,0,T13-(S13*N13)^0.5))</f>
        <v>1.252543955183909</v>
      </c>
      <c r="V13" s="169">
        <f>IF(OR(T13="n/a",S13="n/a"),"n/a",IF(H13=0,0,NORMSDIST(T13)))</f>
        <v>0.950532562762475</v>
      </c>
      <c r="W13" s="169">
        <f>IF(OR(U13="n/a",S13="n/a"),"n/a",IF(H13=0,0,NORMSDIST(U13)))</f>
        <v>0.89481413892102846</v>
      </c>
      <c r="X13" s="170">
        <f>IF(OR(K13="n/a",S13="n/a"),"n/a",IF(M13=0,(K13*V13)-((H13*EXP(1)^(-O13*N13))*W13),(K13*(2.718^(-M13*N13))*V13)-(H13*(2.718^(-O13*N13))*W13)))</f>
        <v>8772.1803256085586</v>
      </c>
      <c r="Y13" s="171">
        <f>IFERROR(IF(LEN(B13)&gt;0,IF(H13=0,Q13,IF(ISERROR(Q13/((K13/X13)*V13)),"n/a",Q13/((K13/X13)*V13)))),"n/a")</f>
        <v>0.14160814769103966</v>
      </c>
      <c r="AA13" s="172" t="str">
        <f>'Asset Vol_2'!AA13</f>
        <v>NYSE:DVA</v>
      </c>
      <c r="AB13" s="116"/>
      <c r="AC13" s="173"/>
      <c r="AI13" s="174"/>
    </row>
    <row r="14" spans="2:35" s="34" customFormat="1" ht="12.75" customHeight="1" x14ac:dyDescent="0.2">
      <c r="B14" s="160" t="str">
        <f>_xll.ciqfunctions.udf.CIQ($AA14,"IQ_COMPANY_NAME")</f>
        <v>NxStage Medical, Inc.</v>
      </c>
      <c r="D14" s="161">
        <f>_xll.ciqfunctions.udf.CIQ($AA14, "IQ_MARKETCAP", $AB$2, $AB$5, $AB$6)</f>
        <v>1908.5158899999999</v>
      </c>
      <c r="E14" s="162">
        <f>_xll.ciqfunctions.udf.CIQ($AA14, "IQ_TOTAL_DEBT", IQ_LTM, $AB$2,$AB$4, $AB$3, $AB$5, $AB$6)</f>
        <v>13.305999999999999</v>
      </c>
      <c r="F14" s="162">
        <f>_xll.ciqfunctions.udf.CIQ($AA14, "IQ_PREF_EQUITY", IQ_LTM, $AB$2, $AB$4, $AB$3, $AB$5, $AB$6)</f>
        <v>0</v>
      </c>
      <c r="G14" s="162">
        <f>_xll.ciqfunctions.udf.CIQ($AA14, "IQ_MINORITY_INTEREST_TOTAL", IQ_LTM, $AB$2, $AB$4, $AB$3, $AB$5, $AB$6)</f>
        <v>0.42099999999999999</v>
      </c>
      <c r="H14" s="116">
        <f>SUM(E14:G14)</f>
        <v>13.726999999999999</v>
      </c>
      <c r="I14" s="116">
        <f>SUM(D14:G14)</f>
        <v>1922.24289</v>
      </c>
      <c r="J14" s="163">
        <f>_xll.ciqfunctions.udf.CIQ($AA14, "IQ_CASH_ST_INVEST", IQ_LTM, $AB$2, $AB$4, $AB$3, $AB$5, $AB$6)</f>
        <v>81.944000000000003</v>
      </c>
      <c r="K14" s="163">
        <f>_xll.ciqfunctions.udf.CIQ($AA14, "IQ_TEV", $AB$2, $AB$5, $AB$6)</f>
        <v>1840.29889</v>
      </c>
      <c r="M14" s="164">
        <f>IFERROR(_xll.ciqfunctions.udf.CIQ($AA14, "IQ_DIVIDEND_YIELD", $AB$2)/100,0)</f>
        <v>0</v>
      </c>
      <c r="N14" s="116">
        <f t="shared" si="0"/>
        <v>1.75</v>
      </c>
      <c r="O14" s="165">
        <f t="shared" si="0"/>
        <v>2.5174999999999999E-2</v>
      </c>
      <c r="P14" s="166"/>
      <c r="Q14" s="167">
        <f>IFERROR(HLOOKUP($Q$7,'Equity Vol'!$B$8:$K13,ROWS('Equity Vol'!$C$8:$C13),FALSE),"n/a")</f>
        <v>0.29706003745331494</v>
      </c>
      <c r="R14" s="103"/>
      <c r="S14" s="168">
        <f>IFERROR(IF(Q14="n/a","n/a",Q14^2),"n/a")</f>
        <v>8.8244665851764881E-2</v>
      </c>
      <c r="T14" s="168">
        <f>IF(OR(K14="n/a",S14="n/a"),"n/a",IF(H14=0,0,IF(M14=0,(LN(K14/H14)+((O14+(S14/2))*N14))/((S14*N14)^0.5),(LN(K14/H14)+((O14-M14+(S14/2))*N14))/((S14*N14)^0.5))))</f>
        <v>12.773352449962399</v>
      </c>
      <c r="U14" s="169">
        <f>IF(T14="n/a","n/a",IF(H14=0,0,T14-(S14*N14)^0.5))</f>
        <v>12.380378958183897</v>
      </c>
      <c r="V14" s="169">
        <f>IF(OR(T14="n/a",S14="n/a"),"n/a",IF(H14=0,0,NORMSDIST(T14)))</f>
        <v>1</v>
      </c>
      <c r="W14" s="169">
        <f>IF(OR(U14="n/a",S14="n/a"),"n/a",IF(H14=0,0,NORMSDIST(U14)))</f>
        <v>1</v>
      </c>
      <c r="X14" s="170">
        <f>IF(OR(K14="n/a",S14="n/a"),"n/a",IF(M14=0,(K14*V14)-((H14*EXP(1)^(-O14*N14))*W14),(K14*(2.718^(-M14*N14))*V14)-(H14*(2.718^(-O14*N14))*W14)))</f>
        <v>1827.1635219110035</v>
      </c>
      <c r="Y14" s="171">
        <f>IFERROR(IF(LEN(B14)&gt;0,IF(H14=0,Q14,IF(ISERROR(Q14/((K14/X14)*V14)),"n/a",Q14/((K14/X14)*V14)))),"n/a")</f>
        <v>0.29493973354089975</v>
      </c>
      <c r="Z14" s="175"/>
      <c r="AA14" s="172" t="str">
        <f>'Asset Vol_2'!AA14</f>
        <v>IQ115544</v>
      </c>
      <c r="AB14" s="116"/>
      <c r="AC14" s="173"/>
      <c r="AI14" s="174"/>
    </row>
    <row r="15" spans="2:35" s="34" customFormat="1" ht="12.75" customHeight="1" x14ac:dyDescent="0.2">
      <c r="B15" s="160" t="str">
        <f>_xll.ciqfunctions.udf.CIQ($AA15,"IQ_COMPANY_NAME")</f>
        <v>American Renal Associates Holdings, Inc.</v>
      </c>
      <c r="D15" s="161">
        <f>_xll.ciqfunctions.udf.CIQ($AA15, "IQ_MARKETCAP", $AB$2, $AB$5, $AB$6)</f>
        <v>374.59658999999999</v>
      </c>
      <c r="E15" s="162">
        <f>_xll.ciqfunctions.udf.CIQ($AA15, "IQ_TOTAL_DEBT", IQ_LTM, $AB$2,$AB$4, $AB$3, $AB$5, $AB$6)</f>
        <v>553.95600000000002</v>
      </c>
      <c r="F15" s="162">
        <f>_xll.ciqfunctions.udf.CIQ($AA15, "IQ_PREF_EQUITY", IQ_LTM, $AB$2, $AB$4, $AB$3, $AB$5, $AB$6)</f>
        <v>0</v>
      </c>
      <c r="G15" s="162">
        <f>_xll.ciqfunctions.udf.CIQ($AA15, "IQ_MINORITY_INTEREST_TOTAL", IQ_LTM, $AB$2, $AB$4, $AB$3, $AB$5, $AB$6)</f>
        <v>316.10500000000002</v>
      </c>
      <c r="H15" s="116">
        <f>SUM(E15:G15)</f>
        <v>870.06100000000004</v>
      </c>
      <c r="I15" s="116">
        <f>SUM(D15:G15)</f>
        <v>1244.65759</v>
      </c>
      <c r="J15" s="163">
        <f>_xll.ciqfunctions.udf.CIQ($AA15, "IQ_CASH_ST_INVEST", IQ_LTM, $AB$2, $AB$4, $AB$3, $AB$5, $AB$6)</f>
        <v>62.899000000000001</v>
      </c>
      <c r="K15" s="163">
        <f>_xll.ciqfunctions.udf.CIQ($AA15, "IQ_TEV", $AB$2, $AB$5, $AB$6)</f>
        <v>1181.7585899999999</v>
      </c>
      <c r="M15" s="164">
        <f>IFERROR(_xll.ciqfunctions.udf.CIQ($AA15, "IQ_DIVIDEND_YIELD", $AB$2)/100,0)</f>
        <v>0</v>
      </c>
      <c r="N15" s="116">
        <f t="shared" si="0"/>
        <v>1.75</v>
      </c>
      <c r="O15" s="165">
        <f t="shared" si="0"/>
        <v>2.5174999999999999E-2</v>
      </c>
      <c r="P15" s="166"/>
      <c r="Q15" s="167">
        <f>IFERROR(HLOOKUP($Q$7,'Equity Vol'!$B$8:$K14,ROWS('Equity Vol'!$C$8:$C14),FALSE),"n/a")</f>
        <v>0.49317678642885571</v>
      </c>
      <c r="R15" s="103"/>
      <c r="S15" s="168">
        <f>IFERROR(IF(Q15="n/a","n/a",Q15^2),"n/a")</f>
        <v>0.24322334267229315</v>
      </c>
      <c r="T15" s="168">
        <f>IF(OR(K15="n/a",S15="n/a"),"n/a",IF(H15=0,0,IF(M15=0,(LN(K15/H15)+((O15+(S15/2))*N15))/((S15*N15)^0.5),(LN(K15/H15)+((O15-M15+(S15/2))*N15))/((S15*N15)^0.5))))</f>
        <v>0.86306301075952319</v>
      </c>
      <c r="U15" s="169">
        <f>IF(T15="n/a","n/a",IF(H15=0,0,T15-(S15*N15)^0.5))</f>
        <v>0.21065144611913988</v>
      </c>
      <c r="V15" s="169">
        <f>IF(OR(T15="n/a",S15="n/a"),"n/a",IF(H15=0,0,NORMSDIST(T15)))</f>
        <v>0.80594858814315007</v>
      </c>
      <c r="W15" s="169">
        <f>IF(OR(U15="n/a",S15="n/a"),"n/a",IF(H15=0,0,NORMSDIST(U15)))</f>
        <v>0.58342036763270189</v>
      </c>
      <c r="X15" s="170">
        <f>IF(OR(K15="n/a",S15="n/a"),"n/a",IF(M15=0,(K15*V15)-((H15*EXP(1)^(-O15*N15))*W15),(K15*(2.718^(-M15*N15))*V15)-(H15*(2.718^(-O15*N15))*W15)))</f>
        <v>466.70333989389673</v>
      </c>
      <c r="Y15" s="171">
        <f>IFERROR(IF(LEN(B15)&gt;0,IF(H15=0,Q15,IF(ISERROR(Q15/((K15/X15)*V15)),"n/a",Q15/((K15/X15)*V15)))),"n/a")</f>
        <v>0.24166147873797636</v>
      </c>
      <c r="Z15" s="175"/>
      <c r="AA15" s="172" t="str">
        <f>'Asset Vol_2'!AA15</f>
        <v>NYSE:ARA</v>
      </c>
      <c r="AB15" s="116"/>
      <c r="AC15" s="173"/>
      <c r="AI15" s="174"/>
    </row>
    <row r="16" spans="2:35" s="34" customFormat="1" ht="12.75" hidden="1" customHeight="1" outlineLevel="1" x14ac:dyDescent="0.2">
      <c r="D16" s="116"/>
      <c r="E16" s="116"/>
      <c r="F16" s="116"/>
      <c r="G16" s="116"/>
      <c r="H16" s="116"/>
      <c r="I16" s="116"/>
      <c r="J16" s="116"/>
      <c r="K16" s="116"/>
      <c r="M16" s="165"/>
      <c r="N16" s="116"/>
      <c r="O16" s="165"/>
      <c r="P16" s="166"/>
      <c r="Q16" s="171"/>
      <c r="R16" s="103"/>
      <c r="S16" s="168"/>
      <c r="T16" s="168"/>
      <c r="U16" s="169"/>
      <c r="V16" s="169"/>
      <c r="W16" s="169"/>
      <c r="X16" s="170"/>
      <c r="Y16" s="171"/>
      <c r="AA16" s="172"/>
      <c r="AB16" s="116"/>
      <c r="AC16" s="173"/>
      <c r="AI16" s="174"/>
    </row>
    <row r="17" spans="2:35" s="34" customFormat="1" ht="12.75" hidden="1" customHeight="1" outlineLevel="1" x14ac:dyDescent="0.2">
      <c r="D17" s="116"/>
      <c r="E17" s="116"/>
      <c r="F17" s="116"/>
      <c r="G17" s="116"/>
      <c r="H17" s="116"/>
      <c r="I17" s="116"/>
      <c r="J17" s="116"/>
      <c r="K17" s="116"/>
      <c r="M17" s="165"/>
      <c r="N17" s="116"/>
      <c r="O17" s="165"/>
      <c r="P17" s="166"/>
      <c r="Q17" s="171"/>
      <c r="R17" s="103"/>
      <c r="S17" s="168"/>
      <c r="T17" s="168"/>
      <c r="U17" s="169"/>
      <c r="V17" s="169"/>
      <c r="W17" s="169"/>
      <c r="X17" s="170"/>
      <c r="Y17" s="171"/>
      <c r="AA17" s="172"/>
      <c r="AB17" s="116"/>
      <c r="AC17" s="173"/>
      <c r="AI17" s="174"/>
    </row>
    <row r="18" spans="2:35" s="34" customFormat="1" ht="12.75" hidden="1" customHeight="1" outlineLevel="1" x14ac:dyDescent="0.2">
      <c r="D18" s="116"/>
      <c r="E18" s="116"/>
      <c r="F18" s="116"/>
      <c r="G18" s="116"/>
      <c r="H18" s="116"/>
      <c r="I18" s="116"/>
      <c r="J18" s="116"/>
      <c r="K18" s="116"/>
      <c r="M18" s="165"/>
      <c r="N18" s="116"/>
      <c r="O18" s="165"/>
      <c r="P18" s="166"/>
      <c r="Q18" s="171"/>
      <c r="R18" s="103"/>
      <c r="S18" s="168"/>
      <c r="T18" s="168"/>
      <c r="U18" s="169"/>
      <c r="V18" s="169"/>
      <c r="W18" s="169"/>
      <c r="X18" s="170"/>
      <c r="Y18" s="171"/>
      <c r="AA18" s="172"/>
      <c r="AB18" s="116"/>
      <c r="AC18" s="173"/>
      <c r="AI18" s="174"/>
    </row>
    <row r="19" spans="2:35" s="34" customFormat="1" ht="12.75" hidden="1" customHeight="1" outlineLevel="1" x14ac:dyDescent="0.2">
      <c r="D19" s="116"/>
      <c r="E19" s="116"/>
      <c r="F19" s="116"/>
      <c r="G19" s="116"/>
      <c r="H19" s="116"/>
      <c r="I19" s="116"/>
      <c r="J19" s="116"/>
      <c r="K19" s="116"/>
      <c r="M19" s="165"/>
      <c r="N19" s="116"/>
      <c r="O19" s="165"/>
      <c r="P19" s="166"/>
      <c r="Q19" s="171"/>
      <c r="R19" s="103"/>
      <c r="S19" s="168"/>
      <c r="T19" s="168"/>
      <c r="U19" s="169"/>
      <c r="V19" s="169"/>
      <c r="W19" s="169"/>
      <c r="X19" s="170"/>
      <c r="Y19" s="171"/>
      <c r="AA19" s="172"/>
      <c r="AB19" s="116"/>
      <c r="AC19" s="173"/>
      <c r="AI19" s="174"/>
    </row>
    <row r="20" spans="2:35" s="34" customFormat="1" ht="12.75" hidden="1" customHeight="1" outlineLevel="1" x14ac:dyDescent="0.2">
      <c r="D20" s="116"/>
      <c r="E20" s="116"/>
      <c r="F20" s="116"/>
      <c r="G20" s="116"/>
      <c r="H20" s="116"/>
      <c r="I20" s="116"/>
      <c r="J20" s="116"/>
      <c r="K20" s="116"/>
      <c r="M20" s="165"/>
      <c r="N20" s="116"/>
      <c r="O20" s="165"/>
      <c r="P20" s="166"/>
      <c r="Q20" s="171"/>
      <c r="R20" s="103"/>
      <c r="S20" s="168"/>
      <c r="T20" s="168"/>
      <c r="U20" s="169"/>
      <c r="V20" s="169"/>
      <c r="W20" s="169"/>
      <c r="X20" s="170"/>
      <c r="Y20" s="171"/>
      <c r="AA20" s="172"/>
      <c r="AB20" s="116"/>
      <c r="AC20" s="173"/>
      <c r="AI20" s="174"/>
    </row>
    <row r="21" spans="2:35" s="34" customFormat="1" ht="12.75" hidden="1" customHeight="1" outlineLevel="1" x14ac:dyDescent="0.2">
      <c r="D21" s="116"/>
      <c r="E21" s="116"/>
      <c r="F21" s="116"/>
      <c r="G21" s="116"/>
      <c r="H21" s="116"/>
      <c r="I21" s="116"/>
      <c r="J21" s="116"/>
      <c r="K21" s="116"/>
      <c r="M21" s="165"/>
      <c r="N21" s="116"/>
      <c r="O21" s="165"/>
      <c r="P21" s="166"/>
      <c r="Q21" s="171"/>
      <c r="R21" s="103"/>
      <c r="S21" s="168"/>
      <c r="T21" s="168"/>
      <c r="U21" s="169"/>
      <c r="V21" s="169"/>
      <c r="W21" s="169"/>
      <c r="X21" s="170"/>
      <c r="Y21" s="171"/>
      <c r="AA21" s="172"/>
      <c r="AB21" s="116"/>
      <c r="AC21" s="173"/>
      <c r="AI21" s="174"/>
    </row>
    <row r="22" spans="2:35" s="34" customFormat="1" ht="12.75" hidden="1" customHeight="1" outlineLevel="1" x14ac:dyDescent="0.2">
      <c r="D22" s="116"/>
      <c r="E22" s="116"/>
      <c r="F22" s="116"/>
      <c r="G22" s="116"/>
      <c r="H22" s="116"/>
      <c r="I22" s="116"/>
      <c r="J22" s="116"/>
      <c r="K22" s="116"/>
      <c r="M22" s="165"/>
      <c r="N22" s="116"/>
      <c r="O22" s="165"/>
      <c r="P22" s="166"/>
      <c r="Q22" s="171"/>
      <c r="R22" s="103"/>
      <c r="S22" s="168"/>
      <c r="T22" s="168"/>
      <c r="U22" s="169"/>
      <c r="V22" s="169"/>
      <c r="W22" s="169"/>
      <c r="X22" s="170"/>
      <c r="Y22" s="171"/>
      <c r="AA22" s="172"/>
      <c r="AB22" s="116"/>
      <c r="AC22" s="173"/>
      <c r="AI22" s="174"/>
    </row>
    <row r="23" spans="2:35" s="34" customFormat="1" ht="12.75" hidden="1" customHeight="1" outlineLevel="1" collapsed="1" x14ac:dyDescent="0.2">
      <c r="D23" s="116"/>
      <c r="E23" s="116"/>
      <c r="F23" s="116"/>
      <c r="G23" s="116"/>
      <c r="H23" s="116"/>
      <c r="I23" s="116"/>
      <c r="J23" s="116"/>
      <c r="K23" s="116"/>
      <c r="O23" s="120"/>
      <c r="P23" s="103"/>
      <c r="R23" s="103"/>
      <c r="X23" s="116"/>
    </row>
    <row r="24" spans="2:35" s="34" customFormat="1" ht="12.75" customHeight="1" collapsed="1" x14ac:dyDescent="0.2">
      <c r="D24" s="116"/>
      <c r="E24" s="116"/>
      <c r="F24" s="116"/>
      <c r="G24" s="116"/>
      <c r="H24" s="116"/>
      <c r="I24" s="116"/>
      <c r="J24" s="116"/>
      <c r="K24" s="116"/>
      <c r="O24" s="120"/>
      <c r="P24" s="103"/>
      <c r="X24" s="116"/>
    </row>
    <row r="25" spans="2:35" s="34" customFormat="1" ht="12.75" customHeight="1" x14ac:dyDescent="0.2">
      <c r="B25" s="176" t="s">
        <v>34</v>
      </c>
      <c r="C25" s="177"/>
      <c r="D25" s="178">
        <f>MAX(D11:D14)</f>
        <v>26881.01298</v>
      </c>
      <c r="E25" s="178">
        <f>MAX(E11:E23)</f>
        <v>22029.74324</v>
      </c>
      <c r="F25" s="178">
        <f>MAX(F11:F23)</f>
        <v>0</v>
      </c>
      <c r="G25" s="178">
        <f>MAX(G11:G23)</f>
        <v>10668.060880000001</v>
      </c>
      <c r="H25" s="178">
        <f>MAX(H11:H14)</f>
        <v>32697.804120000001</v>
      </c>
      <c r="I25" s="178">
        <f>MAX(I11:I14)</f>
        <v>59578.8171</v>
      </c>
      <c r="J25" s="178">
        <f>MAX(J11:J14)</f>
        <v>2853.4913499999998</v>
      </c>
      <c r="K25" s="178">
        <f>MAX(K11:K14)</f>
        <v>56291.36333</v>
      </c>
      <c r="L25" s="177"/>
      <c r="M25" s="179">
        <f>MAX(M11:M14)</f>
        <v>1.8713999999999998E-2</v>
      </c>
      <c r="N25" s="178">
        <f>MAX(N11:N14)</f>
        <v>1.75</v>
      </c>
      <c r="O25" s="179">
        <f>MAX(O11:O14)</f>
        <v>2.5174999999999999E-2</v>
      </c>
      <c r="P25" s="180"/>
      <c r="Q25" s="181">
        <f>MAX(Q11:Q14)</f>
        <v>0.30047832513311512</v>
      </c>
      <c r="R25" s="182"/>
      <c r="S25" s="183">
        <f t="shared" ref="S25:Y25" si="1">MAX(S11:S14)</f>
        <v>9.0287223874802036E-2</v>
      </c>
      <c r="T25" s="183">
        <f t="shared" si="1"/>
        <v>12.773352449962399</v>
      </c>
      <c r="U25" s="184">
        <f t="shared" si="1"/>
        <v>12.380378958183897</v>
      </c>
      <c r="V25" s="184">
        <f t="shared" si="1"/>
        <v>1</v>
      </c>
      <c r="W25" s="184">
        <f t="shared" si="1"/>
        <v>1</v>
      </c>
      <c r="X25" s="185">
        <f t="shared" si="1"/>
        <v>23782.725852218759</v>
      </c>
      <c r="Y25" s="186">
        <f t="shared" si="1"/>
        <v>0.29493973354089975</v>
      </c>
      <c r="AB25" s="187"/>
      <c r="AC25" s="188"/>
      <c r="AD25" s="188"/>
      <c r="AE25" s="188"/>
      <c r="AF25" s="189"/>
    </row>
    <row r="26" spans="2:35" s="34" customFormat="1" ht="12.75" customHeight="1" x14ac:dyDescent="0.2">
      <c r="B26" s="190" t="s">
        <v>31</v>
      </c>
      <c r="C26" s="191"/>
      <c r="D26" s="192">
        <f>MIN(D11:D14)</f>
        <v>1908.5158899999999</v>
      </c>
      <c r="E26" s="192">
        <f>MIN(E11:E23)</f>
        <v>13.305999999999999</v>
      </c>
      <c r="F26" s="192">
        <f>MIN(F11:F23)</f>
        <v>0</v>
      </c>
      <c r="G26" s="192">
        <f>MIN(G11:G23)</f>
        <v>0.42099999999999999</v>
      </c>
      <c r="H26" s="192">
        <f>MIN(H11:H14)</f>
        <v>13.726999999999999</v>
      </c>
      <c r="I26" s="192">
        <f>MIN(I11:I14)</f>
        <v>1922.24289</v>
      </c>
      <c r="J26" s="192">
        <f>MIN(J11:J14)</f>
        <v>81.944000000000003</v>
      </c>
      <c r="K26" s="192">
        <f>MIN(K11:K14)</f>
        <v>1840.29889</v>
      </c>
      <c r="L26" s="191"/>
      <c r="M26" s="193">
        <f>MIN(M11:M14)</f>
        <v>0</v>
      </c>
      <c r="N26" s="192">
        <f>MIN(N11:N14)</f>
        <v>1.75</v>
      </c>
      <c r="O26" s="193">
        <f>MIN(O11:O14)</f>
        <v>2.5174999999999999E-2</v>
      </c>
      <c r="P26" s="194"/>
      <c r="Q26" s="195">
        <f>MIN(Q11:Q14)</f>
        <v>0.26144451973052713</v>
      </c>
      <c r="R26" s="196"/>
      <c r="S26" s="197">
        <f t="shared" ref="S26:Y26" si="2">MIN(S11:S14)</f>
        <v>6.8353236897125982E-2</v>
      </c>
      <c r="T26" s="197">
        <f t="shared" si="2"/>
        <v>1.6479030515186694</v>
      </c>
      <c r="U26" s="198">
        <f t="shared" si="2"/>
        <v>1.252543955183909</v>
      </c>
      <c r="V26" s="198">
        <f t="shared" si="2"/>
        <v>0.950313716432578</v>
      </c>
      <c r="W26" s="198">
        <f t="shared" si="2"/>
        <v>0.89481413892102846</v>
      </c>
      <c r="X26" s="199">
        <f t="shared" si="2"/>
        <v>1827.1635219110035</v>
      </c>
      <c r="Y26" s="200">
        <f t="shared" si="2"/>
        <v>0.12829115093149979</v>
      </c>
      <c r="AB26" s="201">
        <f>Y33</f>
        <v>0.245</v>
      </c>
      <c r="AC26" s="202" t="s">
        <v>124</v>
      </c>
      <c r="AD26" s="202"/>
      <c r="AE26" s="202"/>
      <c r="AF26" s="71"/>
    </row>
    <row r="27" spans="2:35" s="34" customFormat="1" ht="12.75" customHeight="1" x14ac:dyDescent="0.2">
      <c r="B27" s="190" t="s">
        <v>125</v>
      </c>
      <c r="C27" s="191"/>
      <c r="D27" s="192">
        <f>AVERAGE(D11:D14)</f>
        <v>14307.505385</v>
      </c>
      <c r="E27" s="192">
        <f>AVERAGE(E11:E23)</f>
        <v>8276.9207399999977</v>
      </c>
      <c r="F27" s="192">
        <f>AVERAGE(F11:F23)</f>
        <v>0</v>
      </c>
      <c r="G27" s="192">
        <f>AVERAGE(G11:G23)</f>
        <v>2713.1510960000001</v>
      </c>
      <c r="H27" s="192">
        <f>AVERAGE(H11:H14)</f>
        <v>13520.074544999999</v>
      </c>
      <c r="I27" s="192">
        <f>AVERAGE(I11:I14)</f>
        <v>27827.57993</v>
      </c>
      <c r="J27" s="192">
        <f>AVERAGE(J11:J14)</f>
        <v>1356.5792275000001</v>
      </c>
      <c r="K27" s="192">
        <f>AVERAGE(K11:K14)</f>
        <v>26334.020645000001</v>
      </c>
      <c r="L27" s="191"/>
      <c r="M27" s="193">
        <f>AVERAGE(M11:M14)</f>
        <v>9.1194999999999991E-3</v>
      </c>
      <c r="N27" s="192">
        <f>AVERAGE(N11:N14)</f>
        <v>1.75</v>
      </c>
      <c r="O27" s="193">
        <f>AVERAGE(O11:O14)</f>
        <v>2.5174999999999999E-2</v>
      </c>
      <c r="P27" s="194"/>
      <c r="Q27" s="195">
        <f>AVERAGE(Q11:Q14)</f>
        <v>0.28688700080058055</v>
      </c>
      <c r="R27" s="196"/>
      <c r="S27" s="197">
        <f t="shared" ref="S27:Y27" si="3">AVERAGE(S11:S14)</f>
        <v>8.2538738903819547E-2</v>
      </c>
      <c r="T27" s="197">
        <f t="shared" si="3"/>
        <v>4.812746266130703</v>
      </c>
      <c r="U27" s="198">
        <f t="shared" si="3"/>
        <v>4.4332304368829414</v>
      </c>
      <c r="V27" s="198">
        <f t="shared" si="3"/>
        <v>0.97502727904032427</v>
      </c>
      <c r="W27" s="198">
        <f t="shared" si="3"/>
        <v>0.94744696514003302</v>
      </c>
      <c r="X27" s="199">
        <f t="shared" si="3"/>
        <v>12916.708664251011</v>
      </c>
      <c r="Y27" s="200">
        <f t="shared" si="3"/>
        <v>0.18214030307262066</v>
      </c>
      <c r="AB27" s="201">
        <f>Y31</f>
        <v>0.245</v>
      </c>
      <c r="AC27" s="202" t="s">
        <v>126</v>
      </c>
      <c r="AD27" s="202"/>
      <c r="AE27" s="202"/>
      <c r="AF27" s="203" t="s">
        <v>127</v>
      </c>
    </row>
    <row r="28" spans="2:35" s="34" customFormat="1" ht="12.75" customHeight="1" x14ac:dyDescent="0.2">
      <c r="B28" s="190" t="s">
        <v>128</v>
      </c>
      <c r="C28" s="191"/>
      <c r="D28" s="192">
        <f>MEDIAN(D11:D14)</f>
        <v>14220.246335</v>
      </c>
      <c r="E28" s="192">
        <f>MEDIAN(E11:E23)</f>
        <v>8562.8604599999999</v>
      </c>
      <c r="F28" s="192">
        <f>MEDIAN(F11:F23)</f>
        <v>0</v>
      </c>
      <c r="G28" s="192">
        <f>MEDIAN(G11:G23)</f>
        <v>1269.0250000000001</v>
      </c>
      <c r="H28" s="192">
        <f>MEDIAN(H11:H14)</f>
        <v>10684.383529999999</v>
      </c>
      <c r="I28" s="192">
        <f>MEDIAN(I11:I14)</f>
        <v>24904.629864999999</v>
      </c>
      <c r="J28" s="192">
        <f>MEDIAN(J11:J14)</f>
        <v>1245.4407800000001</v>
      </c>
      <c r="K28" s="192">
        <f>MEDIAN(K11:K14)</f>
        <v>23602.210180000002</v>
      </c>
      <c r="L28" s="191"/>
      <c r="M28" s="193">
        <f>MEDIAN(M11:M14)</f>
        <v>8.8819999999999993E-3</v>
      </c>
      <c r="N28" s="192">
        <f>MEDIAN(N11:N14)</f>
        <v>1.75</v>
      </c>
      <c r="O28" s="193">
        <f>MEDIAN(O11:O14)</f>
        <v>2.5174999999999999E-2</v>
      </c>
      <c r="P28" s="194"/>
      <c r="Q28" s="195">
        <f>MEDIAN(Q11:Q14)</f>
        <v>0.29281257916934</v>
      </c>
      <c r="R28" s="196"/>
      <c r="S28" s="197">
        <f t="shared" ref="S28:Y28" si="4">MEDIAN(S11:S14)</f>
        <v>8.5757247421675092E-2</v>
      </c>
      <c r="T28" s="197">
        <f t="shared" si="4"/>
        <v>2.4148647815208721</v>
      </c>
      <c r="U28" s="198">
        <f t="shared" si="4"/>
        <v>2.0499994170819793</v>
      </c>
      <c r="V28" s="198">
        <f t="shared" si="4"/>
        <v>0.97489769986435948</v>
      </c>
      <c r="W28" s="198">
        <f t="shared" si="4"/>
        <v>0.94748686081955191</v>
      </c>
      <c r="X28" s="199">
        <f t="shared" si="4"/>
        <v>13028.472641437143</v>
      </c>
      <c r="Y28" s="200">
        <f t="shared" si="4"/>
        <v>0.15266516390904153</v>
      </c>
      <c r="AB28" s="204"/>
      <c r="AC28" s="202"/>
      <c r="AD28" s="202"/>
      <c r="AE28" s="202"/>
      <c r="AF28" s="71"/>
    </row>
    <row r="29" spans="2:35" s="34" customFormat="1" ht="12.75" customHeight="1" x14ac:dyDescent="0.2">
      <c r="B29" s="190" t="s">
        <v>129</v>
      </c>
      <c r="C29" s="191"/>
      <c r="D29" s="192">
        <f>QUARTILE(D11:D14,1)</f>
        <v>6883.2999774999998</v>
      </c>
      <c r="E29" s="192">
        <f>QUARTILE(E11:E23,1)</f>
        <v>553.95600000000002</v>
      </c>
      <c r="F29" s="192">
        <f>QUARTILE(F11:F23,1)</f>
        <v>0</v>
      </c>
      <c r="G29" s="192">
        <f>QUARTILE(G11:G23,1)</f>
        <v>316.10500000000002</v>
      </c>
      <c r="H29" s="192">
        <f>QUARTILE(H11:H14,1)</f>
        <v>7409.6847949999983</v>
      </c>
      <c r="I29" s="192">
        <f>QUARTILE(I11:I14,1)</f>
        <v>15507.053977499998</v>
      </c>
      <c r="J29" s="192">
        <f>QUARTILE(J11:J14,1)</f>
        <v>360.19475</v>
      </c>
      <c r="K29" s="192">
        <f>QUARTILE(K11:K14,1)</f>
        <v>15146.859227500001</v>
      </c>
      <c r="L29" s="191"/>
      <c r="M29" s="193">
        <f>QUARTILE(M11:M14,1)</f>
        <v>0</v>
      </c>
      <c r="N29" s="192">
        <f>QUARTILE(N11:N14,1)</f>
        <v>1.75</v>
      </c>
      <c r="O29" s="193">
        <f>QUARTILE(O11:O14,1)</f>
        <v>2.5174999999999999E-2</v>
      </c>
      <c r="P29" s="194"/>
      <c r="Q29" s="195">
        <f>QUARTILE(Q11:Q14,1)</f>
        <v>0.28178497059665553</v>
      </c>
      <c r="R29" s="196"/>
      <c r="S29" s="197">
        <f t="shared" ref="S29:Y29" si="5">QUARTILE(S11:S14,1)</f>
        <v>7.9540680967970484E-2</v>
      </c>
      <c r="T29" s="197">
        <f t="shared" si="5"/>
        <v>1.649505325267886</v>
      </c>
      <c r="U29" s="198">
        <f t="shared" si="5"/>
        <v>1.2627614473437418</v>
      </c>
      <c r="V29" s="198">
        <f t="shared" si="5"/>
        <v>0.95047785118000072</v>
      </c>
      <c r="W29" s="198">
        <f t="shared" si="5"/>
        <v>0.89665858477588867</v>
      </c>
      <c r="X29" s="199">
        <f t="shared" si="5"/>
        <v>7035.9261246841706</v>
      </c>
      <c r="Y29" s="200">
        <f t="shared" si="5"/>
        <v>0.13827889850115468</v>
      </c>
      <c r="AB29" s="205" t="str">
        <f>IF(ROUND(AB26,3)=ROUND(AB27,3),"","Update Volatility - DLOM")</f>
        <v/>
      </c>
      <c r="AC29" s="206"/>
      <c r="AD29" s="206"/>
      <c r="AE29" s="206"/>
      <c r="AF29" s="76"/>
    </row>
    <row r="30" spans="2:35" s="34" customFormat="1" ht="12.75" customHeight="1" x14ac:dyDescent="0.2">
      <c r="B30" s="190" t="s">
        <v>130</v>
      </c>
      <c r="C30" s="191"/>
      <c r="D30" s="192">
        <f>QUARTILE(D11:D14,3)</f>
        <v>21644.451742500001</v>
      </c>
      <c r="E30" s="192">
        <f>QUARTILE(E11:E23,3)</f>
        <v>10224.737999999999</v>
      </c>
      <c r="F30" s="192">
        <f>QUARTILE(F11:F23,3)</f>
        <v>0</v>
      </c>
      <c r="G30" s="192">
        <f>QUARTILE(G11:G23,3)</f>
        <v>1312.1436000000001</v>
      </c>
      <c r="H30" s="192">
        <f>QUARTILE(H11:H14,3)</f>
        <v>16794.773280000001</v>
      </c>
      <c r="I30" s="192">
        <f>QUARTILE(I11:I14,3)</f>
        <v>37225.155817499995</v>
      </c>
      <c r="J30" s="192">
        <f>QUARTILE(J11:J14,3)</f>
        <v>2241.8252575000001</v>
      </c>
      <c r="K30" s="192">
        <f>QUARTILE(K11:K14,3)</f>
        <v>34789.371597500001</v>
      </c>
      <c r="L30" s="191"/>
      <c r="M30" s="193">
        <f>QUARTILE(M11:M14,3)</f>
        <v>1.8001499999999997E-2</v>
      </c>
      <c r="N30" s="192">
        <f>QUARTILE(N11:N14,3)</f>
        <v>1.75</v>
      </c>
      <c r="O30" s="193">
        <f>QUARTILE(O11:O14,3)</f>
        <v>2.5174999999999999E-2</v>
      </c>
      <c r="P30" s="194"/>
      <c r="Q30" s="195">
        <f>QUARTILE(Q11:Q14,3)</f>
        <v>0.29791460937326497</v>
      </c>
      <c r="R30" s="196"/>
      <c r="S30" s="197">
        <f t="shared" ref="S30:Y30" si="6">QUARTILE(S11:S14,3)</f>
        <v>8.875530535752417E-2</v>
      </c>
      <c r="T30" s="197">
        <f t="shared" si="6"/>
        <v>5.5781057223836896</v>
      </c>
      <c r="U30" s="198">
        <f t="shared" si="6"/>
        <v>5.2204684066211779</v>
      </c>
      <c r="V30" s="198">
        <f t="shared" si="6"/>
        <v>0.99944712772468292</v>
      </c>
      <c r="W30" s="198">
        <f t="shared" si="6"/>
        <v>0.99827524118369637</v>
      </c>
      <c r="X30" s="199">
        <f t="shared" si="6"/>
        <v>18909.255181003988</v>
      </c>
      <c r="Y30" s="200">
        <f t="shared" si="6"/>
        <v>0.19652656848050748</v>
      </c>
      <c r="AB30" s="207" t="str">
        <f>IF(K33&lt;&gt;K35,"Check","")</f>
        <v/>
      </c>
      <c r="AC30" s="202"/>
      <c r="AD30" s="202"/>
      <c r="AE30" s="202"/>
      <c r="AF30" s="202"/>
    </row>
    <row r="31" spans="2:35" s="34" customFormat="1" ht="12.75" customHeight="1" x14ac:dyDescent="0.2">
      <c r="B31" s="208" t="s">
        <v>131</v>
      </c>
      <c r="C31" s="209" t="s">
        <v>59</v>
      </c>
      <c r="D31" s="210"/>
      <c r="E31" s="210"/>
      <c r="F31" s="210"/>
      <c r="G31" s="210"/>
      <c r="H31" s="210"/>
      <c r="I31" s="210"/>
      <c r="J31" s="210"/>
      <c r="K31" s="210"/>
      <c r="L31" s="124"/>
      <c r="M31" s="211"/>
      <c r="N31" s="210"/>
      <c r="O31" s="211"/>
      <c r="P31" s="212"/>
      <c r="Q31" s="213"/>
      <c r="R31" s="214"/>
      <c r="S31" s="215"/>
      <c r="T31" s="215"/>
      <c r="U31" s="216"/>
      <c r="V31" s="216"/>
      <c r="W31" s="216"/>
      <c r="X31" s="217"/>
      <c r="Y31" s="218">
        <f>MROUND(AVERAGE(Y25,Y30),0.25%)</f>
        <v>0.245</v>
      </c>
      <c r="Z31" s="156"/>
      <c r="AB31" s="219" t="str">
        <f>IF(AND(AB28=$AF$29,AB30=$AF$29,AB29=$AF$29),"","Check")</f>
        <v/>
      </c>
      <c r="AC31" s="202"/>
      <c r="AD31" s="202"/>
      <c r="AE31" s="202"/>
      <c r="AF31" s="202"/>
    </row>
    <row r="32" spans="2:35" s="34" customFormat="1" ht="12.75" customHeight="1" x14ac:dyDescent="0.2">
      <c r="P32" s="103"/>
      <c r="AB32" s="220"/>
      <c r="AC32" s="202"/>
      <c r="AD32" s="202"/>
      <c r="AE32" s="202"/>
      <c r="AF32" s="202"/>
    </row>
    <row r="33" spans="1:25" s="34" customFormat="1" ht="12.75" customHeight="1" x14ac:dyDescent="0.2">
      <c r="B33" s="221" t="str">
        <f>B2</f>
        <v>Satellite Healthcare - Wellbound Santa Cruz</v>
      </c>
      <c r="C33" s="209" t="s">
        <v>59</v>
      </c>
      <c r="D33" s="124"/>
      <c r="E33" s="124"/>
      <c r="F33" s="124"/>
      <c r="G33" s="124"/>
      <c r="H33" s="222">
        <v>0</v>
      </c>
      <c r="I33" s="223"/>
      <c r="J33" s="222">
        <v>0</v>
      </c>
      <c r="K33" s="379">
        <f>'Discount Summary'!$D$21</f>
        <v>2.5333510052704202</v>
      </c>
      <c r="L33" s="124"/>
      <c r="M33" s="224">
        <f>'DLOM_Quantitative Methods'!F11</f>
        <v>0</v>
      </c>
      <c r="N33" s="210">
        <f>N$7</f>
        <v>1.75</v>
      </c>
      <c r="O33" s="225">
        <f>O$7</f>
        <v>2.5174999999999999E-2</v>
      </c>
      <c r="P33" s="214"/>
      <c r="Q33" s="226">
        <v>0.245</v>
      </c>
      <c r="R33" s="124"/>
      <c r="S33" s="215">
        <f>IF(Q33="n/a","n/a",Q33^2)</f>
        <v>6.0024999999999995E-2</v>
      </c>
      <c r="T33" s="215">
        <f>IF(OR(K33="n/a",S33="n/a"),"n/a",IF(H33=0,0,IF(M33=0,(LN(K33/H33)+((O33+(S33/2))*N33))/((S33*N33)^0.5),(LN(K33/H33)+((O33-M33+(S33/2))*N33))/((S33*N33)^0.5))))</f>
        <v>0</v>
      </c>
      <c r="U33" s="216">
        <f>IF(T33="n/a","n/a",IF(H33=0,0,T33-(S33*N33)^0.5))</f>
        <v>0</v>
      </c>
      <c r="V33" s="216">
        <f>IF(OR(T33="n/a",S33="n/a"),"n/a",IF(H33=0,0,NORMSDIST(T33)))</f>
        <v>0</v>
      </c>
      <c r="W33" s="216">
        <f>IF(OR(U33="n/a",S33="n/a"),"n/a",IF(H33=0,0,NORMSDIST(U33)))</f>
        <v>0</v>
      </c>
      <c r="X33" s="216">
        <f>IF(OR(K33="n/a",S33="n/a"),"n/a",IF(M33=0,(K33*V33)-((H33*EXP(1)^(-O33*N33))*W33),(K33*(2.718^(-M33*N33))*V33)-(H33*(2.718^(-O33*N33))*W33)))</f>
        <v>0</v>
      </c>
      <c r="Y33" s="227">
        <f>IF(LEN(B33)&gt;0,IF(H33=0,Q33,IF(ISERROR(Q33/((K33/X33)*V33)),"n/a",Q33/((K33/X33)*V33))))</f>
        <v>0.245</v>
      </c>
    </row>
    <row r="34" spans="1:25" s="34" customFormat="1" ht="12.75" customHeight="1" x14ac:dyDescent="0.2">
      <c r="P34" s="103"/>
    </row>
    <row r="35" spans="1:25" s="34" customFormat="1" ht="12.75" hidden="1" customHeight="1" outlineLevel="1" x14ac:dyDescent="0.2">
      <c r="B35" s="221" t="str">
        <f>B33</f>
        <v>Satellite Healthcare - Wellbound Santa Cruz</v>
      </c>
      <c r="C35" s="209" t="s">
        <v>74</v>
      </c>
      <c r="D35" s="124"/>
      <c r="E35" s="124"/>
      <c r="F35" s="124"/>
      <c r="G35" s="124"/>
      <c r="H35" s="228">
        <f>H33</f>
        <v>0</v>
      </c>
      <c r="I35" s="124"/>
      <c r="J35" s="228">
        <f>J33</f>
        <v>0</v>
      </c>
      <c r="K35" s="228">
        <f>K33</f>
        <v>2.5333510052704202</v>
      </c>
      <c r="L35" s="124"/>
      <c r="M35" s="213">
        <f>M33</f>
        <v>0</v>
      </c>
      <c r="N35" s="210">
        <f>N$7</f>
        <v>1.75</v>
      </c>
      <c r="O35" s="225">
        <f>O$7</f>
        <v>2.5174999999999999E-2</v>
      </c>
      <c r="P35" s="214"/>
      <c r="Q35" s="226">
        <v>0.27300000000000002</v>
      </c>
      <c r="R35" s="124"/>
      <c r="S35" s="215">
        <f>IF(Q35="n/a","n/a",Q35^2)</f>
        <v>7.4529000000000012E-2</v>
      </c>
      <c r="T35" s="215">
        <f>IF(OR(K35="n/a",S35="n/a"),"n/a",IF(H35=0,0,IF(M35=0,(LN(K35/H35)+((O35+(S35/2))*N35))/((S35*N35)^0.5),(LN(K35/H35)+((O35-M35+(S35/2))*N35))/((S35*N35)^0.5))))</f>
        <v>0</v>
      </c>
      <c r="U35" s="216">
        <f>IF(T35="n/a","n/a",IF(H35=0,0,T35-(S35*N35)^0.5))</f>
        <v>0</v>
      </c>
      <c r="V35" s="216">
        <f>IF(OR(T35="n/a",S35="n/a"),"n/a",IF(H35=0,0,NORMSDIST(T35)))</f>
        <v>0</v>
      </c>
      <c r="W35" s="216">
        <f>IF(OR(U35="n/a",S35="n/a"),"n/a",IF(H35=0,0,NORMSDIST(U35)))</f>
        <v>0</v>
      </c>
      <c r="X35" s="216">
        <f>IF(OR(K35="n/a",S35="n/a"),"n/a",IF(M35=0,(K35*V35)-((H35*EXP(1)^(-O35*N35))*W35),(K35*(2.718^(-M35*N35))*V35)-(H35*(2.718^(-O35*N35))*W35)))</f>
        <v>0</v>
      </c>
      <c r="Y35" s="227">
        <f>IF(LEN(B35)&gt;0,IF(H35=0,Q35,IF(ISERROR(Q35/((K35/X35)*V35)),"n/a",Q35/((K35/X35)*V35))))</f>
        <v>0.27300000000000002</v>
      </c>
    </row>
    <row r="36" spans="1:25" s="34" customFormat="1" ht="12.75" hidden="1" customHeight="1" outlineLevel="1" x14ac:dyDescent="0.2">
      <c r="P36" s="103"/>
    </row>
    <row r="37" spans="1:25" s="34" customFormat="1" ht="12.75" customHeight="1" collapsed="1" x14ac:dyDescent="0.2">
      <c r="B37" s="127" t="s">
        <v>132</v>
      </c>
      <c r="P37" s="103"/>
    </row>
    <row r="38" spans="1:25" s="34" customFormat="1" ht="12.75" customHeight="1" x14ac:dyDescent="0.2">
      <c r="A38" s="128" t="s">
        <v>55</v>
      </c>
      <c r="B38" s="396" t="s">
        <v>133</v>
      </c>
      <c r="C38" s="396"/>
      <c r="D38" s="396"/>
      <c r="E38" s="396"/>
      <c r="F38" s="396"/>
      <c r="G38" s="396"/>
      <c r="H38" s="396"/>
      <c r="I38" s="396"/>
      <c r="J38" s="396"/>
      <c r="K38" s="396"/>
      <c r="L38" s="396"/>
      <c r="M38" s="396"/>
      <c r="N38" s="396"/>
      <c r="O38" s="396"/>
      <c r="P38" s="396"/>
      <c r="Q38" s="396"/>
      <c r="R38" s="396"/>
      <c r="S38" s="396"/>
      <c r="T38" s="396"/>
      <c r="U38" s="396"/>
      <c r="V38" s="396"/>
      <c r="W38" s="396"/>
      <c r="X38" s="396"/>
      <c r="Y38" s="396"/>
    </row>
    <row r="39" spans="1:25" s="34" customFormat="1" ht="13.5" customHeight="1" x14ac:dyDescent="0.2">
      <c r="A39" s="128" t="s">
        <v>59</v>
      </c>
      <c r="B39" s="396" t="s">
        <v>134</v>
      </c>
      <c r="C39" s="396"/>
      <c r="D39" s="396"/>
      <c r="E39" s="396"/>
      <c r="F39" s="396"/>
      <c r="G39" s="396"/>
      <c r="H39" s="396"/>
      <c r="I39" s="396"/>
      <c r="J39" s="396"/>
      <c r="K39" s="396"/>
      <c r="L39" s="396"/>
      <c r="M39" s="396"/>
      <c r="N39" s="396"/>
      <c r="O39" s="396"/>
      <c r="P39" s="396"/>
      <c r="Q39" s="396"/>
      <c r="R39" s="396"/>
      <c r="S39" s="396"/>
      <c r="T39" s="396"/>
      <c r="U39" s="396"/>
      <c r="V39" s="396"/>
      <c r="W39" s="396"/>
      <c r="X39" s="396"/>
      <c r="Y39" s="396"/>
    </row>
    <row r="40" spans="1:25" s="34" customFormat="1" ht="12.75" customHeight="1" x14ac:dyDescent="0.2">
      <c r="A40" s="128"/>
      <c r="P40" s="103"/>
    </row>
    <row r="41" spans="1:25" s="34" customFormat="1" ht="12.75" customHeight="1" x14ac:dyDescent="0.2">
      <c r="B41" s="127" t="s">
        <v>135</v>
      </c>
      <c r="P41" s="103"/>
    </row>
    <row r="42" spans="1:25" s="34" customFormat="1" ht="12.75" customHeight="1" x14ac:dyDescent="0.2">
      <c r="P42" s="103"/>
    </row>
  </sheetData>
  <mergeCells count="2">
    <mergeCell ref="B38:Y38"/>
    <mergeCell ref="B39:Y39"/>
  </mergeCells>
  <conditionalFormatting sqref="B16:B22">
    <cfRule type="cellIs" dxfId="21" priority="4" operator="equal">
      <formula>"(Invalid Identifier)"</formula>
    </cfRule>
  </conditionalFormatting>
  <conditionalFormatting sqref="C4:Y4">
    <cfRule type="cellIs" dxfId="20" priority="3" stopIfTrue="1" operator="equal">
      <formula>"input"</formula>
    </cfRule>
  </conditionalFormatting>
  <conditionalFormatting sqref="B4">
    <cfRule type="cellIs" dxfId="19" priority="2" stopIfTrue="1" operator="equal">
      <formula>"input"</formula>
    </cfRule>
  </conditionalFormatting>
  <conditionalFormatting sqref="B11:B15">
    <cfRule type="cellIs" dxfId="18" priority="1" operator="equal">
      <formula>"(Invalid Identifier)"</formula>
    </cfRule>
  </conditionalFormatting>
  <pageMargins left="0.5" right="0.5" top="0.5" bottom="0.5" header="0.5" footer="0.5"/>
  <pageSetup scale="85" fitToWidth="0" fitToHeight="0" orientation="landscape" r:id="rId1"/>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W77"/>
  <sheetViews>
    <sheetView showGridLines="0" view="pageBreakPreview" zoomScaleNormal="100" zoomScaleSheetLayoutView="100" workbookViewId="0">
      <selection activeCell="D13" sqref="D13:D14"/>
    </sheetView>
  </sheetViews>
  <sheetFormatPr defaultColWidth="9.140625" defaultRowHeight="15" x14ac:dyDescent="0.25"/>
  <cols>
    <col min="1" max="1" width="2.7109375" style="34" customWidth="1"/>
    <col min="2" max="2" width="13.5703125" style="34" customWidth="1"/>
    <col min="3" max="3" width="27" style="34" customWidth="1"/>
    <col min="4" max="4" width="2.7109375" style="34" customWidth="1"/>
    <col min="5" max="5" width="17.140625" style="34" customWidth="1"/>
    <col min="6" max="6" width="3.28515625" style="34" customWidth="1"/>
    <col min="7" max="7" width="14.85546875" style="34" customWidth="1"/>
    <col min="8" max="8" width="3.140625" style="34" customWidth="1"/>
    <col min="9" max="9" width="10.140625" style="34" customWidth="1"/>
    <col min="10" max="10" width="27" style="34" customWidth="1"/>
    <col min="11" max="11" width="2.7109375" style="34" customWidth="1"/>
    <col min="12" max="12" width="29.85546875" style="34" customWidth="1"/>
    <col min="13" max="13" width="19.85546875" style="34" customWidth="1"/>
    <col min="14" max="14" width="2.7109375" customWidth="1"/>
    <col min="15" max="15" width="20.7109375" customWidth="1"/>
    <col min="16" max="16" width="16.85546875" style="34" customWidth="1"/>
    <col min="17" max="20" width="9.140625" style="34"/>
    <col min="21" max="21" width="73.28515625" style="34" customWidth="1"/>
    <col min="22" max="22" width="2.42578125" style="34" customWidth="1"/>
    <col min="23" max="24" width="18" style="34" customWidth="1"/>
    <col min="25" max="16384" width="9.140625" style="34"/>
  </cols>
  <sheetData>
    <row r="1" spans="2:23" ht="10.7" customHeight="1" thickBot="1" x14ac:dyDescent="0.3">
      <c r="N1" s="34"/>
    </row>
    <row r="2" spans="2:23" ht="16.5" customHeight="1" thickTop="1" x14ac:dyDescent="0.25">
      <c r="B2" s="35" t="str">
        <f>Outline!B2</f>
        <v>Satellite Healthcare - Wellbound Santa Cruz</v>
      </c>
      <c r="C2" s="35"/>
      <c r="D2" s="35"/>
      <c r="E2" s="35"/>
      <c r="F2" s="35"/>
      <c r="G2" s="35"/>
      <c r="H2" s="35"/>
      <c r="I2" s="35"/>
      <c r="J2" s="35"/>
      <c r="K2" s="35"/>
      <c r="L2" s="35"/>
      <c r="M2" s="35"/>
      <c r="N2" s="34"/>
    </row>
    <row r="3" spans="2:23" ht="15.75" customHeight="1" x14ac:dyDescent="0.25">
      <c r="B3" s="36" t="str">
        <f>Outline!C16</f>
        <v>Workpaper 8</v>
      </c>
      <c r="C3" s="36"/>
      <c r="D3" s="36"/>
      <c r="E3" s="36"/>
      <c r="F3" s="36"/>
      <c r="G3" s="36"/>
      <c r="H3" s="36"/>
      <c r="I3" s="36"/>
      <c r="J3" s="36"/>
      <c r="K3" s="36"/>
      <c r="L3" s="36"/>
      <c r="M3" s="36"/>
      <c r="N3" s="34"/>
    </row>
    <row r="4" spans="2:23" ht="16.5" customHeight="1" thickBot="1" x14ac:dyDescent="0.3">
      <c r="B4" s="37" t="s">
        <v>136</v>
      </c>
      <c r="C4" s="37"/>
      <c r="D4" s="37"/>
      <c r="E4" s="37"/>
      <c r="F4" s="37"/>
      <c r="G4" s="37"/>
      <c r="H4" s="37"/>
      <c r="I4" s="37"/>
      <c r="J4" s="37"/>
      <c r="K4" s="37"/>
      <c r="L4" s="37"/>
      <c r="M4" s="37"/>
      <c r="N4" s="34"/>
      <c r="S4" s="230"/>
    </row>
    <row r="5" spans="2:23" ht="12.75" customHeight="1" thickTop="1" x14ac:dyDescent="0.25">
      <c r="S5" s="230"/>
    </row>
    <row r="6" spans="2:23" ht="12.75" customHeight="1" x14ac:dyDescent="0.25">
      <c r="C6" s="231"/>
      <c r="I6" s="231"/>
      <c r="J6" s="231"/>
    </row>
    <row r="7" spans="2:23" ht="15" customHeight="1" x14ac:dyDescent="0.25">
      <c r="B7" s="232" t="s">
        <v>137</v>
      </c>
      <c r="C7" s="233"/>
      <c r="D7" s="41"/>
      <c r="E7" s="41"/>
      <c r="F7" s="41"/>
      <c r="G7" s="41"/>
      <c r="H7" s="41"/>
      <c r="I7" s="232" t="s">
        <v>259</v>
      </c>
      <c r="J7" s="233"/>
      <c r="K7" s="41"/>
      <c r="L7" s="41"/>
      <c r="M7" s="41"/>
      <c r="U7" s="233"/>
    </row>
    <row r="8" spans="2:23" s="149" customFormat="1" ht="14.25" customHeight="1" x14ac:dyDescent="0.2">
      <c r="B8" s="234" t="s">
        <v>138</v>
      </c>
      <c r="C8" s="235"/>
      <c r="E8" s="236" t="s">
        <v>281</v>
      </c>
      <c r="F8" s="94"/>
      <c r="G8" s="34"/>
      <c r="H8" s="41"/>
      <c r="I8" s="234" t="s">
        <v>138</v>
      </c>
      <c r="J8" s="235"/>
      <c r="L8" s="237" t="s">
        <v>281</v>
      </c>
      <c r="M8" s="41"/>
      <c r="P8" s="238"/>
      <c r="U8" s="239"/>
      <c r="V8" s="240"/>
      <c r="W8" s="237"/>
    </row>
    <row r="9" spans="2:23" ht="15" customHeight="1" thickBot="1" x14ac:dyDescent="0.3">
      <c r="B9" s="241"/>
      <c r="C9" s="241"/>
      <c r="D9" s="241"/>
      <c r="E9" s="242" t="s">
        <v>139</v>
      </c>
      <c r="F9" s="241"/>
      <c r="H9" s="41"/>
      <c r="I9" s="241"/>
      <c r="J9" s="241"/>
      <c r="K9" s="241"/>
      <c r="L9" s="242"/>
      <c r="M9" s="243"/>
      <c r="P9" s="238"/>
      <c r="U9" s="242"/>
      <c r="V9" s="242"/>
      <c r="W9" s="242"/>
    </row>
    <row r="10" spans="2:23" ht="12.75" customHeight="1" x14ac:dyDescent="0.25">
      <c r="B10" s="34" t="s">
        <v>34</v>
      </c>
      <c r="C10" s="39"/>
      <c r="D10" s="39"/>
      <c r="E10" s="244">
        <f>MAX(M28:M33)</f>
        <v>0.49209999999999998</v>
      </c>
      <c r="H10" s="244"/>
      <c r="I10" s="34" t="s">
        <v>34</v>
      </c>
      <c r="J10" s="39"/>
      <c r="K10" s="39"/>
      <c r="L10" s="244">
        <f>MAX(M37:M48)</f>
        <v>0.48699999999999999</v>
      </c>
      <c r="M10" s="41"/>
      <c r="P10" s="238"/>
      <c r="V10" s="39"/>
      <c r="W10" s="244"/>
    </row>
    <row r="11" spans="2:23" ht="12.75" customHeight="1" x14ac:dyDescent="0.25">
      <c r="B11" s="34" t="s">
        <v>130</v>
      </c>
      <c r="C11" s="39"/>
      <c r="D11" s="39"/>
      <c r="E11" s="244">
        <f>QUARTILE(M28:M33,3)</f>
        <v>0.28902500000000003</v>
      </c>
      <c r="H11" s="244"/>
      <c r="I11" s="34" t="s">
        <v>130</v>
      </c>
      <c r="J11" s="39"/>
      <c r="K11" s="39"/>
      <c r="L11" s="244">
        <f>QUARTILE(M37:M48,3)</f>
        <v>0.2455</v>
      </c>
      <c r="M11" s="244"/>
      <c r="P11" s="238"/>
      <c r="V11" s="243"/>
      <c r="W11" s="245"/>
    </row>
    <row r="12" spans="2:23" ht="12.75" customHeight="1" x14ac:dyDescent="0.25">
      <c r="B12" s="34" t="s">
        <v>140</v>
      </c>
      <c r="E12" s="244">
        <f>AVERAGE(M28:M33)</f>
        <v>0.26186666666666669</v>
      </c>
      <c r="H12" s="245"/>
      <c r="I12" s="34" t="s">
        <v>140</v>
      </c>
      <c r="L12" s="245">
        <f>AVERAGE(M37:M48)</f>
        <v>0.18690909090909091</v>
      </c>
      <c r="M12" s="245"/>
      <c r="P12" s="238"/>
      <c r="W12" s="245"/>
    </row>
    <row r="13" spans="2:23" ht="12.75" customHeight="1" x14ac:dyDescent="0.25">
      <c r="B13" s="34" t="s">
        <v>128</v>
      </c>
      <c r="E13" s="244">
        <f>MEDIAN(M28:M33)</f>
        <v>0.24580000000000002</v>
      </c>
      <c r="H13" s="245"/>
      <c r="I13" s="34" t="s">
        <v>128</v>
      </c>
      <c r="L13" s="245">
        <f>MEDIAN(M37:M48)</f>
        <v>0.14799999999999999</v>
      </c>
      <c r="M13" s="245"/>
      <c r="P13" s="238"/>
      <c r="W13" s="245"/>
    </row>
    <row r="14" spans="2:23" ht="12.75" customHeight="1" x14ac:dyDescent="0.25">
      <c r="B14" s="34" t="s">
        <v>129</v>
      </c>
      <c r="E14" s="244">
        <f>QUARTILE(M28:M33,1)</f>
        <v>0.19035000000000002</v>
      </c>
      <c r="H14" s="244"/>
      <c r="I14" s="34" t="s">
        <v>129</v>
      </c>
      <c r="L14" s="244">
        <f>QUARTILE(M37:M48,1)</f>
        <v>7.1500000000000008E-2</v>
      </c>
      <c r="M14" s="244"/>
      <c r="P14" s="238"/>
      <c r="W14" s="245"/>
    </row>
    <row r="15" spans="2:23" ht="12.75" customHeight="1" x14ac:dyDescent="0.25">
      <c r="B15" s="34" t="s">
        <v>31</v>
      </c>
      <c r="E15" s="244">
        <f>MIN(M28:M33)</f>
        <v>0.11219999999999999</v>
      </c>
      <c r="H15" s="244"/>
      <c r="I15" s="34" t="s">
        <v>31</v>
      </c>
      <c r="L15" s="244">
        <f>MIN(M37:M48)</f>
        <v>4.3999999999999997E-2</v>
      </c>
      <c r="M15" s="244"/>
      <c r="P15" s="238"/>
      <c r="W15" s="245"/>
    </row>
    <row r="16" spans="2:23" ht="9.9499999999999993" customHeight="1" x14ac:dyDescent="0.25">
      <c r="E16" s="106"/>
      <c r="F16" s="106"/>
      <c r="G16" s="106"/>
      <c r="H16" s="106"/>
      <c r="I16" s="106"/>
      <c r="J16" s="106"/>
      <c r="K16" s="106"/>
      <c r="L16" s="106"/>
      <c r="P16" s="238"/>
    </row>
    <row r="17" spans="2:23" ht="12.75" customHeight="1" thickBot="1" x14ac:dyDescent="0.3">
      <c r="B17" s="246" t="s">
        <v>141</v>
      </c>
      <c r="C17" s="241"/>
      <c r="D17" s="241"/>
      <c r="E17" s="247"/>
      <c r="F17" s="106"/>
      <c r="G17" s="106"/>
      <c r="H17" s="106"/>
      <c r="I17" s="106"/>
      <c r="J17" s="106"/>
      <c r="K17" s="106"/>
      <c r="L17" s="106"/>
      <c r="P17" s="238"/>
    </row>
    <row r="18" spans="2:23" ht="12.75" customHeight="1" x14ac:dyDescent="0.25">
      <c r="B18" s="34" t="s">
        <v>34</v>
      </c>
      <c r="C18" s="39"/>
      <c r="D18" s="39"/>
      <c r="E18" s="244">
        <f>MAX(M28:M48)</f>
        <v>0.49209999999999998</v>
      </c>
      <c r="F18" s="106"/>
      <c r="G18" s="106"/>
      <c r="H18" s="106"/>
      <c r="I18" s="106"/>
      <c r="J18" s="106"/>
      <c r="K18" s="106"/>
      <c r="L18" s="106"/>
      <c r="P18" s="238"/>
    </row>
    <row r="19" spans="2:23" ht="12.75" customHeight="1" x14ac:dyDescent="0.25">
      <c r="B19" s="34" t="s">
        <v>130</v>
      </c>
      <c r="C19" s="39"/>
      <c r="D19" s="39"/>
      <c r="E19" s="244">
        <f>QUARTILE(M28:M48,3)</f>
        <v>0.2828</v>
      </c>
      <c r="F19" s="106"/>
      <c r="G19" s="106"/>
      <c r="H19" s="106"/>
      <c r="I19" s="106"/>
      <c r="J19" s="106"/>
      <c r="K19" s="106"/>
      <c r="L19" s="106"/>
      <c r="P19" s="238"/>
    </row>
    <row r="20" spans="2:23" ht="12.75" customHeight="1" x14ac:dyDescent="0.25">
      <c r="B20" s="34" t="s">
        <v>140</v>
      </c>
      <c r="E20" s="245">
        <f>AVERAGE(M28:M48)</f>
        <v>0.21336470588235298</v>
      </c>
      <c r="F20" s="230"/>
      <c r="G20" s="230"/>
      <c r="H20" s="230"/>
      <c r="I20" s="230"/>
      <c r="J20" s="230"/>
      <c r="K20" s="230"/>
      <c r="L20" s="230"/>
      <c r="P20" s="238"/>
    </row>
    <row r="21" spans="2:23" ht="12.75" customHeight="1" x14ac:dyDescent="0.25">
      <c r="B21" s="34" t="s">
        <v>128</v>
      </c>
      <c r="E21" s="245">
        <f>MEDIAN(M28:M48)</f>
        <v>0.19600000000000001</v>
      </c>
      <c r="F21" s="230"/>
      <c r="G21" s="230"/>
      <c r="H21" s="230"/>
      <c r="I21" s="230"/>
      <c r="J21" s="230"/>
      <c r="K21" s="230"/>
      <c r="L21" s="230"/>
      <c r="P21" s="238"/>
    </row>
    <row r="22" spans="2:23" ht="12.75" customHeight="1" x14ac:dyDescent="0.25">
      <c r="B22" s="34" t="s">
        <v>129</v>
      </c>
      <c r="E22" s="245">
        <f>QUARTILE(M28:M48,1)</f>
        <v>0.11219999999999999</v>
      </c>
      <c r="F22" s="230"/>
      <c r="G22" s="230"/>
      <c r="H22" s="230"/>
      <c r="I22" s="230"/>
      <c r="J22" s="230"/>
      <c r="K22" s="230"/>
      <c r="L22" s="230"/>
      <c r="P22" s="238"/>
    </row>
    <row r="23" spans="2:23" ht="12.75" customHeight="1" x14ac:dyDescent="0.25">
      <c r="B23" s="34" t="s">
        <v>31</v>
      </c>
      <c r="E23" s="245">
        <f>MIN(M28:M48)</f>
        <v>4.3999999999999997E-2</v>
      </c>
      <c r="F23" s="230"/>
      <c r="G23" s="230"/>
      <c r="H23" s="230"/>
      <c r="I23" s="230"/>
      <c r="J23" s="230"/>
      <c r="K23" s="230"/>
      <c r="L23" s="230"/>
      <c r="P23" s="238"/>
    </row>
    <row r="24" spans="2:23" ht="12.75" customHeight="1" x14ac:dyDescent="0.25">
      <c r="E24" s="245"/>
      <c r="F24" s="230"/>
      <c r="G24" s="230"/>
      <c r="H24" s="230"/>
      <c r="I24" s="230"/>
      <c r="J24" s="230"/>
      <c r="K24" s="230"/>
      <c r="L24" s="230"/>
      <c r="P24" s="238"/>
    </row>
    <row r="25" spans="2:23" ht="14.25" customHeight="1" x14ac:dyDescent="0.25">
      <c r="B25" s="248" t="s">
        <v>263</v>
      </c>
      <c r="D25" s="230"/>
      <c r="E25" s="230"/>
      <c r="F25" s="230"/>
      <c r="G25" s="230"/>
      <c r="H25" s="230"/>
      <c r="I25" s="230"/>
      <c r="J25" s="230"/>
      <c r="R25" s="249"/>
    </row>
    <row r="26" spans="2:23" ht="27.75" customHeight="1" x14ac:dyDescent="0.25">
      <c r="B26" s="250" t="s">
        <v>142</v>
      </c>
      <c r="C26" s="251" t="s">
        <v>143</v>
      </c>
      <c r="D26" s="252"/>
      <c r="E26" s="405" t="s">
        <v>144</v>
      </c>
      <c r="F26" s="405"/>
      <c r="G26" s="405"/>
      <c r="H26" s="405"/>
      <c r="I26" s="405"/>
      <c r="J26" s="253"/>
      <c r="K26" s="253"/>
      <c r="L26" s="254"/>
      <c r="M26" s="255" t="s">
        <v>283</v>
      </c>
      <c r="O26" t="s">
        <v>145</v>
      </c>
      <c r="P26" s="39" t="s">
        <v>146</v>
      </c>
    </row>
    <row r="27" spans="2:23" ht="6" customHeight="1" x14ac:dyDescent="0.25">
      <c r="B27" s="339"/>
      <c r="C27" s="340"/>
      <c r="D27" s="341"/>
      <c r="E27" s="342"/>
      <c r="F27" s="342"/>
      <c r="G27" s="342"/>
      <c r="H27" s="342"/>
      <c r="I27" s="342"/>
      <c r="J27" s="343"/>
      <c r="K27" s="343"/>
      <c r="L27" s="344"/>
      <c r="M27" s="344"/>
      <c r="P27" s="39"/>
    </row>
    <row r="28" spans="2:23" s="149" customFormat="1" ht="24.75" customHeight="1" x14ac:dyDescent="0.2">
      <c r="B28" s="256">
        <v>43283</v>
      </c>
      <c r="C28" s="257" t="s">
        <v>275</v>
      </c>
      <c r="E28" s="403" t="s">
        <v>276</v>
      </c>
      <c r="F28" s="403"/>
      <c r="G28" s="403"/>
      <c r="H28" s="403"/>
      <c r="I28" s="403"/>
      <c r="J28" s="403"/>
      <c r="K28" s="403"/>
      <c r="L28" s="403"/>
      <c r="M28" s="258">
        <v>0.1842</v>
      </c>
      <c r="O28" s="149" t="s">
        <v>148</v>
      </c>
      <c r="P28" s="403" t="s">
        <v>149</v>
      </c>
      <c r="Q28" s="403"/>
      <c r="R28" s="403"/>
      <c r="S28" s="403"/>
      <c r="T28" s="403"/>
      <c r="U28" s="403"/>
      <c r="V28" s="403"/>
      <c r="W28" s="403"/>
    </row>
    <row r="29" spans="2:23" s="149" customFormat="1" ht="39" customHeight="1" x14ac:dyDescent="0.2">
      <c r="B29" s="256">
        <v>43188</v>
      </c>
      <c r="C29" s="257" t="s">
        <v>150</v>
      </c>
      <c r="E29" s="403" t="s">
        <v>151</v>
      </c>
      <c r="F29" s="403"/>
      <c r="G29" s="403"/>
      <c r="H29" s="403"/>
      <c r="I29" s="403"/>
      <c r="J29" s="403"/>
      <c r="K29" s="403"/>
      <c r="L29" s="403"/>
      <c r="M29" s="258">
        <v>0.29110000000000003</v>
      </c>
      <c r="P29" s="403" t="s">
        <v>152</v>
      </c>
      <c r="Q29" s="403"/>
      <c r="R29" s="403"/>
      <c r="S29" s="403"/>
      <c r="T29" s="403"/>
      <c r="U29" s="403"/>
      <c r="V29" s="403"/>
      <c r="W29" s="403"/>
    </row>
    <row r="30" spans="2:23" s="149" customFormat="1" ht="27.75" customHeight="1" x14ac:dyDescent="0.2">
      <c r="B30" s="256">
        <v>43076</v>
      </c>
      <c r="C30" s="257" t="s">
        <v>153</v>
      </c>
      <c r="E30" s="403" t="s">
        <v>154</v>
      </c>
      <c r="F30" s="403"/>
      <c r="G30" s="403"/>
      <c r="H30" s="403"/>
      <c r="I30" s="403"/>
      <c r="J30" s="403"/>
      <c r="K30" s="403"/>
      <c r="L30" s="403"/>
      <c r="M30" s="258">
        <v>0.11219999999999999</v>
      </c>
      <c r="P30" s="403" t="s">
        <v>155</v>
      </c>
      <c r="Q30" s="403"/>
      <c r="R30" s="403"/>
      <c r="S30" s="403"/>
      <c r="T30" s="403"/>
      <c r="U30" s="403"/>
      <c r="V30" s="403"/>
      <c r="W30" s="403"/>
    </row>
    <row r="31" spans="2:23" s="149" customFormat="1" ht="42.75" customHeight="1" x14ac:dyDescent="0.2">
      <c r="B31" s="256">
        <v>42859</v>
      </c>
      <c r="C31" s="257" t="s">
        <v>156</v>
      </c>
      <c r="E31" s="403" t="s">
        <v>157</v>
      </c>
      <c r="F31" s="403"/>
      <c r="G31" s="403"/>
      <c r="H31" s="403"/>
      <c r="I31" s="403"/>
      <c r="J31" s="403"/>
      <c r="K31" s="403"/>
      <c r="L31" s="403"/>
      <c r="M31" s="258">
        <v>0.49209999999999998</v>
      </c>
      <c r="P31" s="402" t="s">
        <v>158</v>
      </c>
      <c r="Q31" s="402"/>
      <c r="R31" s="402"/>
      <c r="S31" s="402"/>
      <c r="T31" s="402"/>
      <c r="U31" s="402"/>
      <c r="V31" s="402"/>
      <c r="W31" s="402"/>
    </row>
    <row r="32" spans="2:23" s="149" customFormat="1" ht="42.75" customHeight="1" x14ac:dyDescent="0.2">
      <c r="B32" s="256">
        <v>42453</v>
      </c>
      <c r="C32" s="257" t="s">
        <v>159</v>
      </c>
      <c r="E32" s="403" t="s">
        <v>160</v>
      </c>
      <c r="F32" s="403"/>
      <c r="G32" s="403"/>
      <c r="H32" s="403"/>
      <c r="I32" s="403"/>
      <c r="J32" s="403"/>
      <c r="K32" s="403"/>
      <c r="L32" s="403"/>
      <c r="M32" s="258">
        <v>0.2828</v>
      </c>
      <c r="P32" s="402" t="s">
        <v>161</v>
      </c>
      <c r="Q32" s="402"/>
      <c r="R32" s="402"/>
      <c r="S32" s="402"/>
      <c r="T32" s="402"/>
      <c r="U32" s="402"/>
      <c r="V32" s="402"/>
      <c r="W32" s="402"/>
    </row>
    <row r="33" spans="2:23" s="149" customFormat="1" ht="80.25" customHeight="1" x14ac:dyDescent="0.2">
      <c r="B33" s="256">
        <v>42234</v>
      </c>
      <c r="C33" s="257" t="s">
        <v>162</v>
      </c>
      <c r="E33" s="403" t="s">
        <v>163</v>
      </c>
      <c r="F33" s="403"/>
      <c r="G33" s="403"/>
      <c r="H33" s="403"/>
      <c r="I33" s="403"/>
      <c r="J33" s="403"/>
      <c r="K33" s="403"/>
      <c r="L33" s="403"/>
      <c r="M33" s="258">
        <v>0.20880000000000001</v>
      </c>
      <c r="P33" s="402" t="s">
        <v>164</v>
      </c>
      <c r="Q33" s="402"/>
      <c r="R33" s="402"/>
      <c r="S33" s="402"/>
      <c r="T33" s="402"/>
      <c r="U33" s="402"/>
      <c r="V33" s="402"/>
      <c r="W33" s="402"/>
    </row>
    <row r="34" spans="2:23" ht="12.75" customHeight="1" x14ac:dyDescent="0.25">
      <c r="B34" s="248" t="s">
        <v>165</v>
      </c>
      <c r="D34" s="230"/>
      <c r="E34" s="230"/>
      <c r="F34" s="230"/>
      <c r="G34" s="230"/>
      <c r="H34" s="230"/>
      <c r="I34" s="230"/>
      <c r="J34" s="230"/>
      <c r="P34" s="381" t="s">
        <v>277</v>
      </c>
      <c r="Q34" s="382">
        <v>0.5</v>
      </c>
    </row>
    <row r="35" spans="2:23" ht="27.75" customHeight="1" x14ac:dyDescent="0.25">
      <c r="B35" s="250" t="s">
        <v>142</v>
      </c>
      <c r="C35" s="251" t="s">
        <v>143</v>
      </c>
      <c r="D35" s="252"/>
      <c r="E35" s="405" t="s">
        <v>144</v>
      </c>
      <c r="F35" s="405"/>
      <c r="G35" s="405"/>
      <c r="H35" s="405"/>
      <c r="I35" s="405"/>
      <c r="J35" s="254"/>
      <c r="K35" s="253"/>
      <c r="L35" s="254"/>
      <c r="M35" s="255" t="s">
        <v>284</v>
      </c>
      <c r="O35" s="385" t="s">
        <v>166</v>
      </c>
      <c r="P35" s="259" t="s">
        <v>169</v>
      </c>
    </row>
    <row r="36" spans="2:23" ht="6" customHeight="1" x14ac:dyDescent="0.25">
      <c r="B36" s="339"/>
      <c r="C36" s="340"/>
      <c r="D36" s="341"/>
      <c r="E36" s="342"/>
      <c r="F36" s="342"/>
      <c r="G36" s="342"/>
      <c r="H36" s="342"/>
      <c r="I36" s="342"/>
      <c r="J36" s="343"/>
      <c r="K36" s="343"/>
      <c r="L36" s="344"/>
      <c r="M36" s="344"/>
      <c r="O36" s="259"/>
      <c r="P36" s="39"/>
    </row>
    <row r="37" spans="2:23" s="149" customFormat="1" ht="28.5" customHeight="1" x14ac:dyDescent="0.2">
      <c r="B37" s="256">
        <v>43283</v>
      </c>
      <c r="C37" s="257" t="s">
        <v>275</v>
      </c>
      <c r="E37" s="403" t="s">
        <v>147</v>
      </c>
      <c r="F37" s="403"/>
      <c r="G37" s="403"/>
      <c r="H37" s="403"/>
      <c r="I37" s="403"/>
      <c r="J37" s="403"/>
      <c r="K37" s="403"/>
      <c r="L37" s="403"/>
      <c r="M37" s="380">
        <f t="shared" ref="M37:M48" si="0">IF(O37&gt;$Q$34,"NM",O37)</f>
        <v>4.7E-2</v>
      </c>
      <c r="O37" s="258">
        <v>4.7E-2</v>
      </c>
      <c r="P37" s="403" t="s">
        <v>149</v>
      </c>
      <c r="Q37" s="403"/>
      <c r="R37" s="403"/>
      <c r="S37" s="403"/>
      <c r="T37" s="403"/>
      <c r="U37" s="403"/>
      <c r="V37" s="403"/>
      <c r="W37" s="403"/>
    </row>
    <row r="38" spans="2:23" s="149" customFormat="1" ht="38.25" customHeight="1" x14ac:dyDescent="0.2">
      <c r="B38" s="256">
        <v>43237</v>
      </c>
      <c r="C38" s="257" t="s">
        <v>278</v>
      </c>
      <c r="E38" s="403" t="s">
        <v>279</v>
      </c>
      <c r="F38" s="403"/>
      <c r="G38" s="403"/>
      <c r="H38" s="403"/>
      <c r="I38" s="403"/>
      <c r="J38" s="403"/>
      <c r="K38" s="403"/>
      <c r="L38" s="403"/>
      <c r="M38" s="380" t="str">
        <f t="shared" si="0"/>
        <v>NM</v>
      </c>
      <c r="O38" s="258">
        <v>2.0150000000000001</v>
      </c>
      <c r="P38" s="404" t="s">
        <v>279</v>
      </c>
      <c r="Q38" s="404"/>
      <c r="R38" s="404"/>
      <c r="S38" s="404"/>
      <c r="T38" s="404"/>
      <c r="U38" s="404"/>
      <c r="V38" s="404"/>
      <c r="W38" s="404"/>
    </row>
    <row r="39" spans="2:23" s="149" customFormat="1" ht="38.25" customHeight="1" x14ac:dyDescent="0.2">
      <c r="B39" s="256">
        <v>42978</v>
      </c>
      <c r="C39" s="257" t="s">
        <v>167</v>
      </c>
      <c r="E39" s="403" t="s">
        <v>168</v>
      </c>
      <c r="F39" s="403"/>
      <c r="G39" s="403"/>
      <c r="H39" s="403"/>
      <c r="I39" s="403"/>
      <c r="J39" s="403"/>
      <c r="K39" s="403"/>
      <c r="L39" s="403"/>
      <c r="M39" s="380">
        <f t="shared" si="0"/>
        <v>4.3999999999999997E-2</v>
      </c>
      <c r="O39" s="258">
        <v>4.3999999999999997E-2</v>
      </c>
      <c r="P39" s="404" t="s">
        <v>170</v>
      </c>
      <c r="Q39" s="404"/>
      <c r="R39" s="404"/>
      <c r="S39" s="404"/>
      <c r="T39" s="404"/>
      <c r="U39" s="404"/>
      <c r="V39" s="404"/>
      <c r="W39" s="404"/>
    </row>
    <row r="40" spans="2:23" s="149" customFormat="1" ht="27" customHeight="1" x14ac:dyDescent="0.2">
      <c r="B40" s="256">
        <v>42951</v>
      </c>
      <c r="C40" s="257" t="s">
        <v>171</v>
      </c>
      <c r="E40" s="403" t="s">
        <v>172</v>
      </c>
      <c r="F40" s="403"/>
      <c r="G40" s="403"/>
      <c r="H40" s="403"/>
      <c r="I40" s="403"/>
      <c r="J40" s="403"/>
      <c r="K40" s="403"/>
      <c r="L40" s="403"/>
      <c r="M40" s="380">
        <f t="shared" si="0"/>
        <v>0.24099999999999999</v>
      </c>
      <c r="O40" s="258">
        <v>0.24099999999999999</v>
      </c>
      <c r="P40" s="404" t="s">
        <v>173</v>
      </c>
      <c r="Q40" s="404"/>
      <c r="R40" s="404"/>
      <c r="S40" s="404"/>
      <c r="T40" s="404"/>
      <c r="U40" s="404"/>
      <c r="V40" s="404"/>
      <c r="W40" s="404"/>
    </row>
    <row r="41" spans="2:23" s="149" customFormat="1" ht="25.5" customHeight="1" x14ac:dyDescent="0.2">
      <c r="B41" s="256">
        <v>42902</v>
      </c>
      <c r="C41" s="257" t="s">
        <v>174</v>
      </c>
      <c r="E41" s="403" t="s">
        <v>175</v>
      </c>
      <c r="F41" s="403"/>
      <c r="G41" s="403"/>
      <c r="H41" s="403"/>
      <c r="I41" s="403"/>
      <c r="J41" s="403"/>
      <c r="K41" s="403"/>
      <c r="L41" s="403"/>
      <c r="M41" s="380">
        <f t="shared" si="0"/>
        <v>0.25</v>
      </c>
      <c r="O41" s="258">
        <v>0.25</v>
      </c>
      <c r="P41" s="404" t="s">
        <v>176</v>
      </c>
      <c r="Q41" s="404"/>
      <c r="R41" s="404"/>
      <c r="S41" s="404"/>
      <c r="T41" s="404"/>
      <c r="U41" s="404"/>
      <c r="V41" s="404"/>
      <c r="W41" s="404"/>
    </row>
    <row r="42" spans="2:23" s="149" customFormat="1" ht="15.75" customHeight="1" x14ac:dyDescent="0.2">
      <c r="B42" s="256">
        <v>42867</v>
      </c>
      <c r="C42" s="257" t="s">
        <v>177</v>
      </c>
      <c r="E42" s="403" t="s">
        <v>178</v>
      </c>
      <c r="F42" s="403"/>
      <c r="G42" s="403"/>
      <c r="H42" s="403"/>
      <c r="I42" s="403"/>
      <c r="J42" s="403"/>
      <c r="K42" s="403"/>
      <c r="L42" s="403"/>
      <c r="M42" s="380">
        <f t="shared" si="0"/>
        <v>0.05</v>
      </c>
      <c r="O42" s="258">
        <v>0.05</v>
      </c>
      <c r="P42" s="404" t="s">
        <v>179</v>
      </c>
      <c r="Q42" s="404"/>
      <c r="R42" s="404"/>
      <c r="S42" s="404"/>
      <c r="T42" s="404"/>
      <c r="U42" s="404"/>
      <c r="V42" s="404"/>
      <c r="W42" s="404"/>
    </row>
    <row r="43" spans="2:23" s="149" customFormat="1" ht="39" customHeight="1" x14ac:dyDescent="0.2">
      <c r="B43" s="256">
        <v>42818</v>
      </c>
      <c r="C43" s="257" t="s">
        <v>180</v>
      </c>
      <c r="E43" s="403" t="s">
        <v>181</v>
      </c>
      <c r="F43" s="403"/>
      <c r="G43" s="403"/>
      <c r="H43" s="403"/>
      <c r="I43" s="403"/>
      <c r="J43" s="403"/>
      <c r="K43" s="403"/>
      <c r="L43" s="403"/>
      <c r="M43" s="380">
        <f t="shared" si="0"/>
        <v>0.14799999999999999</v>
      </c>
      <c r="O43" s="258">
        <v>0.14799999999999999</v>
      </c>
      <c r="P43" s="404"/>
      <c r="Q43" s="404"/>
      <c r="R43" s="404"/>
      <c r="S43" s="404"/>
      <c r="T43" s="404"/>
      <c r="U43" s="404"/>
      <c r="V43" s="404"/>
      <c r="W43" s="404"/>
    </row>
    <row r="44" spans="2:23" s="149" customFormat="1" ht="26.25" customHeight="1" x14ac:dyDescent="0.2">
      <c r="B44" s="256">
        <v>42643</v>
      </c>
      <c r="C44" s="257" t="s">
        <v>182</v>
      </c>
      <c r="E44" s="403" t="s">
        <v>183</v>
      </c>
      <c r="F44" s="403"/>
      <c r="G44" s="403"/>
      <c r="H44" s="403"/>
      <c r="I44" s="403"/>
      <c r="J44" s="403"/>
      <c r="K44" s="403"/>
      <c r="L44" s="403"/>
      <c r="M44" s="380">
        <f t="shared" si="0"/>
        <v>9.2999999999999999E-2</v>
      </c>
      <c r="O44" s="258">
        <v>9.2999999999999999E-2</v>
      </c>
      <c r="P44" s="404" t="s">
        <v>184</v>
      </c>
      <c r="Q44" s="404"/>
      <c r="R44" s="404"/>
      <c r="S44" s="404"/>
      <c r="T44" s="404"/>
      <c r="U44" s="404"/>
      <c r="V44" s="404"/>
      <c r="W44" s="404"/>
    </row>
    <row r="45" spans="2:23" s="149" customFormat="1" ht="26.25" customHeight="1" x14ac:dyDescent="0.2">
      <c r="B45" s="256">
        <v>42458</v>
      </c>
      <c r="C45" s="257" t="s">
        <v>185</v>
      </c>
      <c r="E45" s="403" t="s">
        <v>186</v>
      </c>
      <c r="F45" s="403"/>
      <c r="G45" s="403"/>
      <c r="H45" s="403"/>
      <c r="I45" s="403"/>
      <c r="J45" s="403"/>
      <c r="K45" s="403"/>
      <c r="L45" s="403"/>
      <c r="M45" s="380">
        <f t="shared" si="0"/>
        <v>0.127</v>
      </c>
      <c r="O45" s="258">
        <v>0.127</v>
      </c>
      <c r="P45" s="404" t="s">
        <v>187</v>
      </c>
      <c r="Q45" s="404"/>
      <c r="R45" s="404"/>
      <c r="S45" s="404"/>
      <c r="T45" s="404"/>
      <c r="U45" s="404"/>
      <c r="V45" s="404"/>
      <c r="W45" s="404"/>
    </row>
    <row r="46" spans="2:23" s="149" customFormat="1" ht="14.25" customHeight="1" x14ac:dyDescent="0.2">
      <c r="B46" s="256">
        <v>42429</v>
      </c>
      <c r="C46" s="257" t="s">
        <v>188</v>
      </c>
      <c r="E46" s="403" t="s">
        <v>189</v>
      </c>
      <c r="F46" s="403"/>
      <c r="G46" s="403"/>
      <c r="H46" s="403"/>
      <c r="I46" s="403"/>
      <c r="J46" s="403"/>
      <c r="K46" s="403"/>
      <c r="L46" s="403"/>
      <c r="M46" s="380">
        <f t="shared" si="0"/>
        <v>0.48699999999999999</v>
      </c>
      <c r="O46" s="258">
        <v>0.48699999999999999</v>
      </c>
      <c r="P46" s="404" t="s">
        <v>190</v>
      </c>
      <c r="Q46" s="404"/>
      <c r="R46" s="404"/>
      <c r="S46" s="404"/>
      <c r="T46" s="404"/>
      <c r="U46" s="404"/>
      <c r="V46" s="404"/>
      <c r="W46" s="404"/>
    </row>
    <row r="47" spans="2:23" s="149" customFormat="1" ht="26.25" customHeight="1" x14ac:dyDescent="0.2">
      <c r="B47" s="256">
        <v>42331</v>
      </c>
      <c r="C47" s="257" t="s">
        <v>191</v>
      </c>
      <c r="E47" s="403" t="s">
        <v>192</v>
      </c>
      <c r="F47" s="403"/>
      <c r="G47" s="403"/>
      <c r="H47" s="403"/>
      <c r="I47" s="403"/>
      <c r="J47" s="403"/>
      <c r="K47" s="403"/>
      <c r="L47" s="403"/>
      <c r="M47" s="380">
        <f t="shared" si="0"/>
        <v>0.373</v>
      </c>
      <c r="O47" s="258">
        <v>0.373</v>
      </c>
      <c r="P47" s="404" t="s">
        <v>193</v>
      </c>
      <c r="Q47" s="404"/>
      <c r="R47" s="404"/>
      <c r="S47" s="404"/>
      <c r="T47" s="404"/>
      <c r="U47" s="404"/>
      <c r="V47" s="404"/>
      <c r="W47" s="404"/>
    </row>
    <row r="48" spans="2:23" s="149" customFormat="1" ht="27" customHeight="1" x14ac:dyDescent="0.2">
      <c r="B48" s="256">
        <v>42298</v>
      </c>
      <c r="C48" s="257" t="s">
        <v>194</v>
      </c>
      <c r="E48" s="403" t="s">
        <v>195</v>
      </c>
      <c r="F48" s="403"/>
      <c r="G48" s="403"/>
      <c r="H48" s="403"/>
      <c r="I48" s="403"/>
      <c r="J48" s="403"/>
      <c r="K48" s="403"/>
      <c r="L48" s="403"/>
      <c r="M48" s="380">
        <f t="shared" si="0"/>
        <v>0.19600000000000001</v>
      </c>
      <c r="O48" s="258">
        <v>0.19600000000000001</v>
      </c>
      <c r="P48" s="404" t="s">
        <v>196</v>
      </c>
      <c r="Q48" s="404"/>
      <c r="R48" s="404"/>
      <c r="S48" s="404"/>
      <c r="T48" s="404"/>
      <c r="U48" s="404"/>
      <c r="V48" s="404"/>
      <c r="W48" s="404"/>
    </row>
    <row r="49" spans="1:15" ht="12.75" customHeight="1" x14ac:dyDescent="0.2">
      <c r="B49" s="176" t="s">
        <v>197</v>
      </c>
      <c r="C49" s="177"/>
      <c r="D49" s="260"/>
      <c r="E49" s="261"/>
      <c r="F49" s="261" t="s">
        <v>74</v>
      </c>
      <c r="G49" s="261"/>
      <c r="H49" s="261"/>
      <c r="I49" s="262">
        <v>0.11</v>
      </c>
      <c r="N49" s="34"/>
      <c r="O49" s="34"/>
    </row>
    <row r="50" spans="1:15" ht="12.75" customHeight="1" x14ac:dyDescent="0.2">
      <c r="B50" s="263" t="s">
        <v>198</v>
      </c>
      <c r="C50" s="264"/>
      <c r="D50" s="264"/>
      <c r="E50" s="264"/>
      <c r="F50" s="265"/>
      <c r="G50" s="265"/>
      <c r="H50" s="265"/>
      <c r="I50" s="266">
        <f>MROUND(1-1/(1+I49),1%)</f>
        <v>0.1</v>
      </c>
      <c r="N50" s="34"/>
      <c r="O50" s="34"/>
    </row>
    <row r="51" spans="1:15" ht="12.75" customHeight="1" x14ac:dyDescent="0.2">
      <c r="B51" s="39"/>
      <c r="C51" s="39"/>
      <c r="N51" s="34"/>
      <c r="O51" s="34"/>
    </row>
    <row r="52" spans="1:15" ht="12.75" customHeight="1" x14ac:dyDescent="0.2">
      <c r="B52" s="127" t="s">
        <v>73</v>
      </c>
      <c r="C52" s="127"/>
      <c r="N52" s="34"/>
      <c r="O52" s="34"/>
    </row>
    <row r="53" spans="1:15" ht="12.75" customHeight="1" x14ac:dyDescent="0.2">
      <c r="A53" s="267" t="s">
        <v>55</v>
      </c>
      <c r="B53" s="396" t="s">
        <v>286</v>
      </c>
      <c r="C53" s="396"/>
      <c r="D53" s="396"/>
      <c r="E53" s="396"/>
      <c r="F53" s="396"/>
      <c r="N53" s="34"/>
      <c r="O53" s="34"/>
    </row>
    <row r="54" spans="1:15" ht="12.75" x14ac:dyDescent="0.2">
      <c r="A54" s="267" t="s">
        <v>59</v>
      </c>
      <c r="B54" s="396" t="s">
        <v>287</v>
      </c>
      <c r="C54" s="396"/>
      <c r="D54" s="396"/>
      <c r="E54" s="396"/>
      <c r="F54" s="396"/>
      <c r="G54" s="268"/>
      <c r="H54" s="268"/>
      <c r="I54" s="268"/>
      <c r="N54" s="34"/>
      <c r="O54" s="34"/>
    </row>
    <row r="55" spans="1:15" ht="12.75" customHeight="1" x14ac:dyDescent="0.2">
      <c r="A55" s="267" t="s">
        <v>74</v>
      </c>
      <c r="B55" s="401" t="s">
        <v>272</v>
      </c>
      <c r="C55" s="401"/>
      <c r="D55" s="401"/>
      <c r="E55" s="401"/>
      <c r="F55" s="401"/>
      <c r="G55" s="401"/>
      <c r="H55" s="401"/>
      <c r="I55" s="401"/>
      <c r="J55" s="401"/>
      <c r="K55" s="401"/>
      <c r="L55" s="401"/>
      <c r="M55" s="401"/>
      <c r="N55" s="34"/>
      <c r="O55" s="34"/>
    </row>
    <row r="56" spans="1:15" ht="12.75" customHeight="1" x14ac:dyDescent="0.2">
      <c r="A56" s="267" t="s">
        <v>282</v>
      </c>
      <c r="B56" s="401" t="s">
        <v>285</v>
      </c>
      <c r="C56" s="401"/>
      <c r="D56" s="401"/>
      <c r="E56" s="401"/>
      <c r="F56" s="401"/>
      <c r="G56" s="401"/>
      <c r="H56" s="401"/>
      <c r="I56" s="401"/>
      <c r="J56" s="401"/>
      <c r="K56" s="401"/>
      <c r="L56" s="401"/>
      <c r="M56" s="401"/>
      <c r="N56" s="34"/>
      <c r="O56" s="34"/>
    </row>
    <row r="57" spans="1:15" ht="12.75" x14ac:dyDescent="0.2">
      <c r="N57" s="34"/>
      <c r="O57" s="34"/>
    </row>
    <row r="58" spans="1:15" ht="12.75" customHeight="1" x14ac:dyDescent="0.2">
      <c r="B58" s="175"/>
      <c r="C58" s="175"/>
      <c r="N58" s="34"/>
      <c r="O58" s="34"/>
    </row>
    <row r="59" spans="1:15" ht="12.75" customHeight="1" x14ac:dyDescent="0.2">
      <c r="C59" s="269"/>
      <c r="N59" s="34"/>
      <c r="O59" s="34"/>
    </row>
    <row r="60" spans="1:15" ht="12.75" x14ac:dyDescent="0.2">
      <c r="C60" s="269"/>
      <c r="N60" s="34"/>
      <c r="O60" s="34"/>
    </row>
    <row r="61" spans="1:15" ht="12.75" x14ac:dyDescent="0.2">
      <c r="C61" s="269"/>
      <c r="N61" s="34"/>
      <c r="O61" s="34"/>
    </row>
    <row r="62" spans="1:15" ht="12.75" x14ac:dyDescent="0.2">
      <c r="C62" s="269"/>
      <c r="N62" s="34"/>
      <c r="O62" s="34"/>
    </row>
    <row r="63" spans="1:15" ht="12.75" x14ac:dyDescent="0.2">
      <c r="N63" s="34"/>
      <c r="O63" s="34"/>
    </row>
    <row r="64" spans="1:15" ht="12.75" x14ac:dyDescent="0.2">
      <c r="C64" s="257"/>
      <c r="N64" s="34"/>
      <c r="O64" s="34"/>
    </row>
    <row r="65" spans="3:15" ht="12.75" x14ac:dyDescent="0.2">
      <c r="C65" s="257"/>
      <c r="N65" s="34"/>
      <c r="O65" s="34"/>
    </row>
    <row r="66" spans="3:15" ht="12.75" x14ac:dyDescent="0.2">
      <c r="C66" s="257"/>
      <c r="N66" s="34"/>
      <c r="O66" s="34"/>
    </row>
    <row r="67" spans="3:15" ht="12.75" x14ac:dyDescent="0.2">
      <c r="C67" s="257"/>
      <c r="N67" s="34"/>
      <c r="O67" s="34"/>
    </row>
    <row r="68" spans="3:15" ht="12.75" x14ac:dyDescent="0.2">
      <c r="C68" s="257"/>
      <c r="N68" s="34"/>
      <c r="O68" s="34"/>
    </row>
    <row r="69" spans="3:15" ht="12.75" x14ac:dyDescent="0.2">
      <c r="C69" s="257"/>
      <c r="N69" s="34"/>
      <c r="O69" s="34"/>
    </row>
    <row r="70" spans="3:15" ht="12.75" x14ac:dyDescent="0.2">
      <c r="C70" s="257"/>
      <c r="N70" s="34"/>
      <c r="O70" s="34"/>
    </row>
    <row r="71" spans="3:15" ht="12.75" x14ac:dyDescent="0.2">
      <c r="C71" s="257"/>
      <c r="N71" s="34"/>
      <c r="O71" s="34"/>
    </row>
    <row r="72" spans="3:15" x14ac:dyDescent="0.25">
      <c r="C72" s="257"/>
    </row>
    <row r="73" spans="3:15" x14ac:dyDescent="0.25">
      <c r="C73" s="257"/>
    </row>
    <row r="74" spans="3:15" x14ac:dyDescent="0.25">
      <c r="C74" s="257"/>
    </row>
    <row r="75" spans="3:15" x14ac:dyDescent="0.25">
      <c r="C75" s="257"/>
    </row>
    <row r="76" spans="3:15" x14ac:dyDescent="0.25">
      <c r="C76" s="257"/>
    </row>
    <row r="77" spans="3:15" x14ac:dyDescent="0.25">
      <c r="C77" s="257"/>
    </row>
  </sheetData>
  <mergeCells count="42">
    <mergeCell ref="P33:W33"/>
    <mergeCell ref="P28:W28"/>
    <mergeCell ref="E42:L42"/>
    <mergeCell ref="P42:W42"/>
    <mergeCell ref="P39:W39"/>
    <mergeCell ref="E32:L32"/>
    <mergeCell ref="E33:L33"/>
    <mergeCell ref="E35:I35"/>
    <mergeCell ref="E39:L39"/>
    <mergeCell ref="E37:L37"/>
    <mergeCell ref="P37:W37"/>
    <mergeCell ref="E38:L38"/>
    <mergeCell ref="P38:W38"/>
    <mergeCell ref="P29:W29"/>
    <mergeCell ref="P30:W30"/>
    <mergeCell ref="P31:W31"/>
    <mergeCell ref="E26:I26"/>
    <mergeCell ref="E28:L28"/>
    <mergeCell ref="E29:L29"/>
    <mergeCell ref="E30:L30"/>
    <mergeCell ref="E31:L31"/>
    <mergeCell ref="B55:M55"/>
    <mergeCell ref="E48:L48"/>
    <mergeCell ref="P48:W48"/>
    <mergeCell ref="B53:F53"/>
    <mergeCell ref="B54:F54"/>
    <mergeCell ref="B56:M56"/>
    <mergeCell ref="P32:W32"/>
    <mergeCell ref="E46:L46"/>
    <mergeCell ref="P46:W46"/>
    <mergeCell ref="E43:L43"/>
    <mergeCell ref="P43:W43"/>
    <mergeCell ref="E44:L44"/>
    <mergeCell ref="P44:W44"/>
    <mergeCell ref="E45:L45"/>
    <mergeCell ref="P45:W45"/>
    <mergeCell ref="E40:L40"/>
    <mergeCell ref="P40:W40"/>
    <mergeCell ref="E41:L41"/>
    <mergeCell ref="P41:W41"/>
    <mergeCell ref="E47:L47"/>
    <mergeCell ref="P47:W47"/>
  </mergeCells>
  <conditionalFormatting sqref="C78:C1048576 C57:C63 C49:C52 C1 C5:C34 C54">
    <cfRule type="duplicateValues" dxfId="17" priority="18"/>
  </conditionalFormatting>
  <conditionalFormatting sqref="J7:J8">
    <cfRule type="duplicateValues" dxfId="16" priority="17"/>
  </conditionalFormatting>
  <conditionalFormatting sqref="J9:J15">
    <cfRule type="duplicateValues" dxfId="15" priority="16"/>
  </conditionalFormatting>
  <conditionalFormatting sqref="C35">
    <cfRule type="duplicateValues" dxfId="14" priority="15"/>
  </conditionalFormatting>
  <conditionalFormatting sqref="C39">
    <cfRule type="duplicateValues" dxfId="13" priority="14"/>
  </conditionalFormatting>
  <conditionalFormatting sqref="B4:M4">
    <cfRule type="cellIs" dxfId="12" priority="12" stopIfTrue="1" operator="equal">
      <formula>"input"</formula>
    </cfRule>
  </conditionalFormatting>
  <conditionalFormatting sqref="C53">
    <cfRule type="duplicateValues" dxfId="11" priority="6"/>
  </conditionalFormatting>
  <conditionalFormatting sqref="C40:C48">
    <cfRule type="duplicateValues" dxfId="10" priority="31"/>
  </conditionalFormatting>
  <conditionalFormatting sqref="C64:C67">
    <cfRule type="duplicateValues" dxfId="9" priority="37"/>
  </conditionalFormatting>
  <conditionalFormatting sqref="C68:C77">
    <cfRule type="duplicateValues" dxfId="8" priority="38"/>
  </conditionalFormatting>
  <conditionalFormatting sqref="C59:C77">
    <cfRule type="duplicateValues" dxfId="7" priority="39"/>
  </conditionalFormatting>
  <conditionalFormatting sqref="C36">
    <cfRule type="duplicateValues" dxfId="6" priority="5"/>
  </conditionalFormatting>
  <conditionalFormatting sqref="C37">
    <cfRule type="duplicateValues" dxfId="5" priority="4"/>
  </conditionalFormatting>
  <conditionalFormatting sqref="C38">
    <cfRule type="duplicateValues" dxfId="4" priority="2"/>
  </conditionalFormatting>
  <pageMargins left="0.5" right="0.5" top="0.5" bottom="0.5" header="0.5" footer="0.5"/>
  <pageSetup scale="72" fitToHeight="0" orientation="landscape" r:id="rId1"/>
  <rowBreaks count="2" manualBreakCount="2">
    <brk id="33" max="13" man="1"/>
    <brk id="48" max="13" man="1"/>
  </rowBreaks>
  <colBreaks count="1" manualBreakCount="1">
    <brk id="13" max="5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K49"/>
  <sheetViews>
    <sheetView showGridLines="0" view="pageBreakPreview" zoomScaleNormal="100" zoomScaleSheetLayoutView="100" workbookViewId="0">
      <selection activeCell="D13" sqref="D13:D14"/>
    </sheetView>
  </sheetViews>
  <sheetFormatPr defaultColWidth="9.140625" defaultRowHeight="12.75" outlineLevelCol="1" x14ac:dyDescent="0.2"/>
  <cols>
    <col min="1" max="1" width="2.7109375" style="54" customWidth="1"/>
    <col min="2" max="2" width="72.140625" style="54" customWidth="1"/>
    <col min="3" max="3" width="2.7109375" style="54" customWidth="1"/>
    <col min="4" max="4" width="17.42578125" style="54" hidden="1" customWidth="1" outlineLevel="1"/>
    <col min="5" max="5" width="24" style="54" customWidth="1" collapsed="1"/>
    <col min="6" max="6" width="24" style="54" customWidth="1"/>
    <col min="7" max="7" width="2.7109375" style="54" customWidth="1"/>
    <col min="8" max="8" width="16.7109375" style="54" bestFit="1" customWidth="1"/>
    <col min="9" max="9" width="1.5703125" style="54" customWidth="1"/>
    <col min="10" max="11" width="11" style="54" customWidth="1"/>
    <col min="12" max="12" width="1.5703125" style="54" customWidth="1"/>
    <col min="13" max="16384" width="9.140625" style="54"/>
  </cols>
  <sheetData>
    <row r="1" spans="2:11" s="34" customFormat="1" ht="10.7" customHeight="1" thickBot="1" x14ac:dyDescent="0.25">
      <c r="H1" s="54"/>
      <c r="I1" s="54"/>
      <c r="J1" s="54"/>
      <c r="K1" s="54"/>
    </row>
    <row r="2" spans="2:11" s="34" customFormat="1" ht="16.5" customHeight="1" thickTop="1" x14ac:dyDescent="0.25">
      <c r="B2" s="35" t="str">
        <f>Outline!B2</f>
        <v>Satellite Healthcare - Wellbound Santa Cruz</v>
      </c>
      <c r="C2" s="35"/>
      <c r="D2" s="35"/>
      <c r="E2" s="35"/>
      <c r="F2" s="35"/>
      <c r="G2" s="54"/>
      <c r="H2" s="54"/>
      <c r="I2" s="54"/>
      <c r="J2" s="54"/>
      <c r="K2" s="54"/>
    </row>
    <row r="3" spans="2:11" s="34" customFormat="1" ht="15.75" customHeight="1" x14ac:dyDescent="0.25">
      <c r="B3" s="36" t="str">
        <f>Outline!C17</f>
        <v>Workpaper 9</v>
      </c>
      <c r="C3" s="36"/>
      <c r="D3" s="36"/>
      <c r="E3" s="36"/>
      <c r="F3" s="36"/>
      <c r="G3" s="54"/>
      <c r="H3" s="270" t="s">
        <v>199</v>
      </c>
      <c r="I3" s="54"/>
      <c r="J3" s="330">
        <f>'Asset Vol_2'!AB2</f>
        <v>43465</v>
      </c>
      <c r="K3" s="54"/>
    </row>
    <row r="4" spans="2:11" s="34" customFormat="1" ht="16.5" customHeight="1" thickBot="1" x14ac:dyDescent="0.3">
      <c r="B4" s="37" t="s">
        <v>200</v>
      </c>
      <c r="C4" s="37"/>
      <c r="D4" s="37"/>
      <c r="E4" s="37"/>
      <c r="F4" s="37"/>
      <c r="G4" s="54"/>
      <c r="H4" s="202" t="s">
        <v>201</v>
      </c>
      <c r="J4" s="271">
        <f>'DLOM_Quantitative Methods'!D9</f>
        <v>0.75</v>
      </c>
      <c r="K4" s="54"/>
    </row>
    <row r="5" spans="2:11" s="34" customFormat="1" ht="12.75" customHeight="1" thickTop="1" x14ac:dyDescent="0.2">
      <c r="I5" s="202"/>
      <c r="J5" s="271">
        <f>'DLOM_Quantitative Methods'!E9</f>
        <v>1.25</v>
      </c>
    </row>
    <row r="6" spans="2:11" s="34" customFormat="1" ht="12.75" customHeight="1" x14ac:dyDescent="0.2">
      <c r="J6" s="271">
        <f>'DLOM_Quantitative Methods'!F9</f>
        <v>1.75</v>
      </c>
    </row>
    <row r="7" spans="2:11" s="149" customFormat="1" x14ac:dyDescent="0.2">
      <c r="B7" s="272" t="s">
        <v>29</v>
      </c>
      <c r="D7" s="273" t="s">
        <v>202</v>
      </c>
      <c r="E7" s="273" t="s">
        <v>203</v>
      </c>
      <c r="F7" s="274" t="s">
        <v>56</v>
      </c>
      <c r="H7" s="275"/>
      <c r="I7" s="275"/>
      <c r="J7" s="275"/>
      <c r="K7" s="275"/>
    </row>
    <row r="8" spans="2:11" s="34" customFormat="1" ht="12.75" customHeight="1" x14ac:dyDescent="0.2">
      <c r="J8" s="276" t="s">
        <v>204</v>
      </c>
      <c r="K8" s="277" t="s">
        <v>205</v>
      </c>
    </row>
    <row r="9" spans="2:11" s="34" customFormat="1" ht="12.75" customHeight="1" x14ac:dyDescent="0.2">
      <c r="B9" s="34" t="s">
        <v>206</v>
      </c>
      <c r="D9" s="278" t="s">
        <v>207</v>
      </c>
      <c r="E9" s="279">
        <f>1/12</f>
        <v>8.3333333333333329E-2</v>
      </c>
      <c r="F9" s="280">
        <f>_xll.ciqfunctions.udf.CIQSP(D9, "IQ_LASTSALEPRICE",$J$3)/100</f>
        <v>2.4399999999999998E-2</v>
      </c>
      <c r="H9" s="281"/>
      <c r="I9" s="106"/>
      <c r="J9" s="282"/>
      <c r="K9" s="107">
        <f>E10</f>
        <v>0.25</v>
      </c>
    </row>
    <row r="10" spans="2:11" s="34" customFormat="1" ht="12.75" customHeight="1" x14ac:dyDescent="0.2">
      <c r="B10" s="34" t="s">
        <v>208</v>
      </c>
      <c r="D10" s="283" t="s">
        <v>209</v>
      </c>
      <c r="E10" s="279">
        <f>3/12</f>
        <v>0.25</v>
      </c>
      <c r="F10" s="280">
        <f>_xll.ciqfunctions.udf.CIQSP(D10, "IQ_LASTSALEPRICE",$J$3)/100</f>
        <v>2.4500000000000001E-2</v>
      </c>
      <c r="H10" s="281"/>
      <c r="I10" s="106"/>
      <c r="J10" s="284">
        <f>E9</f>
        <v>8.3333333333333329E-2</v>
      </c>
      <c r="K10" s="107">
        <f t="shared" ref="K10:K18" si="0">E11</f>
        <v>0.5</v>
      </c>
    </row>
    <row r="11" spans="2:11" s="34" customFormat="1" ht="12.75" customHeight="1" x14ac:dyDescent="0.2">
      <c r="B11" s="34" t="s">
        <v>210</v>
      </c>
      <c r="D11" s="283" t="s">
        <v>211</v>
      </c>
      <c r="E11" s="279">
        <f>6/12</f>
        <v>0.5</v>
      </c>
      <c r="F11" s="280">
        <f>_xll.ciqfunctions.udf.CIQSP(D11, "IQ_LASTSALEPRICE",$J$3)/100</f>
        <v>2.5600000000000001E-2</v>
      </c>
      <c r="H11" s="281"/>
      <c r="I11" s="106"/>
      <c r="J11" s="284">
        <f t="shared" ref="J11:J19" si="1">E10</f>
        <v>0.25</v>
      </c>
      <c r="K11" s="107">
        <f t="shared" si="0"/>
        <v>1</v>
      </c>
    </row>
    <row r="12" spans="2:11" s="34" customFormat="1" ht="12.75" customHeight="1" x14ac:dyDescent="0.2">
      <c r="B12" s="34" t="s">
        <v>212</v>
      </c>
      <c r="D12" s="283" t="s">
        <v>213</v>
      </c>
      <c r="E12" s="279">
        <v>1</v>
      </c>
      <c r="F12" s="280">
        <f>_xll.ciqfunctions.udf.CIQSP(D12, "IQ_LASTSALEPRICE",$J$3)/100</f>
        <v>2.63E-2</v>
      </c>
      <c r="H12" s="281"/>
      <c r="I12" s="106"/>
      <c r="J12" s="284">
        <f t="shared" si="1"/>
        <v>0.5</v>
      </c>
      <c r="K12" s="107">
        <f t="shared" si="0"/>
        <v>2</v>
      </c>
    </row>
    <row r="13" spans="2:11" s="34" customFormat="1" ht="12.75" customHeight="1" x14ac:dyDescent="0.2">
      <c r="B13" s="34" t="s">
        <v>214</v>
      </c>
      <c r="D13" s="283" t="s">
        <v>215</v>
      </c>
      <c r="E13" s="279">
        <v>2</v>
      </c>
      <c r="F13" s="280">
        <f>_xll.ciqfunctions.udf.CIQSP(D13, "IQ_LASTSALEPRICE",$J$3)/100</f>
        <v>2.4799999999999999E-2</v>
      </c>
      <c r="H13" s="281"/>
      <c r="I13" s="106"/>
      <c r="J13" s="284">
        <f t="shared" si="1"/>
        <v>1</v>
      </c>
      <c r="K13" s="107">
        <f t="shared" si="0"/>
        <v>3</v>
      </c>
    </row>
    <row r="14" spans="2:11" s="34" customFormat="1" ht="12.75" customHeight="1" x14ac:dyDescent="0.2">
      <c r="B14" s="34" t="s">
        <v>216</v>
      </c>
      <c r="D14" s="283" t="s">
        <v>217</v>
      </c>
      <c r="E14" s="279">
        <v>3</v>
      </c>
      <c r="F14" s="280">
        <f>_xll.ciqfunctions.udf.CIQSP(D14, "IQ_LASTSALEPRICE",$J$3)/100</f>
        <v>2.46E-2</v>
      </c>
      <c r="H14" s="281"/>
      <c r="I14" s="106"/>
      <c r="J14" s="284">
        <f t="shared" si="1"/>
        <v>2</v>
      </c>
      <c r="K14" s="107">
        <f t="shared" si="0"/>
        <v>5</v>
      </c>
    </row>
    <row r="15" spans="2:11" s="34" customFormat="1" ht="12.75" customHeight="1" x14ac:dyDescent="0.2">
      <c r="B15" s="34" t="s">
        <v>218</v>
      </c>
      <c r="D15" s="283" t="s">
        <v>219</v>
      </c>
      <c r="E15" s="279">
        <v>5</v>
      </c>
      <c r="F15" s="280">
        <f>_xll.ciqfunctions.udf.CIQSP(D15, "IQ_LASTSALEPRICE",$J$3)/100</f>
        <v>2.5099999999999997E-2</v>
      </c>
      <c r="H15" s="281"/>
      <c r="I15" s="106"/>
      <c r="J15" s="284">
        <f t="shared" si="1"/>
        <v>3</v>
      </c>
      <c r="K15" s="107">
        <f t="shared" si="0"/>
        <v>7</v>
      </c>
    </row>
    <row r="16" spans="2:11" s="34" customFormat="1" ht="12.75" customHeight="1" x14ac:dyDescent="0.2">
      <c r="B16" s="34" t="s">
        <v>220</v>
      </c>
      <c r="D16" s="283" t="s">
        <v>221</v>
      </c>
      <c r="E16" s="279">
        <v>7</v>
      </c>
      <c r="F16" s="280">
        <f>_xll.ciqfunctions.udf.CIQSP(D16, "IQ_LASTSALEPRICE",$J$3)/100</f>
        <v>2.5899999999999999E-2</v>
      </c>
      <c r="H16" s="281"/>
      <c r="I16" s="106"/>
      <c r="J16" s="284">
        <f t="shared" si="1"/>
        <v>5</v>
      </c>
      <c r="K16" s="107">
        <f t="shared" si="0"/>
        <v>10</v>
      </c>
    </row>
    <row r="17" spans="2:11" s="34" customFormat="1" ht="12.75" customHeight="1" x14ac:dyDescent="0.2">
      <c r="B17" s="34" t="s">
        <v>222</v>
      </c>
      <c r="D17" s="283" t="s">
        <v>223</v>
      </c>
      <c r="E17" s="279">
        <v>10</v>
      </c>
      <c r="F17" s="280">
        <f>_xll.ciqfunctions.udf.CIQSP(D17, "IQ_LASTSALEPRICE",$J$3)/100</f>
        <v>2.69E-2</v>
      </c>
      <c r="H17" s="281"/>
      <c r="I17" s="106"/>
      <c r="J17" s="284">
        <f t="shared" si="1"/>
        <v>7</v>
      </c>
      <c r="K17" s="107">
        <f t="shared" si="0"/>
        <v>20</v>
      </c>
    </row>
    <row r="18" spans="2:11" s="34" customFormat="1" ht="12.75" customHeight="1" x14ac:dyDescent="0.2">
      <c r="B18" s="34" t="s">
        <v>224</v>
      </c>
      <c r="D18" s="283" t="s">
        <v>225</v>
      </c>
      <c r="E18" s="279">
        <v>20</v>
      </c>
      <c r="F18" s="280">
        <f>_xll.ciqfunctions.udf.CIQSP(D18, "IQ_LASTSALEPRICE",$J$3)/100</f>
        <v>2.87E-2</v>
      </c>
      <c r="H18" s="281"/>
      <c r="I18" s="106"/>
      <c r="J18" s="284">
        <f t="shared" si="1"/>
        <v>10</v>
      </c>
      <c r="K18" s="107">
        <f t="shared" si="0"/>
        <v>30</v>
      </c>
    </row>
    <row r="19" spans="2:11" s="34" customFormat="1" ht="12.75" customHeight="1" x14ac:dyDescent="0.2">
      <c r="B19" s="34" t="s">
        <v>226</v>
      </c>
      <c r="D19" s="283" t="s">
        <v>227</v>
      </c>
      <c r="E19" s="279">
        <v>30</v>
      </c>
      <c r="F19" s="280">
        <f>_xll.ciqfunctions.udf.CIQSP(D19, "IQ_LASTSALEPRICE",$J$3)/100</f>
        <v>3.0200000000000001E-2</v>
      </c>
      <c r="H19" s="281"/>
      <c r="I19" s="106"/>
      <c r="J19" s="285">
        <f t="shared" si="1"/>
        <v>20</v>
      </c>
      <c r="K19" s="286"/>
    </row>
    <row r="20" spans="2:11" s="34" customFormat="1" ht="12.75" customHeight="1" x14ac:dyDescent="0.2"/>
    <row r="21" spans="2:11" s="34" customFormat="1" ht="12.75" customHeight="1" x14ac:dyDescent="0.2"/>
    <row r="22" spans="2:11" s="34" customFormat="1" ht="12.75" customHeight="1" x14ac:dyDescent="0.2">
      <c r="B22" s="176" t="str">
        <f>"Interpolation - DLOM Term - "&amp;TEXT(J4,"0.0")&amp;" Year"</f>
        <v>Interpolation - DLOM Term - 0.8 Year</v>
      </c>
      <c r="C22" s="260"/>
      <c r="D22" s="260"/>
      <c r="E22" s="260"/>
      <c r="F22" s="287"/>
      <c r="I22" s="103"/>
      <c r="J22" s="103"/>
      <c r="K22" s="103"/>
    </row>
    <row r="23" spans="2:11" s="34" customFormat="1" ht="12.75" customHeight="1" x14ac:dyDescent="0.2">
      <c r="B23" s="288" t="s">
        <v>204</v>
      </c>
      <c r="C23" s="289"/>
      <c r="D23" s="289"/>
      <c r="E23" s="290">
        <f>SUMIFS(E9:E19,E9:E19,"&lt;"&amp;E25,K9:K19,"&gt;"&amp;E25)</f>
        <v>0.5</v>
      </c>
      <c r="F23" s="291">
        <f>IF(ISERROR(VLOOKUP(E23,$E$9:$F$19,COLUMNS($E$7:$F$7),FALSE)), "n/a", VLOOKUP(E23,$E$9:$F$19,COLUMNS($E$7:$F$7),FALSE))</f>
        <v>2.5600000000000001E-2</v>
      </c>
      <c r="I23" s="103"/>
      <c r="J23" s="103"/>
      <c r="K23" s="103"/>
    </row>
    <row r="24" spans="2:11" s="34" customFormat="1" ht="12.75" customHeight="1" x14ac:dyDescent="0.2">
      <c r="B24" s="288" t="s">
        <v>205</v>
      </c>
      <c r="C24" s="289"/>
      <c r="D24" s="289"/>
      <c r="E24" s="290">
        <f>SUMIFS(E9:E19,E9:E19,"&gt;"&amp;E25,J9:J19,"&lt;"&amp;E25)</f>
        <v>1</v>
      </c>
      <c r="F24" s="291">
        <f>IF(ISERROR(VLOOKUP(E24,$E$9:$F$19,COLUMNS($E$7:$F$7),FALSE)), "n/a", VLOOKUP(E24,$E$9:$F$19,COLUMNS($E$7:$F$7),FALSE))</f>
        <v>2.63E-2</v>
      </c>
      <c r="I24" s="103"/>
      <c r="J24" s="103"/>
      <c r="K24" s="103"/>
    </row>
    <row r="25" spans="2:11" s="34" customFormat="1" ht="12.75" customHeight="1" x14ac:dyDescent="0.2">
      <c r="B25" s="288" t="s">
        <v>66</v>
      </c>
      <c r="C25" s="289"/>
      <c r="D25" s="289"/>
      <c r="E25" s="290">
        <f>J4</f>
        <v>0.75</v>
      </c>
      <c r="F25" s="291">
        <f>IF(ISERROR(+F23+(F24-F23)/(E24-E23)*(E25-E23)), "n/a", +F23+(F24-F23)/(E24-E23)*(E25-E23))</f>
        <v>2.5950000000000001E-2</v>
      </c>
      <c r="I25" s="103"/>
      <c r="J25" s="103"/>
      <c r="K25" s="103"/>
    </row>
    <row r="26" spans="2:11" s="34" customFormat="1" ht="12.75" customHeight="1" x14ac:dyDescent="0.2">
      <c r="B26" s="288" t="s">
        <v>228</v>
      </c>
      <c r="C26" s="289"/>
      <c r="D26" s="289"/>
      <c r="E26" s="290">
        <f>E25</f>
        <v>0.75</v>
      </c>
      <c r="F26" s="291" t="str">
        <f>IF(ISERROR(VLOOKUP(E26,$E$9:$F$19,COLUMNS($E$7:$F$7),FALSE)), "n/a", VLOOKUP(E26,$E$9:$F$19,COLUMNS($E$7:$F$7),FALSE))</f>
        <v>n/a</v>
      </c>
      <c r="I26" s="103"/>
      <c r="J26" s="103"/>
      <c r="K26" s="103"/>
    </row>
    <row r="27" spans="2:11" s="34" customFormat="1" ht="12.75" customHeight="1" x14ac:dyDescent="0.2">
      <c r="B27" s="292"/>
      <c r="C27" s="289"/>
      <c r="D27" s="289"/>
      <c r="E27" s="289"/>
      <c r="F27" s="293"/>
      <c r="I27" s="103"/>
      <c r="J27" s="103"/>
      <c r="K27" s="103"/>
    </row>
    <row r="28" spans="2:11" s="34" customFormat="1" ht="12.75" customHeight="1" x14ac:dyDescent="0.2">
      <c r="B28" s="263" t="s">
        <v>229</v>
      </c>
      <c r="C28" s="264"/>
      <c r="D28" s="264"/>
      <c r="E28" s="264"/>
      <c r="F28" s="294">
        <f>IF(F25="n/a",F26,F25)</f>
        <v>2.5950000000000001E-2</v>
      </c>
      <c r="I28" s="295"/>
      <c r="J28" s="295"/>
      <c r="K28" s="295"/>
    </row>
    <row r="29" spans="2:11" s="34" customFormat="1" ht="12.75" customHeight="1" x14ac:dyDescent="0.2">
      <c r="I29" s="103"/>
      <c r="J29" s="103"/>
      <c r="K29" s="103"/>
    </row>
    <row r="30" spans="2:11" s="34" customFormat="1" ht="12.75" customHeight="1" x14ac:dyDescent="0.2"/>
    <row r="31" spans="2:11" s="34" customFormat="1" ht="12.75" customHeight="1" x14ac:dyDescent="0.2">
      <c r="B31" s="176" t="str">
        <f>"Interpolation - DLOM Term - "&amp;TEXT(J5,"0.0")&amp;" Year"</f>
        <v>Interpolation - DLOM Term - 1.3 Year</v>
      </c>
      <c r="C31" s="260"/>
      <c r="D31" s="260"/>
      <c r="E31" s="260"/>
      <c r="F31" s="287"/>
      <c r="I31" s="103"/>
      <c r="J31" s="103"/>
      <c r="K31" s="103"/>
    </row>
    <row r="32" spans="2:11" s="34" customFormat="1" ht="12.75" customHeight="1" x14ac:dyDescent="0.2">
      <c r="B32" s="288" t="s">
        <v>204</v>
      </c>
      <c r="C32" s="289"/>
      <c r="D32" s="289"/>
      <c r="E32" s="290">
        <f>SUMIFS(E9:E19,E9:E19,"&lt;"&amp;E34,K9:K19,"&gt;"&amp;E34)</f>
        <v>1</v>
      </c>
      <c r="F32" s="291">
        <f>IF(ISERROR(VLOOKUP(E32,$E$9:$F$19,COLUMNS($E$7:$F$7),FALSE)), "n/a", VLOOKUP(E32,$E$9:$F$19,COLUMNS($E$7:$F$7),FALSE))</f>
        <v>2.63E-2</v>
      </c>
      <c r="I32" s="103"/>
      <c r="J32" s="103"/>
      <c r="K32" s="103"/>
    </row>
    <row r="33" spans="2:11" s="34" customFormat="1" ht="12.75" customHeight="1" x14ac:dyDescent="0.2">
      <c r="B33" s="288" t="s">
        <v>205</v>
      </c>
      <c r="C33" s="289"/>
      <c r="D33" s="289"/>
      <c r="E33" s="290">
        <f>SUMIFS(E9:E19,E9:E19,"&gt;"&amp;E34,J9:J19,"&lt;"&amp;E34)</f>
        <v>2</v>
      </c>
      <c r="F33" s="291">
        <f>IF(ISERROR(VLOOKUP(E33,$E$9:$F$19,COLUMNS($E$7:$F$7),FALSE)), "n/a", VLOOKUP(E33,$E$9:$F$19,COLUMNS($E$7:$F$7),FALSE))</f>
        <v>2.4799999999999999E-2</v>
      </c>
      <c r="I33" s="103"/>
      <c r="J33" s="103"/>
      <c r="K33" s="103"/>
    </row>
    <row r="34" spans="2:11" s="34" customFormat="1" ht="12.75" customHeight="1" x14ac:dyDescent="0.2">
      <c r="B34" s="288" t="s">
        <v>66</v>
      </c>
      <c r="C34" s="289"/>
      <c r="D34" s="289"/>
      <c r="E34" s="290">
        <f>J5</f>
        <v>1.25</v>
      </c>
      <c r="F34" s="291">
        <f>IF(ISERROR(+F32+(F33-F32)/(E33-E32)*(E34-E32)), "n/a", +F32+(F33-F32)/(E33-E32)*(E34-E32))</f>
        <v>2.5925E-2</v>
      </c>
      <c r="I34" s="103"/>
      <c r="J34" s="103"/>
      <c r="K34" s="103"/>
    </row>
    <row r="35" spans="2:11" s="34" customFormat="1" ht="12.75" customHeight="1" x14ac:dyDescent="0.2">
      <c r="B35" s="288" t="s">
        <v>228</v>
      </c>
      <c r="C35" s="289"/>
      <c r="D35" s="289"/>
      <c r="E35" s="290">
        <f>E34</f>
        <v>1.25</v>
      </c>
      <c r="F35" s="291" t="str">
        <f>IF(ISERROR(VLOOKUP(E35,$E$9:$F$19,COLUMNS($E$7:$F$7),FALSE)), "n/a", VLOOKUP(E35,$E$9:$F$19,COLUMNS($E$7:$F$7),FALSE))</f>
        <v>n/a</v>
      </c>
      <c r="I35" s="103"/>
      <c r="J35" s="103"/>
      <c r="K35" s="103"/>
    </row>
    <row r="36" spans="2:11" s="34" customFormat="1" ht="12.75" customHeight="1" x14ac:dyDescent="0.2">
      <c r="B36" s="292"/>
      <c r="C36" s="289"/>
      <c r="D36" s="289"/>
      <c r="E36" s="289"/>
      <c r="F36" s="293"/>
      <c r="I36" s="103"/>
      <c r="J36" s="103"/>
      <c r="K36" s="103"/>
    </row>
    <row r="37" spans="2:11" s="34" customFormat="1" ht="12.75" customHeight="1" x14ac:dyDescent="0.2">
      <c r="B37" s="263" t="s">
        <v>229</v>
      </c>
      <c r="C37" s="264"/>
      <c r="D37" s="264"/>
      <c r="E37" s="264"/>
      <c r="F37" s="294">
        <f>IF(F34="n/a",F35,F34)</f>
        <v>2.5925E-2</v>
      </c>
      <c r="I37" s="295"/>
      <c r="J37" s="295"/>
      <c r="K37" s="295"/>
    </row>
    <row r="38" spans="2:11" s="34" customFormat="1" ht="12.75" customHeight="1" x14ac:dyDescent="0.2"/>
    <row r="39" spans="2:11" s="34" customFormat="1" ht="12.75" customHeight="1" x14ac:dyDescent="0.2">
      <c r="B39" s="176" t="str">
        <f>"Interpolation - DLOM Term - "&amp;TEXT(J6,"0.0")&amp;" Year"</f>
        <v>Interpolation - DLOM Term - 1.8 Year</v>
      </c>
      <c r="C39" s="260"/>
      <c r="D39" s="260"/>
      <c r="E39" s="260"/>
      <c r="F39" s="287"/>
      <c r="I39" s="103"/>
      <c r="J39" s="103"/>
      <c r="K39" s="103"/>
    </row>
    <row r="40" spans="2:11" s="34" customFormat="1" ht="12.75" customHeight="1" x14ac:dyDescent="0.2">
      <c r="B40" s="288" t="s">
        <v>204</v>
      </c>
      <c r="C40" s="289"/>
      <c r="D40" s="289"/>
      <c r="E40" s="290">
        <f>SUMIFS(E9:E19,E9:E19,"&lt;"&amp;E42,K9:K19,"&gt;"&amp;E42)</f>
        <v>1</v>
      </c>
      <c r="F40" s="291">
        <f>IF(ISERROR(VLOOKUP(E40,$E$9:$F$19,COLUMNS($E$7:$F$7),FALSE)), "n/a", VLOOKUP(E40,$E$9:$F$19,COLUMNS($E$7:$F$7),FALSE))</f>
        <v>2.63E-2</v>
      </c>
      <c r="I40" s="103"/>
      <c r="J40" s="103"/>
      <c r="K40" s="103"/>
    </row>
    <row r="41" spans="2:11" s="34" customFormat="1" ht="12.75" customHeight="1" x14ac:dyDescent="0.2">
      <c r="B41" s="288" t="s">
        <v>205</v>
      </c>
      <c r="C41" s="289"/>
      <c r="D41" s="289"/>
      <c r="E41" s="290">
        <f>SUMIFS(E9:E19,E9:E19,"&gt;"&amp;E42,J9:J19,"&lt;"&amp;E42)</f>
        <v>2</v>
      </c>
      <c r="F41" s="291">
        <f>IF(ISERROR(VLOOKUP(E41,$E$9:$F$19,COLUMNS($E$7:$F$7),FALSE)), "n/a", VLOOKUP(E41,$E$9:$F$19,COLUMNS($E$7:$F$7),FALSE))</f>
        <v>2.4799999999999999E-2</v>
      </c>
      <c r="I41" s="103"/>
      <c r="J41" s="103"/>
      <c r="K41" s="103"/>
    </row>
    <row r="42" spans="2:11" s="34" customFormat="1" ht="12.75" customHeight="1" x14ac:dyDescent="0.2">
      <c r="B42" s="288" t="s">
        <v>66</v>
      </c>
      <c r="C42" s="289"/>
      <c r="D42" s="289"/>
      <c r="E42" s="290">
        <f>J6</f>
        <v>1.75</v>
      </c>
      <c r="F42" s="291">
        <f>IF(ISERROR(+F40+(F41-F40)/(E41-E40)*(E42-E40)), "n/a", +F40+(F41-F40)/(E41-E40)*(E42-E40))</f>
        <v>2.5174999999999999E-2</v>
      </c>
      <c r="I42" s="103"/>
      <c r="J42" s="103"/>
      <c r="K42" s="103"/>
    </row>
    <row r="43" spans="2:11" s="34" customFormat="1" ht="12.75" customHeight="1" x14ac:dyDescent="0.2">
      <c r="B43" s="288" t="s">
        <v>228</v>
      </c>
      <c r="C43" s="289"/>
      <c r="D43" s="289"/>
      <c r="E43" s="290">
        <f>E42</f>
        <v>1.75</v>
      </c>
      <c r="F43" s="291" t="str">
        <f>IF(ISERROR(VLOOKUP(E43,$E$9:$F$19,COLUMNS($E$7:$F$7),FALSE)), "n/a", VLOOKUP(E43,$E$9:$F$19,COLUMNS($E$7:$F$7),FALSE))</f>
        <v>n/a</v>
      </c>
      <c r="I43" s="103"/>
      <c r="J43" s="103"/>
      <c r="K43" s="103"/>
    </row>
    <row r="44" spans="2:11" s="34" customFormat="1" ht="12.75" customHeight="1" x14ac:dyDescent="0.2">
      <c r="B44" s="292"/>
      <c r="C44" s="289"/>
      <c r="D44" s="289"/>
      <c r="E44" s="289"/>
      <c r="F44" s="293"/>
      <c r="I44" s="103"/>
      <c r="J44" s="103"/>
      <c r="K44" s="103"/>
    </row>
    <row r="45" spans="2:11" s="34" customFormat="1" ht="12.75" customHeight="1" x14ac:dyDescent="0.2">
      <c r="B45" s="263" t="s">
        <v>229</v>
      </c>
      <c r="C45" s="264"/>
      <c r="D45" s="264"/>
      <c r="E45" s="264"/>
      <c r="F45" s="294">
        <f>IF(F42="n/a",F43,F42)</f>
        <v>2.5174999999999999E-2</v>
      </c>
      <c r="I45" s="295"/>
      <c r="J45" s="295"/>
      <c r="K45" s="295"/>
    </row>
    <row r="46" spans="2:11" ht="12.75" customHeight="1" x14ac:dyDescent="0.2"/>
    <row r="47" spans="2:11" s="34" customFormat="1" ht="12.75" customHeight="1" x14ac:dyDescent="0.2">
      <c r="B47" s="127" t="s">
        <v>135</v>
      </c>
    </row>
    <row r="48" spans="2:11" s="34" customFormat="1" ht="12.75" customHeight="1" x14ac:dyDescent="0.2"/>
    <row r="49" s="34" customFormat="1" ht="12.75" customHeight="1" x14ac:dyDescent="0.2"/>
  </sheetData>
  <conditionalFormatting sqref="B4:F4">
    <cfRule type="cellIs" dxfId="3" priority="1" stopIfTrue="1" operator="equal">
      <formula>"input"</formula>
    </cfRule>
  </conditionalFormatting>
  <pageMargins left="0.5" right="0.5" top="0.5" bottom="0.5" header="0.5" footer="0.5"/>
  <pageSetup scale="99" fitToHeight="0" orientation="landscape" r:id="rId1"/>
  <rowBreaks count="1" manualBreakCount="1">
    <brk id="37" max="6"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36"/>
  <sheetViews>
    <sheetView showGridLines="0" view="pageBreakPreview" topLeftCell="A7" zoomScaleNormal="100" zoomScaleSheetLayoutView="100" workbookViewId="0">
      <selection activeCell="D13" sqref="D13:D14"/>
    </sheetView>
  </sheetViews>
  <sheetFormatPr defaultColWidth="9.140625" defaultRowHeight="12.75" outlineLevelRow="1" x14ac:dyDescent="0.2"/>
  <cols>
    <col min="1" max="1" width="2.7109375" style="34" customWidth="1"/>
    <col min="2" max="2" width="33.28515625" style="34" customWidth="1"/>
    <col min="3" max="3" width="2.7109375" style="34" customWidth="1"/>
    <col min="4" max="11" width="12.28515625" style="34" customWidth="1"/>
    <col min="12" max="12" width="2.7109375" style="34" customWidth="1"/>
    <col min="13" max="13" width="8.140625" style="34" bestFit="1" customWidth="1"/>
    <col min="14" max="14" width="8.85546875" style="34" bestFit="1" customWidth="1"/>
    <col min="15" max="15" width="12.140625" style="43" customWidth="1"/>
    <col min="16" max="16" width="9.140625" style="34"/>
    <col min="17" max="17" width="12.140625" style="34" bestFit="1" customWidth="1"/>
    <col min="18" max="16384" width="9.140625" style="34"/>
  </cols>
  <sheetData>
    <row r="1" spans="2:18" ht="10.7" customHeight="1" thickBot="1" x14ac:dyDescent="0.25"/>
    <row r="2" spans="2:18" ht="16.5" customHeight="1" thickTop="1" x14ac:dyDescent="0.25">
      <c r="B2" s="35" t="str">
        <f>Outline!B2</f>
        <v>Satellite Healthcare - Wellbound Santa Cruz</v>
      </c>
      <c r="C2" s="35"/>
      <c r="D2" s="35"/>
      <c r="E2" s="35"/>
      <c r="F2" s="35"/>
      <c r="G2" s="35"/>
      <c r="H2" s="35"/>
      <c r="I2" s="35"/>
      <c r="J2" s="35"/>
      <c r="K2" s="35"/>
    </row>
    <row r="3" spans="2:18" ht="15.75" customHeight="1" x14ac:dyDescent="0.25">
      <c r="B3" s="36" t="str">
        <f>Outline!C18</f>
        <v>Workpaper 10</v>
      </c>
      <c r="C3" s="36"/>
      <c r="D3" s="36"/>
      <c r="E3" s="36"/>
      <c r="F3" s="36"/>
      <c r="G3" s="36"/>
      <c r="H3" s="36"/>
      <c r="I3" s="36"/>
      <c r="J3" s="36"/>
      <c r="K3" s="36"/>
      <c r="O3" s="34"/>
      <c r="P3" s="296"/>
      <c r="R3" s="296"/>
    </row>
    <row r="4" spans="2:18" ht="16.5" customHeight="1" thickBot="1" x14ac:dyDescent="0.3">
      <c r="B4" s="37" t="s">
        <v>230</v>
      </c>
      <c r="C4" s="37"/>
      <c r="D4" s="37"/>
      <c r="E4" s="37"/>
      <c r="F4" s="37"/>
      <c r="G4" s="37"/>
      <c r="H4" s="37"/>
      <c r="I4" s="37"/>
      <c r="J4" s="37"/>
      <c r="K4" s="37"/>
    </row>
    <row r="5" spans="2:18" ht="12.75" customHeight="1" thickTop="1" x14ac:dyDescent="0.2"/>
    <row r="6" spans="2:18" ht="12.75" customHeight="1" x14ac:dyDescent="0.2">
      <c r="D6" s="41" t="s">
        <v>231</v>
      </c>
      <c r="E6" s="41"/>
      <c r="F6" s="41"/>
      <c r="G6" s="41"/>
      <c r="H6" s="41"/>
      <c r="I6" s="41"/>
      <c r="J6" s="41"/>
      <c r="K6" s="41"/>
      <c r="N6" s="297"/>
    </row>
    <row r="7" spans="2:18" ht="12.75" customHeight="1" x14ac:dyDescent="0.2">
      <c r="D7" s="92" t="s">
        <v>232</v>
      </c>
      <c r="E7" s="93"/>
      <c r="F7" s="93"/>
      <c r="G7" s="93"/>
      <c r="H7" s="94"/>
      <c r="I7" s="93"/>
      <c r="J7" s="93"/>
      <c r="K7" s="94"/>
    </row>
    <row r="8" spans="2:18" ht="15.75" customHeight="1" x14ac:dyDescent="0.2">
      <c r="B8" s="148" t="s">
        <v>108</v>
      </c>
      <c r="D8" s="298">
        <v>1</v>
      </c>
      <c r="E8" s="299">
        <v>2</v>
      </c>
      <c r="F8" s="299">
        <v>3</v>
      </c>
      <c r="G8" s="299">
        <v>4</v>
      </c>
      <c r="H8" s="299">
        <v>5</v>
      </c>
      <c r="I8" s="299">
        <v>6</v>
      </c>
      <c r="J8" s="299">
        <v>7</v>
      </c>
      <c r="K8" s="300">
        <v>8</v>
      </c>
      <c r="M8" s="158"/>
      <c r="O8" s="40"/>
    </row>
    <row r="9" spans="2:18" ht="12.75" customHeight="1" x14ac:dyDescent="0.2"/>
    <row r="10" spans="2:18" ht="12.75" customHeight="1" x14ac:dyDescent="0.2">
      <c r="B10" s="160" t="str">
        <f>'Asset Vol_2'!B11</f>
        <v>Fresenius SE &amp; Co. KGaA</v>
      </c>
      <c r="D10" s="165">
        <f>'Equity Volatility - Output'!F8</f>
        <v>0.37049945727814049</v>
      </c>
      <c r="E10" s="165">
        <f>'Equity Volatility - Output'!G8</f>
        <v>0.28856512088536501</v>
      </c>
      <c r="F10" s="165">
        <f>'Equity Volatility - Output'!H8</f>
        <v>0.27894032343971775</v>
      </c>
      <c r="G10" s="165">
        <f>'Equity Volatility - Output'!I8</f>
        <v>0.27391410956093221</v>
      </c>
      <c r="H10" s="165">
        <f>'Equity Volatility - Output'!J8</f>
        <v>0.2600277213968939</v>
      </c>
      <c r="I10" s="165">
        <f>'Equity Volatility - Output'!K8</f>
        <v>0.2506747364797467</v>
      </c>
      <c r="J10" s="165">
        <f>'Equity Volatility - Output'!L8</f>
        <v>0.24657081702875525</v>
      </c>
      <c r="K10" s="165">
        <f>'Equity Volatility - Output'!M8</f>
        <v>0.25442969787753139</v>
      </c>
      <c r="M10" s="172"/>
      <c r="O10" s="301"/>
    </row>
    <row r="11" spans="2:18" ht="12.75" customHeight="1" x14ac:dyDescent="0.2">
      <c r="B11" s="160" t="str">
        <f>'Asset Vol_2'!B12</f>
        <v>Fresenius Medical Care AG &amp; Co. KGaA</v>
      </c>
      <c r="D11" s="165">
        <f>'Equity Volatility - Output'!F9</f>
        <v>0.3288738213084566</v>
      </c>
      <c r="E11" s="165">
        <f>'Equity Volatility - Output'!G9</f>
        <v>0.26144451973052713</v>
      </c>
      <c r="F11" s="165">
        <f>'Equity Volatility - Output'!H9</f>
        <v>0.2554441388710581</v>
      </c>
      <c r="G11" s="165">
        <f>'Equity Volatility - Output'!I9</f>
        <v>0.25314608513358555</v>
      </c>
      <c r="H11" s="165">
        <f>'Equity Volatility - Output'!J9</f>
        <v>0.24063986816606325</v>
      </c>
      <c r="I11" s="165">
        <f>'Equity Volatility - Output'!K9</f>
        <v>0.23456371438665938</v>
      </c>
      <c r="J11" s="165">
        <f>'Equity Volatility - Output'!L9</f>
        <v>0.23122388370283908</v>
      </c>
      <c r="K11" s="165">
        <f>'Equity Volatility - Output'!M9</f>
        <v>0.23526423934505575</v>
      </c>
      <c r="M11" s="172"/>
      <c r="O11" s="301"/>
    </row>
    <row r="12" spans="2:18" ht="12.75" customHeight="1" x14ac:dyDescent="0.2">
      <c r="B12" s="160" t="str">
        <f>'Asset Vol_2'!B13</f>
        <v>DaVita Inc.</v>
      </c>
      <c r="D12" s="165">
        <f>'Equity Volatility - Output'!F10</f>
        <v>0.30365987198958466</v>
      </c>
      <c r="E12" s="165">
        <f>'Equity Volatility - Output'!G10</f>
        <v>0.30047832513311512</v>
      </c>
      <c r="F12" s="165">
        <f>'Equity Volatility - Output'!H10</f>
        <v>0.27417917042017009</v>
      </c>
      <c r="G12" s="165">
        <f>'Equity Volatility - Output'!I10</f>
        <v>0.249978823765203</v>
      </c>
      <c r="H12" s="165">
        <f>'Equity Volatility - Output'!J10</f>
        <v>0.23373755616110109</v>
      </c>
      <c r="I12" s="165">
        <f>'Equity Volatility - Output'!K10</f>
        <v>0.23438849177301008</v>
      </c>
      <c r="J12" s="165">
        <f>'Equity Volatility - Output'!L10</f>
        <v>0.22895129589493876</v>
      </c>
      <c r="K12" s="165">
        <f>'Equity Volatility - Output'!M10</f>
        <v>0.23666737527064524</v>
      </c>
      <c r="M12" s="172"/>
      <c r="O12" s="301"/>
    </row>
    <row r="13" spans="2:18" ht="12.75" customHeight="1" x14ac:dyDescent="0.2">
      <c r="B13" s="160" t="str">
        <f>'Asset Vol_2'!B14</f>
        <v>NxStage Medical, Inc.</v>
      </c>
      <c r="D13" s="165">
        <f>'Equity Volatility - Output'!F11</f>
        <v>0.15034732733466866</v>
      </c>
      <c r="E13" s="165">
        <f>'Equity Volatility - Output'!G11</f>
        <v>0.29706003745331494</v>
      </c>
      <c r="F13" s="165">
        <f>'Equity Volatility - Output'!H11</f>
        <v>0.34570694848989109</v>
      </c>
      <c r="G13" s="165">
        <f>'Equity Volatility - Output'!I11</f>
        <v>0.34394192365762433</v>
      </c>
      <c r="H13" s="165">
        <f>'Equity Volatility - Output'!J11</f>
        <v>0.34592277457394588</v>
      </c>
      <c r="I13" s="165">
        <f>'Equity Volatility - Output'!K11</f>
        <v>0.34378063081554788</v>
      </c>
      <c r="J13" s="165">
        <f>'Equity Volatility - Output'!L11</f>
        <v>0.35337433996918016</v>
      </c>
      <c r="K13" s="165">
        <f>'Equity Volatility - Output'!M11</f>
        <v>0.36959175946338146</v>
      </c>
      <c r="M13" s="172"/>
      <c r="O13" s="301"/>
    </row>
    <row r="14" spans="2:18" ht="12.75" customHeight="1" x14ac:dyDescent="0.2">
      <c r="B14" s="160" t="str">
        <f>'Asset Vol_2'!B15</f>
        <v>American Renal Associates Holdings, Inc.</v>
      </c>
      <c r="D14" s="165">
        <f>'Equity Volatility - Output'!F12</f>
        <v>0.50552024995048173</v>
      </c>
      <c r="E14" s="165">
        <f>'Equity Volatility - Output'!G12</f>
        <v>0.49317678642885571</v>
      </c>
      <c r="F14" s="165">
        <f>'Equity Volatility - Output'!H12</f>
        <v>0.48823549668578248</v>
      </c>
      <c r="G14" s="302">
        <f>F14</f>
        <v>0.48823549668578248</v>
      </c>
      <c r="H14" s="302">
        <f>G14</f>
        <v>0.48823549668578248</v>
      </c>
      <c r="I14" s="302">
        <f>H14</f>
        <v>0.48823549668578248</v>
      </c>
      <c r="J14" s="302">
        <f>I14</f>
        <v>0.48823549668578248</v>
      </c>
      <c r="K14" s="302">
        <f>J14</f>
        <v>0.48823549668578248</v>
      </c>
      <c r="M14" s="172"/>
      <c r="O14" s="301"/>
    </row>
    <row r="15" spans="2:18" ht="12.75" hidden="1" customHeight="1" outlineLevel="1" x14ac:dyDescent="0.2">
      <c r="D15" s="165"/>
      <c r="E15" s="165"/>
      <c r="F15" s="165"/>
      <c r="G15" s="165"/>
      <c r="H15" s="165"/>
      <c r="I15" s="165"/>
      <c r="J15" s="165"/>
      <c r="K15" s="165"/>
      <c r="M15" s="172"/>
      <c r="O15" s="301"/>
    </row>
    <row r="16" spans="2:18" ht="12.75" hidden="1" customHeight="1" outlineLevel="1" x14ac:dyDescent="0.2">
      <c r="D16" s="165"/>
      <c r="E16" s="165"/>
      <c r="F16" s="165"/>
      <c r="G16" s="165"/>
      <c r="H16" s="165"/>
      <c r="I16" s="165"/>
      <c r="J16" s="165"/>
      <c r="K16" s="165"/>
      <c r="M16" s="172"/>
      <c r="O16" s="301"/>
    </row>
    <row r="17" spans="1:15" ht="12.75" hidden="1" customHeight="1" outlineLevel="1" x14ac:dyDescent="0.2">
      <c r="D17" s="165"/>
      <c r="E17" s="165"/>
      <c r="F17" s="165"/>
      <c r="G17" s="165"/>
      <c r="H17" s="165"/>
      <c r="I17" s="165"/>
      <c r="J17" s="165"/>
      <c r="K17" s="165"/>
      <c r="M17" s="172"/>
      <c r="O17" s="301"/>
    </row>
    <row r="18" spans="1:15" ht="12.75" hidden="1" customHeight="1" outlineLevel="1" x14ac:dyDescent="0.2">
      <c r="D18" s="165"/>
      <c r="E18" s="165"/>
      <c r="F18" s="165"/>
      <c r="G18" s="165"/>
      <c r="H18" s="165"/>
      <c r="I18" s="165"/>
      <c r="J18" s="165"/>
      <c r="K18" s="165"/>
      <c r="M18" s="172"/>
      <c r="O18" s="301"/>
    </row>
    <row r="19" spans="1:15" ht="12.75" customHeight="1" collapsed="1" x14ac:dyDescent="0.2">
      <c r="M19" s="172"/>
      <c r="O19" s="301"/>
    </row>
    <row r="20" spans="1:15" ht="12.75" customHeight="1" x14ac:dyDescent="0.2">
      <c r="B20" s="176" t="s">
        <v>34</v>
      </c>
      <c r="C20" s="260"/>
      <c r="D20" s="179">
        <f t="shared" ref="D20:K20" si="0">MAX(D10:D19)</f>
        <v>0.50552024995048173</v>
      </c>
      <c r="E20" s="179">
        <f t="shared" si="0"/>
        <v>0.49317678642885571</v>
      </c>
      <c r="F20" s="179">
        <f t="shared" si="0"/>
        <v>0.48823549668578248</v>
      </c>
      <c r="G20" s="179">
        <f>MAX(G10:G19)</f>
        <v>0.48823549668578248</v>
      </c>
      <c r="H20" s="179">
        <f t="shared" si="0"/>
        <v>0.48823549668578248</v>
      </c>
      <c r="I20" s="179">
        <f t="shared" si="0"/>
        <v>0.48823549668578248</v>
      </c>
      <c r="J20" s="179">
        <f t="shared" si="0"/>
        <v>0.48823549668578248</v>
      </c>
      <c r="K20" s="303">
        <f t="shared" si="0"/>
        <v>0.48823549668578248</v>
      </c>
    </row>
    <row r="21" spans="1:15" ht="12.75" customHeight="1" x14ac:dyDescent="0.2">
      <c r="B21" s="190" t="s">
        <v>130</v>
      </c>
      <c r="C21" s="289"/>
      <c r="D21" s="193">
        <f t="shared" ref="D21:K21" si="1">QUARTILE(D10:D19,3)</f>
        <v>0.37049945727814049</v>
      </c>
      <c r="E21" s="193">
        <f t="shared" si="1"/>
        <v>0.30047832513311512</v>
      </c>
      <c r="F21" s="193">
        <f t="shared" si="1"/>
        <v>0.34570694848989109</v>
      </c>
      <c r="G21" s="193">
        <f t="shared" si="1"/>
        <v>0.34394192365762433</v>
      </c>
      <c r="H21" s="193">
        <f t="shared" si="1"/>
        <v>0.34592277457394588</v>
      </c>
      <c r="I21" s="193">
        <f t="shared" si="1"/>
        <v>0.34378063081554788</v>
      </c>
      <c r="J21" s="193">
        <f t="shared" si="1"/>
        <v>0.35337433996918016</v>
      </c>
      <c r="K21" s="304">
        <f t="shared" si="1"/>
        <v>0.36959175946338146</v>
      </c>
    </row>
    <row r="22" spans="1:15" ht="12.75" customHeight="1" x14ac:dyDescent="0.2">
      <c r="B22" s="190" t="s">
        <v>125</v>
      </c>
      <c r="C22" s="289"/>
      <c r="D22" s="193">
        <f t="shared" ref="D22:K22" si="2">AVERAGE(D10:D19)</f>
        <v>0.33178014557226643</v>
      </c>
      <c r="E22" s="193">
        <f t="shared" si="2"/>
        <v>0.32814495792623555</v>
      </c>
      <c r="F22" s="193">
        <f t="shared" si="2"/>
        <v>0.32850121558132395</v>
      </c>
      <c r="G22" s="193">
        <f t="shared" si="2"/>
        <v>0.32184328776062548</v>
      </c>
      <c r="H22" s="193">
        <f t="shared" si="2"/>
        <v>0.31371268339675729</v>
      </c>
      <c r="I22" s="193">
        <f t="shared" si="2"/>
        <v>0.31032861402814932</v>
      </c>
      <c r="J22" s="193">
        <f t="shared" si="2"/>
        <v>0.30967116665629912</v>
      </c>
      <c r="K22" s="304">
        <f t="shared" si="2"/>
        <v>0.3168377137284793</v>
      </c>
    </row>
    <row r="23" spans="1:15" ht="12.75" customHeight="1" x14ac:dyDescent="0.2">
      <c r="B23" s="190" t="s">
        <v>128</v>
      </c>
      <c r="C23" s="289"/>
      <c r="D23" s="193">
        <f t="shared" ref="D23:K23" si="3">MEDIAN(D10:D19)</f>
        <v>0.3288738213084566</v>
      </c>
      <c r="E23" s="193">
        <f t="shared" si="3"/>
        <v>0.29706003745331494</v>
      </c>
      <c r="F23" s="193">
        <f t="shared" si="3"/>
        <v>0.27894032343971775</v>
      </c>
      <c r="G23" s="193">
        <f t="shared" si="3"/>
        <v>0.27391410956093221</v>
      </c>
      <c r="H23" s="193">
        <f t="shared" si="3"/>
        <v>0.2600277213968939</v>
      </c>
      <c r="I23" s="193">
        <f t="shared" si="3"/>
        <v>0.2506747364797467</v>
      </c>
      <c r="J23" s="193">
        <f t="shared" si="3"/>
        <v>0.24657081702875525</v>
      </c>
      <c r="K23" s="304">
        <f t="shared" si="3"/>
        <v>0.25442969787753139</v>
      </c>
    </row>
    <row r="24" spans="1:15" ht="12.75" customHeight="1" x14ac:dyDescent="0.2">
      <c r="B24" s="190" t="s">
        <v>129</v>
      </c>
      <c r="C24" s="289"/>
      <c r="D24" s="193">
        <f t="shared" ref="D24:K24" si="4">QUARTILE(D10:D19,1)</f>
        <v>0.30365987198958466</v>
      </c>
      <c r="E24" s="193">
        <f t="shared" si="4"/>
        <v>0.28856512088536501</v>
      </c>
      <c r="F24" s="193">
        <f t="shared" si="4"/>
        <v>0.27417917042017009</v>
      </c>
      <c r="G24" s="193">
        <f t="shared" si="4"/>
        <v>0.25314608513358555</v>
      </c>
      <c r="H24" s="193">
        <f t="shared" si="4"/>
        <v>0.24063986816606325</v>
      </c>
      <c r="I24" s="193">
        <f t="shared" si="4"/>
        <v>0.23456371438665938</v>
      </c>
      <c r="J24" s="193">
        <f t="shared" si="4"/>
        <v>0.23122388370283908</v>
      </c>
      <c r="K24" s="304">
        <f t="shared" si="4"/>
        <v>0.23666737527064524</v>
      </c>
    </row>
    <row r="25" spans="1:15" ht="12.75" customHeight="1" x14ac:dyDescent="0.2">
      <c r="B25" s="263" t="s">
        <v>66</v>
      </c>
      <c r="C25" s="305"/>
      <c r="D25" s="306">
        <f t="shared" ref="D25:K25" si="5">MIN(D10:D19)</f>
        <v>0.15034732733466866</v>
      </c>
      <c r="E25" s="306">
        <f t="shared" si="5"/>
        <v>0.26144451973052713</v>
      </c>
      <c r="F25" s="306">
        <f t="shared" si="5"/>
        <v>0.2554441388710581</v>
      </c>
      <c r="G25" s="306">
        <f t="shared" si="5"/>
        <v>0.249978823765203</v>
      </c>
      <c r="H25" s="306">
        <f t="shared" si="5"/>
        <v>0.23373755616110109</v>
      </c>
      <c r="I25" s="306">
        <f t="shared" si="5"/>
        <v>0.23438849177301008</v>
      </c>
      <c r="J25" s="306">
        <f t="shared" si="5"/>
        <v>0.22895129589493876</v>
      </c>
      <c r="K25" s="266">
        <f t="shared" si="5"/>
        <v>0.23526423934505575</v>
      </c>
    </row>
    <row r="26" spans="1:15" ht="12.75" customHeight="1" x14ac:dyDescent="0.2"/>
    <row r="27" spans="1:15" ht="12.75" customHeight="1" x14ac:dyDescent="0.2">
      <c r="B27" s="127" t="s">
        <v>135</v>
      </c>
    </row>
    <row r="28" spans="1:15" ht="12.75" customHeight="1" x14ac:dyDescent="0.2">
      <c r="B28" s="127"/>
    </row>
    <row r="29" spans="1:15" ht="12.75" customHeight="1" x14ac:dyDescent="0.2">
      <c r="B29" s="127" t="s">
        <v>73</v>
      </c>
    </row>
    <row r="30" spans="1:15" ht="27" customHeight="1" x14ac:dyDescent="0.2">
      <c r="A30" s="267" t="s">
        <v>55</v>
      </c>
      <c r="B30" s="406" t="s">
        <v>233</v>
      </c>
      <c r="C30" s="406"/>
      <c r="D30" s="406"/>
      <c r="E30" s="406"/>
      <c r="F30" s="406"/>
      <c r="G30" s="406"/>
      <c r="H30" s="406"/>
      <c r="I30" s="406"/>
      <c r="J30" s="406"/>
      <c r="K30" s="406"/>
    </row>
    <row r="31" spans="1:15" ht="12.75" customHeight="1" x14ac:dyDescent="0.2">
      <c r="A31" s="307"/>
      <c r="B31" s="406"/>
      <c r="C31" s="406"/>
      <c r="D31" s="406"/>
      <c r="E31" s="406"/>
      <c r="F31" s="406"/>
      <c r="G31" s="406"/>
      <c r="H31" s="406"/>
      <c r="I31" s="407"/>
      <c r="J31" s="407"/>
      <c r="K31" s="407"/>
    </row>
    <row r="33" spans="2:15" s="149" customFormat="1" ht="38.25" x14ac:dyDescent="0.2">
      <c r="B33" s="308" t="s">
        <v>234</v>
      </c>
      <c r="C33" s="309"/>
      <c r="D33" s="310" t="s">
        <v>235</v>
      </c>
      <c r="E33" s="310" t="s">
        <v>236</v>
      </c>
      <c r="F33" s="310" t="s">
        <v>237</v>
      </c>
      <c r="G33" s="310" t="s">
        <v>238</v>
      </c>
      <c r="H33" s="311" t="s">
        <v>239</v>
      </c>
      <c r="I33" s="312"/>
      <c r="J33" s="312"/>
      <c r="K33" s="312"/>
      <c r="O33" s="313"/>
    </row>
    <row r="35" spans="2:15" x14ac:dyDescent="0.2">
      <c r="D35" s="120">
        <f>SUM(D10:D12,D14:D19)</f>
        <v>1.5085534005266634</v>
      </c>
      <c r="E35" s="120">
        <f>SUM(E10:E12,E14:E19)</f>
        <v>1.3436647521778629</v>
      </c>
      <c r="F35" s="120">
        <f>SUM(F10:F12,F14:F19)</f>
        <v>1.2967991294167285</v>
      </c>
      <c r="G35" s="120">
        <f>SUM(G10:G12,G14:G19)</f>
        <v>1.2652745151455032</v>
      </c>
      <c r="H35" s="120">
        <f>SUM(H10:H12,H14:H19)</f>
        <v>1.2226406424098406</v>
      </c>
      <c r="I35" s="120"/>
      <c r="J35" s="120"/>
      <c r="K35" s="120"/>
      <c r="L35" s="120"/>
    </row>
    <row r="36" spans="2:15" x14ac:dyDescent="0.2">
      <c r="D36" s="120">
        <v>6.8621152681439881</v>
      </c>
      <c r="E36" s="120">
        <v>7.3109729417617446</v>
      </c>
      <c r="F36" s="120">
        <v>7.2585751105709271</v>
      </c>
      <c r="G36" s="120">
        <v>7.1922062699769693</v>
      </c>
      <c r="H36" s="120">
        <v>7.1432071472452066</v>
      </c>
      <c r="I36" s="120"/>
      <c r="J36" s="120"/>
      <c r="K36" s="120"/>
    </row>
  </sheetData>
  <mergeCells count="2">
    <mergeCell ref="B30:K30"/>
    <mergeCell ref="B31:K31"/>
  </mergeCells>
  <conditionalFormatting sqref="B10:B13 B15:B19">
    <cfRule type="cellIs" dxfId="2" priority="3" operator="equal">
      <formula>"(Invalid Identifier)"</formula>
    </cfRule>
  </conditionalFormatting>
  <conditionalFormatting sqref="B4:K4">
    <cfRule type="cellIs" dxfId="1" priority="2" stopIfTrue="1" operator="equal">
      <formula>"input"</formula>
    </cfRule>
  </conditionalFormatting>
  <conditionalFormatting sqref="B14">
    <cfRule type="cellIs" dxfId="0" priority="1" operator="equal">
      <formula>"(Invalid Identifier)"</formula>
    </cfRule>
  </conditionalFormatting>
  <pageMargins left="0.5" right="0.5" top="0.5" bottom="0.5" header="0.5" footer="0.5"/>
  <pageSetup scale="90" fitToWidth="0" fitToHeight="0" orientation="landscape" r:id="rId1"/>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view="pageBreakPreview" zoomScale="60" zoomScaleNormal="100" workbookViewId="0"/>
  </sheetViews>
  <sheetFormatPr defaultRowHeight="15" x14ac:dyDescent="0.25"/>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A92"/>
  <sheetViews>
    <sheetView view="pageBreakPreview" zoomScale="80" zoomScaleNormal="80" zoomScaleSheetLayoutView="80" workbookViewId="0">
      <selection activeCell="D10" sqref="D10"/>
    </sheetView>
  </sheetViews>
  <sheetFormatPr defaultColWidth="9.140625" defaultRowHeight="15" outlineLevelRow="1" x14ac:dyDescent="0.25"/>
  <cols>
    <col min="1" max="1" width="8" style="346" customWidth="1"/>
    <col min="2" max="2" width="22.85546875" style="346" customWidth="1"/>
    <col min="3" max="3" width="5" style="346" customWidth="1"/>
    <col min="4" max="4" width="41.7109375" style="348" bestFit="1" customWidth="1"/>
    <col min="5" max="5" width="2.5703125" style="346" customWidth="1"/>
    <col min="6" max="13" width="13.5703125" style="346" customWidth="1"/>
    <col min="14" max="14" width="9.140625" style="346"/>
    <col min="15" max="15" width="16.7109375" style="350" bestFit="1" customWidth="1"/>
    <col min="16" max="16" width="9.140625" style="346"/>
    <col min="17" max="17" width="8.42578125" style="346" bestFit="1" customWidth="1"/>
    <col min="18" max="16384" width="9.140625" style="346"/>
  </cols>
  <sheetData>
    <row r="1" spans="1:27" ht="25.5" x14ac:dyDescent="0.35">
      <c r="A1" s="314" t="s">
        <v>240</v>
      </c>
      <c r="B1" s="315"/>
      <c r="C1" s="315"/>
      <c r="D1" s="315"/>
      <c r="E1" s="315"/>
      <c r="F1" s="315"/>
      <c r="G1" s="315"/>
      <c r="H1" s="315"/>
      <c r="I1" s="315"/>
      <c r="J1" s="315"/>
      <c r="K1" s="315"/>
      <c r="L1" s="315"/>
      <c r="M1" s="315"/>
      <c r="N1" s="316" t="s">
        <v>241</v>
      </c>
      <c r="O1" s="317"/>
      <c r="P1" s="315"/>
      <c r="Q1" s="315"/>
    </row>
    <row r="2" spans="1:27" ht="19.5" x14ac:dyDescent="0.3">
      <c r="A2" s="318" t="s">
        <v>230</v>
      </c>
      <c r="B2" s="315"/>
      <c r="C2" s="315"/>
      <c r="D2" s="315"/>
      <c r="E2" s="315"/>
      <c r="F2" s="315"/>
      <c r="G2" s="315"/>
      <c r="H2" s="315"/>
      <c r="I2" s="315"/>
      <c r="J2" s="315"/>
      <c r="K2" s="315"/>
      <c r="L2" s="315"/>
      <c r="M2" s="315"/>
      <c r="N2" s="315"/>
      <c r="O2" s="317"/>
      <c r="P2" s="315"/>
      <c r="Q2" s="315"/>
      <c r="R2" s="319"/>
    </row>
    <row r="3" spans="1:27" ht="15.75" customHeight="1" x14ac:dyDescent="0.35">
      <c r="A3" s="347"/>
      <c r="G3" s="349"/>
    </row>
    <row r="4" spans="1:27" ht="25.5" x14ac:dyDescent="0.35">
      <c r="A4" s="347"/>
      <c r="B4" s="351" t="s">
        <v>242</v>
      </c>
      <c r="E4" s="348"/>
      <c r="F4" s="348"/>
      <c r="G4" s="352"/>
      <c r="H4" s="348"/>
      <c r="I4" s="348"/>
      <c r="J4" s="348"/>
      <c r="K4" s="348"/>
      <c r="L4" s="348"/>
      <c r="M4" s="348"/>
    </row>
    <row r="5" spans="1:27" ht="15.75" customHeight="1" x14ac:dyDescent="0.25">
      <c r="B5" s="353">
        <v>43465</v>
      </c>
      <c r="D5" s="354" t="s">
        <v>243</v>
      </c>
      <c r="E5" s="355"/>
      <c r="F5" s="355"/>
      <c r="G5" s="355"/>
      <c r="H5" s="355"/>
      <c r="I5" s="355"/>
      <c r="J5" s="356"/>
      <c r="K5" s="355"/>
      <c r="L5" s="355"/>
      <c r="M5" s="356"/>
    </row>
    <row r="6" spans="1:27" x14ac:dyDescent="0.25">
      <c r="B6" s="348"/>
      <c r="E6" s="348"/>
      <c r="F6" s="348"/>
      <c r="G6" s="348"/>
      <c r="H6" s="348"/>
      <c r="I6" s="348"/>
      <c r="J6" s="348"/>
      <c r="K6" s="348"/>
      <c r="L6" s="348"/>
      <c r="M6" s="348"/>
    </row>
    <row r="7" spans="1:27" x14ac:dyDescent="0.25">
      <c r="B7" s="348"/>
      <c r="D7" s="320" t="s">
        <v>244</v>
      </c>
      <c r="E7" s="348"/>
      <c r="F7" s="357" t="s">
        <v>245</v>
      </c>
      <c r="G7" s="358" t="s">
        <v>246</v>
      </c>
      <c r="H7" s="358" t="s">
        <v>247</v>
      </c>
      <c r="I7" s="358" t="s">
        <v>248</v>
      </c>
      <c r="J7" s="358" t="s">
        <v>249</v>
      </c>
      <c r="K7" s="358" t="s">
        <v>250</v>
      </c>
      <c r="L7" s="358" t="s">
        <v>251</v>
      </c>
      <c r="M7" s="359" t="s">
        <v>252</v>
      </c>
      <c r="O7" s="360" t="s">
        <v>253</v>
      </c>
    </row>
    <row r="8" spans="1:27" x14ac:dyDescent="0.25">
      <c r="B8" s="361"/>
      <c r="D8" s="321" t="s">
        <v>254</v>
      </c>
      <c r="E8" s="348"/>
      <c r="F8" s="362">
        <v>0.37049945727814049</v>
      </c>
      <c r="G8" s="363">
        <v>0.28856512088536501</v>
      </c>
      <c r="H8" s="363">
        <v>0.27894032343971775</v>
      </c>
      <c r="I8" s="363">
        <v>0.27391410956093221</v>
      </c>
      <c r="J8" s="363">
        <v>0.2600277213968939</v>
      </c>
      <c r="K8" s="363">
        <v>0.2506747364797467</v>
      </c>
      <c r="L8" s="363">
        <v>0.24657081702875525</v>
      </c>
      <c r="M8" s="364">
        <v>0.25442969787753139</v>
      </c>
      <c r="O8" s="365">
        <v>33921</v>
      </c>
      <c r="W8" s="322"/>
      <c r="X8" s="322"/>
      <c r="Y8" s="322"/>
      <c r="Z8" s="322"/>
      <c r="AA8" s="322"/>
    </row>
    <row r="9" spans="1:27" x14ac:dyDescent="0.25">
      <c r="B9" s="361"/>
      <c r="D9" s="323" t="s">
        <v>266</v>
      </c>
      <c r="E9" s="348"/>
      <c r="F9" s="362">
        <v>0.3288738213084566</v>
      </c>
      <c r="G9" s="363">
        <v>0.26144451973052713</v>
      </c>
      <c r="H9" s="363">
        <v>0.2554441388710581</v>
      </c>
      <c r="I9" s="363">
        <v>0.25314608513358555</v>
      </c>
      <c r="J9" s="363">
        <v>0.24063986816606325</v>
      </c>
      <c r="K9" s="363">
        <v>0.23456371438665938</v>
      </c>
      <c r="L9" s="363">
        <v>0.23122388370283908</v>
      </c>
      <c r="M9" s="364">
        <v>0.23526423934505575</v>
      </c>
      <c r="O9" s="365">
        <v>36318</v>
      </c>
      <c r="W9" s="322"/>
      <c r="X9" s="322"/>
      <c r="Y9" s="322"/>
      <c r="Z9" s="322"/>
      <c r="AA9" s="322"/>
    </row>
    <row r="10" spans="1:27" x14ac:dyDescent="0.25">
      <c r="B10" s="361"/>
      <c r="D10" s="323" t="s">
        <v>255</v>
      </c>
      <c r="E10" s="348"/>
      <c r="F10" s="362">
        <v>0.30365987198958466</v>
      </c>
      <c r="G10" s="363">
        <v>0.30047832513311512</v>
      </c>
      <c r="H10" s="363">
        <v>0.27417917042017009</v>
      </c>
      <c r="I10" s="363">
        <v>0.249978823765203</v>
      </c>
      <c r="J10" s="363">
        <v>0.23373755616110109</v>
      </c>
      <c r="K10" s="363">
        <v>0.23438849177301008</v>
      </c>
      <c r="L10" s="363">
        <v>0.22895129589493876</v>
      </c>
      <c r="M10" s="364">
        <v>0.23666737527064524</v>
      </c>
      <c r="O10" s="365">
        <v>35003</v>
      </c>
      <c r="Q10" s="366"/>
      <c r="W10" s="322"/>
      <c r="X10" s="322"/>
      <c r="Y10" s="322"/>
      <c r="Z10" s="322"/>
      <c r="AA10" s="322"/>
    </row>
    <row r="11" spans="1:27" x14ac:dyDescent="0.25">
      <c r="B11" s="361"/>
      <c r="D11" s="323" t="s">
        <v>267</v>
      </c>
      <c r="E11" s="348"/>
      <c r="F11" s="362">
        <v>0.15034732733466866</v>
      </c>
      <c r="G11" s="363">
        <v>0.29706003745331494</v>
      </c>
      <c r="H11" s="363">
        <v>0.34570694848989109</v>
      </c>
      <c r="I11" s="363">
        <v>0.34394192365762433</v>
      </c>
      <c r="J11" s="363">
        <v>0.34592277457394588</v>
      </c>
      <c r="K11" s="363">
        <v>0.34378063081554788</v>
      </c>
      <c r="L11" s="363">
        <v>0.35337433996918016</v>
      </c>
      <c r="M11" s="364">
        <v>0.36959175946338146</v>
      </c>
      <c r="O11" s="365">
        <v>38652</v>
      </c>
      <c r="Q11" s="366"/>
      <c r="W11" s="322"/>
      <c r="X11" s="322"/>
      <c r="Y11" s="322"/>
      <c r="Z11" s="322"/>
      <c r="AA11" s="322"/>
    </row>
    <row r="12" spans="1:27" x14ac:dyDescent="0.25">
      <c r="B12" s="361"/>
      <c r="D12" s="323" t="s">
        <v>256</v>
      </c>
      <c r="E12" s="348"/>
      <c r="F12" s="362">
        <v>0.50552024995048173</v>
      </c>
      <c r="G12" s="363">
        <v>0.49317678642885571</v>
      </c>
      <c r="H12" s="363">
        <v>0.48823549668578248</v>
      </c>
      <c r="I12" s="363" t="s">
        <v>257</v>
      </c>
      <c r="J12" s="363" t="s">
        <v>257</v>
      </c>
      <c r="K12" s="363" t="s">
        <v>257</v>
      </c>
      <c r="L12" s="363" t="s">
        <v>257</v>
      </c>
      <c r="M12" s="364" t="s">
        <v>257</v>
      </c>
      <c r="O12" s="365">
        <v>42482</v>
      </c>
      <c r="W12" s="322"/>
      <c r="X12" s="322"/>
      <c r="Y12" s="322"/>
      <c r="Z12" s="322"/>
      <c r="AA12" s="322"/>
    </row>
    <row r="13" spans="1:27" hidden="1" outlineLevel="1" x14ac:dyDescent="0.25">
      <c r="B13" s="361"/>
      <c r="D13" s="323" t="s">
        <v>258</v>
      </c>
      <c r="E13" s="348"/>
      <c r="F13" s="362" t="e">
        <v>#VALUE!</v>
      </c>
      <c r="G13" s="363" t="e">
        <v>#VALUE!</v>
      </c>
      <c r="H13" s="363" t="e">
        <v>#VALUE!</v>
      </c>
      <c r="I13" s="363" t="e">
        <v>#VALUE!</v>
      </c>
      <c r="J13" s="363" t="e">
        <v>#VALUE!</v>
      </c>
      <c r="K13" s="363" t="e">
        <v>#VALUE!</v>
      </c>
      <c r="L13" s="363" t="e">
        <v>#VALUE!</v>
      </c>
      <c r="M13" s="364" t="e">
        <v>#VALUE!</v>
      </c>
      <c r="O13" s="365" t="s">
        <v>258</v>
      </c>
      <c r="W13" s="322"/>
      <c r="X13" s="322"/>
      <c r="Y13" s="322"/>
      <c r="Z13" s="322"/>
      <c r="AA13" s="322"/>
    </row>
    <row r="14" spans="1:27" hidden="1" outlineLevel="1" x14ac:dyDescent="0.25">
      <c r="B14" s="361"/>
      <c r="D14" s="323" t="s">
        <v>258</v>
      </c>
      <c r="E14" s="348"/>
      <c r="F14" s="362" t="e">
        <v>#VALUE!</v>
      </c>
      <c r="G14" s="363" t="e">
        <v>#VALUE!</v>
      </c>
      <c r="H14" s="363" t="e">
        <v>#VALUE!</v>
      </c>
      <c r="I14" s="363" t="e">
        <v>#VALUE!</v>
      </c>
      <c r="J14" s="363" t="e">
        <v>#VALUE!</v>
      </c>
      <c r="K14" s="363" t="e">
        <v>#VALUE!</v>
      </c>
      <c r="L14" s="363" t="e">
        <v>#VALUE!</v>
      </c>
      <c r="M14" s="364" t="e">
        <v>#VALUE!</v>
      </c>
      <c r="O14" s="365" t="s">
        <v>258</v>
      </c>
      <c r="W14" s="322"/>
      <c r="X14" s="322"/>
      <c r="Y14" s="322"/>
      <c r="Z14" s="322"/>
      <c r="AA14" s="322"/>
    </row>
    <row r="15" spans="1:27" hidden="1" outlineLevel="1" x14ac:dyDescent="0.25">
      <c r="B15" s="361"/>
      <c r="D15" s="323" t="s">
        <v>258</v>
      </c>
      <c r="E15" s="348"/>
      <c r="F15" s="362" t="e">
        <v>#VALUE!</v>
      </c>
      <c r="G15" s="363" t="e">
        <v>#VALUE!</v>
      </c>
      <c r="H15" s="363" t="e">
        <v>#VALUE!</v>
      </c>
      <c r="I15" s="363" t="e">
        <v>#VALUE!</v>
      </c>
      <c r="J15" s="363" t="e">
        <v>#VALUE!</v>
      </c>
      <c r="K15" s="363" t="e">
        <v>#VALUE!</v>
      </c>
      <c r="L15" s="363" t="e">
        <v>#VALUE!</v>
      </c>
      <c r="M15" s="364" t="e">
        <v>#VALUE!</v>
      </c>
      <c r="O15" s="365" t="s">
        <v>258</v>
      </c>
      <c r="W15" s="322"/>
      <c r="X15" s="322"/>
      <c r="Y15" s="322"/>
      <c r="Z15" s="322"/>
      <c r="AA15" s="322"/>
    </row>
    <row r="16" spans="1:27" hidden="1" outlineLevel="1" x14ac:dyDescent="0.25">
      <c r="B16" s="361"/>
      <c r="D16" s="323" t="s">
        <v>258</v>
      </c>
      <c r="E16" s="348"/>
      <c r="F16" s="362" t="e">
        <v>#VALUE!</v>
      </c>
      <c r="G16" s="363" t="e">
        <v>#VALUE!</v>
      </c>
      <c r="H16" s="363" t="e">
        <v>#VALUE!</v>
      </c>
      <c r="I16" s="363" t="e">
        <v>#VALUE!</v>
      </c>
      <c r="J16" s="363" t="e">
        <v>#VALUE!</v>
      </c>
      <c r="K16" s="363" t="e">
        <v>#VALUE!</v>
      </c>
      <c r="L16" s="363" t="e">
        <v>#VALUE!</v>
      </c>
      <c r="M16" s="364" t="e">
        <v>#VALUE!</v>
      </c>
      <c r="O16" s="365" t="s">
        <v>258</v>
      </c>
      <c r="W16" s="322"/>
      <c r="X16" s="322"/>
      <c r="Y16" s="322"/>
      <c r="Z16" s="322"/>
      <c r="AA16" s="322"/>
    </row>
    <row r="17" spans="2:27" hidden="1" outlineLevel="1" x14ac:dyDescent="0.25">
      <c r="B17" s="361"/>
      <c r="D17" s="323" t="s">
        <v>258</v>
      </c>
      <c r="E17" s="348"/>
      <c r="F17" s="362" t="e">
        <v>#VALUE!</v>
      </c>
      <c r="G17" s="363" t="e">
        <v>#VALUE!</v>
      </c>
      <c r="H17" s="363" t="e">
        <v>#VALUE!</v>
      </c>
      <c r="I17" s="363" t="e">
        <v>#VALUE!</v>
      </c>
      <c r="J17" s="363" t="e">
        <v>#VALUE!</v>
      </c>
      <c r="K17" s="363" t="e">
        <v>#VALUE!</v>
      </c>
      <c r="L17" s="363" t="e">
        <v>#VALUE!</v>
      </c>
      <c r="M17" s="364" t="e">
        <v>#VALUE!</v>
      </c>
      <c r="O17" s="365" t="s">
        <v>258</v>
      </c>
      <c r="W17" s="322"/>
      <c r="X17" s="322"/>
      <c r="Y17" s="322"/>
      <c r="Z17" s="322"/>
      <c r="AA17" s="322"/>
    </row>
    <row r="18" spans="2:27" hidden="1" outlineLevel="1" x14ac:dyDescent="0.25">
      <c r="B18" s="361"/>
      <c r="D18" s="323" t="s">
        <v>258</v>
      </c>
      <c r="E18" s="348"/>
      <c r="F18" s="362" t="e">
        <v>#VALUE!</v>
      </c>
      <c r="G18" s="363" t="e">
        <v>#VALUE!</v>
      </c>
      <c r="H18" s="363" t="e">
        <v>#VALUE!</v>
      </c>
      <c r="I18" s="363" t="e">
        <v>#VALUE!</v>
      </c>
      <c r="J18" s="363" t="e">
        <v>#VALUE!</v>
      </c>
      <c r="K18" s="363" t="e">
        <v>#VALUE!</v>
      </c>
      <c r="L18" s="363" t="e">
        <v>#VALUE!</v>
      </c>
      <c r="M18" s="364" t="e">
        <v>#VALUE!</v>
      </c>
      <c r="O18" s="365" t="s">
        <v>258</v>
      </c>
      <c r="W18" s="322"/>
      <c r="X18" s="322"/>
      <c r="Y18" s="322"/>
      <c r="Z18" s="322"/>
      <c r="AA18" s="322"/>
    </row>
    <row r="19" spans="2:27" hidden="1" outlineLevel="1" x14ac:dyDescent="0.25">
      <c r="B19" s="361"/>
      <c r="D19" s="323" t="s">
        <v>258</v>
      </c>
      <c r="E19" s="348"/>
      <c r="F19" s="362" t="e">
        <v>#VALUE!</v>
      </c>
      <c r="G19" s="363" t="e">
        <v>#VALUE!</v>
      </c>
      <c r="H19" s="363" t="e">
        <v>#VALUE!</v>
      </c>
      <c r="I19" s="363" t="e">
        <v>#VALUE!</v>
      </c>
      <c r="J19" s="363" t="e">
        <v>#VALUE!</v>
      </c>
      <c r="K19" s="363" t="e">
        <v>#VALUE!</v>
      </c>
      <c r="L19" s="363" t="e">
        <v>#VALUE!</v>
      </c>
      <c r="M19" s="364" t="e">
        <v>#VALUE!</v>
      </c>
      <c r="O19" s="365" t="s">
        <v>258</v>
      </c>
      <c r="W19" s="322"/>
      <c r="X19" s="322"/>
      <c r="Y19" s="322"/>
      <c r="Z19" s="322"/>
      <c r="AA19" s="322"/>
    </row>
    <row r="20" spans="2:27" hidden="1" outlineLevel="1" x14ac:dyDescent="0.25">
      <c r="B20" s="361"/>
      <c r="D20" s="323" t="s">
        <v>258</v>
      </c>
      <c r="E20" s="348"/>
      <c r="F20" s="362" t="e">
        <v>#VALUE!</v>
      </c>
      <c r="G20" s="363" t="e">
        <v>#VALUE!</v>
      </c>
      <c r="H20" s="363" t="e">
        <v>#VALUE!</v>
      </c>
      <c r="I20" s="363" t="e">
        <v>#VALUE!</v>
      </c>
      <c r="J20" s="363" t="e">
        <v>#VALUE!</v>
      </c>
      <c r="K20" s="363" t="e">
        <v>#VALUE!</v>
      </c>
      <c r="L20" s="363" t="e">
        <v>#VALUE!</v>
      </c>
      <c r="M20" s="364" t="e">
        <v>#VALUE!</v>
      </c>
      <c r="O20" s="365" t="s">
        <v>258</v>
      </c>
      <c r="W20" s="322"/>
      <c r="X20" s="322"/>
      <c r="Y20" s="322"/>
      <c r="Z20" s="322"/>
      <c r="AA20" s="322"/>
    </row>
    <row r="21" spans="2:27" hidden="1" outlineLevel="1" x14ac:dyDescent="0.25">
      <c r="B21" s="361"/>
      <c r="D21" s="323" t="s">
        <v>258</v>
      </c>
      <c r="E21" s="348"/>
      <c r="F21" s="362" t="e">
        <v>#VALUE!</v>
      </c>
      <c r="G21" s="363" t="e">
        <v>#VALUE!</v>
      </c>
      <c r="H21" s="363" t="e">
        <v>#VALUE!</v>
      </c>
      <c r="I21" s="363" t="e">
        <v>#VALUE!</v>
      </c>
      <c r="J21" s="363" t="e">
        <v>#VALUE!</v>
      </c>
      <c r="K21" s="363" t="e">
        <v>#VALUE!</v>
      </c>
      <c r="L21" s="363" t="e">
        <v>#VALUE!</v>
      </c>
      <c r="M21" s="364" t="e">
        <v>#VALUE!</v>
      </c>
      <c r="O21" s="365" t="s">
        <v>258</v>
      </c>
      <c r="W21" s="322"/>
      <c r="X21" s="322"/>
      <c r="Y21" s="322"/>
      <c r="Z21" s="322"/>
      <c r="AA21" s="322"/>
    </row>
    <row r="22" spans="2:27" hidden="1" outlineLevel="1" x14ac:dyDescent="0.25">
      <c r="B22" s="361"/>
      <c r="D22" s="323" t="s">
        <v>258</v>
      </c>
      <c r="E22" s="348"/>
      <c r="F22" s="362" t="e">
        <v>#VALUE!</v>
      </c>
      <c r="G22" s="363" t="e">
        <v>#VALUE!</v>
      </c>
      <c r="H22" s="363" t="e">
        <v>#VALUE!</v>
      </c>
      <c r="I22" s="363" t="e">
        <v>#VALUE!</v>
      </c>
      <c r="J22" s="363" t="e">
        <v>#VALUE!</v>
      </c>
      <c r="K22" s="363" t="e">
        <v>#VALUE!</v>
      </c>
      <c r="L22" s="363" t="e">
        <v>#VALUE!</v>
      </c>
      <c r="M22" s="364" t="e">
        <v>#VALUE!</v>
      </c>
      <c r="O22" s="365" t="s">
        <v>258</v>
      </c>
      <c r="W22" s="322"/>
      <c r="X22" s="322"/>
      <c r="Y22" s="322"/>
      <c r="Z22" s="322"/>
      <c r="AA22" s="322"/>
    </row>
    <row r="23" spans="2:27" hidden="1" outlineLevel="1" x14ac:dyDescent="0.25">
      <c r="B23" s="361"/>
      <c r="D23" s="323" t="s">
        <v>258</v>
      </c>
      <c r="E23" s="348"/>
      <c r="F23" s="362" t="e">
        <v>#VALUE!</v>
      </c>
      <c r="G23" s="363" t="e">
        <v>#VALUE!</v>
      </c>
      <c r="H23" s="363" t="e">
        <v>#VALUE!</v>
      </c>
      <c r="I23" s="363" t="e">
        <v>#VALUE!</v>
      </c>
      <c r="J23" s="363" t="e">
        <v>#VALUE!</v>
      </c>
      <c r="K23" s="363" t="e">
        <v>#VALUE!</v>
      </c>
      <c r="L23" s="363" t="e">
        <v>#VALUE!</v>
      </c>
      <c r="M23" s="364" t="e">
        <v>#VALUE!</v>
      </c>
      <c r="O23" s="365" t="s">
        <v>258</v>
      </c>
      <c r="W23" s="322"/>
      <c r="X23" s="322"/>
      <c r="Y23" s="322"/>
      <c r="Z23" s="322"/>
      <c r="AA23" s="322"/>
    </row>
    <row r="24" spans="2:27" hidden="1" outlineLevel="1" x14ac:dyDescent="0.25">
      <c r="B24" s="361"/>
      <c r="D24" s="323" t="s">
        <v>258</v>
      </c>
      <c r="E24" s="348"/>
      <c r="F24" s="362" t="e">
        <v>#VALUE!</v>
      </c>
      <c r="G24" s="363" t="e">
        <v>#VALUE!</v>
      </c>
      <c r="H24" s="363" t="e">
        <v>#VALUE!</v>
      </c>
      <c r="I24" s="363" t="e">
        <v>#VALUE!</v>
      </c>
      <c r="J24" s="363" t="e">
        <v>#VALUE!</v>
      </c>
      <c r="K24" s="363" t="e">
        <v>#VALUE!</v>
      </c>
      <c r="L24" s="363" t="e">
        <v>#VALUE!</v>
      </c>
      <c r="M24" s="364" t="e">
        <v>#VALUE!</v>
      </c>
      <c r="O24" s="365" t="s">
        <v>258</v>
      </c>
      <c r="W24" s="322"/>
      <c r="X24" s="322"/>
      <c r="Y24" s="322"/>
      <c r="Z24" s="322"/>
      <c r="AA24" s="322"/>
    </row>
    <row r="25" spans="2:27" hidden="1" outlineLevel="1" x14ac:dyDescent="0.25">
      <c r="B25" s="361"/>
      <c r="D25" s="323" t="s">
        <v>258</v>
      </c>
      <c r="E25" s="348"/>
      <c r="F25" s="362" t="e">
        <v>#VALUE!</v>
      </c>
      <c r="G25" s="363" t="e">
        <v>#VALUE!</v>
      </c>
      <c r="H25" s="363" t="e">
        <v>#VALUE!</v>
      </c>
      <c r="I25" s="363" t="e">
        <v>#VALUE!</v>
      </c>
      <c r="J25" s="363" t="e">
        <v>#VALUE!</v>
      </c>
      <c r="K25" s="363" t="e">
        <v>#VALUE!</v>
      </c>
      <c r="L25" s="363" t="e">
        <v>#VALUE!</v>
      </c>
      <c r="M25" s="364" t="e">
        <v>#VALUE!</v>
      </c>
      <c r="O25" s="365" t="s">
        <v>258</v>
      </c>
      <c r="W25" s="322"/>
      <c r="X25" s="322"/>
      <c r="Y25" s="322"/>
      <c r="Z25" s="322"/>
      <c r="AA25" s="322"/>
    </row>
    <row r="26" spans="2:27" hidden="1" outlineLevel="1" x14ac:dyDescent="0.25">
      <c r="B26" s="361"/>
      <c r="D26" s="323" t="s">
        <v>258</v>
      </c>
      <c r="E26" s="348"/>
      <c r="F26" s="362" t="e">
        <v>#VALUE!</v>
      </c>
      <c r="G26" s="363" t="e">
        <v>#VALUE!</v>
      </c>
      <c r="H26" s="363" t="e">
        <v>#VALUE!</v>
      </c>
      <c r="I26" s="363" t="e">
        <v>#VALUE!</v>
      </c>
      <c r="J26" s="363" t="e">
        <v>#VALUE!</v>
      </c>
      <c r="K26" s="363" t="e">
        <v>#VALUE!</v>
      </c>
      <c r="L26" s="363" t="e">
        <v>#VALUE!</v>
      </c>
      <c r="M26" s="364" t="e">
        <v>#VALUE!</v>
      </c>
      <c r="O26" s="365" t="s">
        <v>258</v>
      </c>
      <c r="W26" s="322"/>
      <c r="X26" s="322"/>
      <c r="Y26" s="322"/>
      <c r="Z26" s="322"/>
      <c r="AA26" s="322"/>
    </row>
    <row r="27" spans="2:27" hidden="1" outlineLevel="1" x14ac:dyDescent="0.25">
      <c r="B27" s="361"/>
      <c r="D27" s="323" t="s">
        <v>258</v>
      </c>
      <c r="E27" s="348"/>
      <c r="F27" s="362" t="e">
        <v>#VALUE!</v>
      </c>
      <c r="G27" s="363" t="e">
        <v>#VALUE!</v>
      </c>
      <c r="H27" s="363" t="e">
        <v>#VALUE!</v>
      </c>
      <c r="I27" s="363" t="e">
        <v>#VALUE!</v>
      </c>
      <c r="J27" s="363" t="e">
        <v>#VALUE!</v>
      </c>
      <c r="K27" s="363" t="e">
        <v>#VALUE!</v>
      </c>
      <c r="L27" s="363" t="e">
        <v>#VALUE!</v>
      </c>
      <c r="M27" s="364" t="e">
        <v>#VALUE!</v>
      </c>
      <c r="O27" s="365" t="s">
        <v>258</v>
      </c>
      <c r="W27" s="322"/>
      <c r="X27" s="322"/>
      <c r="Y27" s="322"/>
      <c r="Z27" s="322"/>
      <c r="AA27" s="322"/>
    </row>
    <row r="28" spans="2:27" hidden="1" outlineLevel="1" x14ac:dyDescent="0.25">
      <c r="B28" s="361"/>
      <c r="D28" s="323" t="s">
        <v>258</v>
      </c>
      <c r="E28" s="348"/>
      <c r="F28" s="362" t="e">
        <v>#VALUE!</v>
      </c>
      <c r="G28" s="363" t="e">
        <v>#VALUE!</v>
      </c>
      <c r="H28" s="363" t="e">
        <v>#VALUE!</v>
      </c>
      <c r="I28" s="363" t="e">
        <v>#VALUE!</v>
      </c>
      <c r="J28" s="363" t="e">
        <v>#VALUE!</v>
      </c>
      <c r="K28" s="363" t="e">
        <v>#VALUE!</v>
      </c>
      <c r="L28" s="363" t="e">
        <v>#VALUE!</v>
      </c>
      <c r="M28" s="364" t="e">
        <v>#VALUE!</v>
      </c>
      <c r="O28" s="365" t="s">
        <v>258</v>
      </c>
      <c r="W28" s="322"/>
      <c r="X28" s="322"/>
      <c r="Y28" s="322"/>
      <c r="Z28" s="322"/>
      <c r="AA28" s="322"/>
    </row>
    <row r="29" spans="2:27" hidden="1" outlineLevel="1" x14ac:dyDescent="0.25">
      <c r="B29" s="361"/>
      <c r="D29" s="323" t="s">
        <v>258</v>
      </c>
      <c r="E29" s="348"/>
      <c r="F29" s="362" t="e">
        <v>#VALUE!</v>
      </c>
      <c r="G29" s="363" t="e">
        <v>#VALUE!</v>
      </c>
      <c r="H29" s="363" t="e">
        <v>#VALUE!</v>
      </c>
      <c r="I29" s="363" t="e">
        <v>#VALUE!</v>
      </c>
      <c r="J29" s="363" t="e">
        <v>#VALUE!</v>
      </c>
      <c r="K29" s="363" t="e">
        <v>#VALUE!</v>
      </c>
      <c r="L29" s="363" t="e">
        <v>#VALUE!</v>
      </c>
      <c r="M29" s="364" t="e">
        <v>#VALUE!</v>
      </c>
      <c r="O29" s="365" t="s">
        <v>258</v>
      </c>
      <c r="W29" s="322"/>
      <c r="X29" s="322"/>
      <c r="Y29" s="322"/>
      <c r="Z29" s="322"/>
      <c r="AA29" s="322"/>
    </row>
    <row r="30" spans="2:27" hidden="1" outlineLevel="1" x14ac:dyDescent="0.25">
      <c r="B30" s="361"/>
      <c r="D30" s="323" t="s">
        <v>258</v>
      </c>
      <c r="E30" s="348"/>
      <c r="F30" s="362" t="e">
        <v>#VALUE!</v>
      </c>
      <c r="G30" s="363" t="e">
        <v>#VALUE!</v>
      </c>
      <c r="H30" s="363" t="e">
        <v>#VALUE!</v>
      </c>
      <c r="I30" s="363" t="e">
        <v>#VALUE!</v>
      </c>
      <c r="J30" s="363" t="e">
        <v>#VALUE!</v>
      </c>
      <c r="K30" s="363" t="e">
        <v>#VALUE!</v>
      </c>
      <c r="L30" s="363" t="e">
        <v>#VALUE!</v>
      </c>
      <c r="M30" s="364" t="e">
        <v>#VALUE!</v>
      </c>
      <c r="O30" s="365" t="s">
        <v>258</v>
      </c>
      <c r="W30" s="322"/>
      <c r="X30" s="322"/>
      <c r="Y30" s="322"/>
      <c r="Z30" s="322"/>
      <c r="AA30" s="322"/>
    </row>
    <row r="31" spans="2:27" hidden="1" outlineLevel="1" x14ac:dyDescent="0.25">
      <c r="B31" s="361"/>
      <c r="D31" s="323" t="s">
        <v>258</v>
      </c>
      <c r="E31" s="348"/>
      <c r="F31" s="362" t="e">
        <v>#VALUE!</v>
      </c>
      <c r="G31" s="363" t="e">
        <v>#VALUE!</v>
      </c>
      <c r="H31" s="363" t="e">
        <v>#VALUE!</v>
      </c>
      <c r="I31" s="363" t="e">
        <v>#VALUE!</v>
      </c>
      <c r="J31" s="363" t="e">
        <v>#VALUE!</v>
      </c>
      <c r="K31" s="363" t="e">
        <v>#VALUE!</v>
      </c>
      <c r="L31" s="363" t="e">
        <v>#VALUE!</v>
      </c>
      <c r="M31" s="364" t="e">
        <v>#VALUE!</v>
      </c>
      <c r="O31" s="365" t="s">
        <v>258</v>
      </c>
      <c r="W31" s="322"/>
      <c r="X31" s="322"/>
      <c r="Y31" s="322"/>
      <c r="Z31" s="322"/>
      <c r="AA31" s="322"/>
    </row>
    <row r="32" spans="2:27" hidden="1" outlineLevel="1" x14ac:dyDescent="0.25">
      <c r="B32" s="361"/>
      <c r="D32" s="323" t="s">
        <v>258</v>
      </c>
      <c r="E32" s="348"/>
      <c r="F32" s="362" t="e">
        <v>#VALUE!</v>
      </c>
      <c r="G32" s="363" t="e">
        <v>#VALUE!</v>
      </c>
      <c r="H32" s="363" t="e">
        <v>#VALUE!</v>
      </c>
      <c r="I32" s="363" t="e">
        <v>#VALUE!</v>
      </c>
      <c r="J32" s="363" t="e">
        <v>#VALUE!</v>
      </c>
      <c r="K32" s="363" t="e">
        <v>#VALUE!</v>
      </c>
      <c r="L32" s="363" t="e">
        <v>#VALUE!</v>
      </c>
      <c r="M32" s="364" t="e">
        <v>#VALUE!</v>
      </c>
      <c r="O32" s="365" t="s">
        <v>258</v>
      </c>
      <c r="W32" s="322"/>
      <c r="X32" s="322"/>
      <c r="Y32" s="322"/>
      <c r="Z32" s="322"/>
      <c r="AA32" s="322"/>
    </row>
    <row r="33" spans="2:27" hidden="1" outlineLevel="1" x14ac:dyDescent="0.25">
      <c r="B33" s="361"/>
      <c r="D33" s="323" t="s">
        <v>258</v>
      </c>
      <c r="E33" s="348"/>
      <c r="F33" s="362" t="e">
        <v>#VALUE!</v>
      </c>
      <c r="G33" s="363" t="e">
        <v>#VALUE!</v>
      </c>
      <c r="H33" s="363" t="e">
        <v>#VALUE!</v>
      </c>
      <c r="I33" s="363" t="e">
        <v>#VALUE!</v>
      </c>
      <c r="J33" s="363" t="e">
        <v>#VALUE!</v>
      </c>
      <c r="K33" s="363" t="e">
        <v>#VALUE!</v>
      </c>
      <c r="L33" s="363" t="e">
        <v>#VALUE!</v>
      </c>
      <c r="M33" s="364" t="e">
        <v>#VALUE!</v>
      </c>
      <c r="O33" s="365" t="s">
        <v>258</v>
      </c>
      <c r="W33" s="322"/>
      <c r="X33" s="322"/>
      <c r="Y33" s="322"/>
      <c r="Z33" s="322"/>
      <c r="AA33" s="322"/>
    </row>
    <row r="34" spans="2:27" hidden="1" outlineLevel="1" x14ac:dyDescent="0.25">
      <c r="B34" s="361"/>
      <c r="D34" s="323" t="s">
        <v>258</v>
      </c>
      <c r="E34" s="348"/>
      <c r="F34" s="362" t="e">
        <v>#VALUE!</v>
      </c>
      <c r="G34" s="363" t="e">
        <v>#VALUE!</v>
      </c>
      <c r="H34" s="363" t="e">
        <v>#VALUE!</v>
      </c>
      <c r="I34" s="363" t="e">
        <v>#VALUE!</v>
      </c>
      <c r="J34" s="363" t="e">
        <v>#VALUE!</v>
      </c>
      <c r="K34" s="363" t="e">
        <v>#VALUE!</v>
      </c>
      <c r="L34" s="363" t="e">
        <v>#VALUE!</v>
      </c>
      <c r="M34" s="364" t="e">
        <v>#VALUE!</v>
      </c>
      <c r="O34" s="365" t="s">
        <v>258</v>
      </c>
      <c r="W34" s="322"/>
      <c r="X34" s="322"/>
      <c r="Y34" s="322"/>
      <c r="Z34" s="322"/>
      <c r="AA34" s="322"/>
    </row>
    <row r="35" spans="2:27" hidden="1" outlineLevel="1" x14ac:dyDescent="0.25">
      <c r="B35" s="361"/>
      <c r="D35" s="323" t="s">
        <v>258</v>
      </c>
      <c r="E35" s="348"/>
      <c r="F35" s="362" t="e">
        <v>#VALUE!</v>
      </c>
      <c r="G35" s="363" t="e">
        <v>#VALUE!</v>
      </c>
      <c r="H35" s="363" t="e">
        <v>#VALUE!</v>
      </c>
      <c r="I35" s="363" t="e">
        <v>#VALUE!</v>
      </c>
      <c r="J35" s="363" t="e">
        <v>#VALUE!</v>
      </c>
      <c r="K35" s="363" t="e">
        <v>#VALUE!</v>
      </c>
      <c r="L35" s="363" t="e">
        <v>#VALUE!</v>
      </c>
      <c r="M35" s="364" t="e">
        <v>#VALUE!</v>
      </c>
      <c r="O35" s="365" t="s">
        <v>258</v>
      </c>
      <c r="W35" s="322"/>
      <c r="X35" s="322"/>
      <c r="Y35" s="322"/>
      <c r="Z35" s="322"/>
      <c r="AA35" s="322"/>
    </row>
    <row r="36" spans="2:27" hidden="1" outlineLevel="1" x14ac:dyDescent="0.25">
      <c r="B36" s="361"/>
      <c r="D36" s="323" t="s">
        <v>258</v>
      </c>
      <c r="E36" s="348"/>
      <c r="F36" s="362" t="e">
        <v>#VALUE!</v>
      </c>
      <c r="G36" s="363" t="e">
        <v>#VALUE!</v>
      </c>
      <c r="H36" s="363" t="e">
        <v>#VALUE!</v>
      </c>
      <c r="I36" s="363" t="e">
        <v>#VALUE!</v>
      </c>
      <c r="J36" s="363" t="e">
        <v>#VALUE!</v>
      </c>
      <c r="K36" s="363" t="e">
        <v>#VALUE!</v>
      </c>
      <c r="L36" s="363" t="e">
        <v>#VALUE!</v>
      </c>
      <c r="M36" s="364" t="e">
        <v>#VALUE!</v>
      </c>
      <c r="O36" s="365" t="s">
        <v>258</v>
      </c>
      <c r="W36" s="322"/>
      <c r="X36" s="322"/>
      <c r="Y36" s="322"/>
      <c r="Z36" s="322"/>
      <c r="AA36" s="322"/>
    </row>
    <row r="37" spans="2:27" hidden="1" outlineLevel="1" x14ac:dyDescent="0.25">
      <c r="B37" s="361"/>
      <c r="D37" s="323" t="s">
        <v>258</v>
      </c>
      <c r="E37" s="348"/>
      <c r="F37" s="362" t="e">
        <v>#VALUE!</v>
      </c>
      <c r="G37" s="363" t="e">
        <v>#VALUE!</v>
      </c>
      <c r="H37" s="363" t="e">
        <v>#VALUE!</v>
      </c>
      <c r="I37" s="363" t="e">
        <v>#VALUE!</v>
      </c>
      <c r="J37" s="363" t="e">
        <v>#VALUE!</v>
      </c>
      <c r="K37" s="363" t="e">
        <v>#VALUE!</v>
      </c>
      <c r="L37" s="363" t="e">
        <v>#VALUE!</v>
      </c>
      <c r="M37" s="364" t="e">
        <v>#VALUE!</v>
      </c>
      <c r="O37" s="365" t="s">
        <v>258</v>
      </c>
      <c r="W37" s="322"/>
      <c r="X37" s="322"/>
      <c r="Y37" s="322"/>
      <c r="Z37" s="322"/>
      <c r="AA37" s="322"/>
    </row>
    <row r="38" spans="2:27" hidden="1" outlineLevel="1" x14ac:dyDescent="0.25">
      <c r="B38" s="361"/>
      <c r="D38" s="323" t="s">
        <v>258</v>
      </c>
      <c r="E38" s="348"/>
      <c r="F38" s="362" t="e">
        <v>#VALUE!</v>
      </c>
      <c r="G38" s="363" t="e">
        <v>#VALUE!</v>
      </c>
      <c r="H38" s="363" t="e">
        <v>#VALUE!</v>
      </c>
      <c r="I38" s="363" t="e">
        <v>#VALUE!</v>
      </c>
      <c r="J38" s="363" t="e">
        <v>#VALUE!</v>
      </c>
      <c r="K38" s="363" t="e">
        <v>#VALUE!</v>
      </c>
      <c r="L38" s="363" t="e">
        <v>#VALUE!</v>
      </c>
      <c r="M38" s="364" t="e">
        <v>#VALUE!</v>
      </c>
      <c r="O38" s="365" t="s">
        <v>258</v>
      </c>
      <c r="W38" s="322"/>
      <c r="X38" s="322"/>
      <c r="Y38" s="322"/>
      <c r="Z38" s="322"/>
      <c r="AA38" s="322"/>
    </row>
    <row r="39" spans="2:27" hidden="1" outlineLevel="1" x14ac:dyDescent="0.25">
      <c r="B39" s="361"/>
      <c r="D39" s="323" t="s">
        <v>258</v>
      </c>
      <c r="E39" s="348"/>
      <c r="F39" s="362" t="e">
        <v>#VALUE!</v>
      </c>
      <c r="G39" s="363" t="e">
        <v>#VALUE!</v>
      </c>
      <c r="H39" s="363" t="e">
        <v>#VALUE!</v>
      </c>
      <c r="I39" s="363" t="e">
        <v>#VALUE!</v>
      </c>
      <c r="J39" s="363" t="e">
        <v>#VALUE!</v>
      </c>
      <c r="K39" s="363" t="e">
        <v>#VALUE!</v>
      </c>
      <c r="L39" s="363" t="e">
        <v>#VALUE!</v>
      </c>
      <c r="M39" s="364" t="e">
        <v>#VALUE!</v>
      </c>
      <c r="O39" s="365" t="s">
        <v>258</v>
      </c>
      <c r="W39" s="322"/>
      <c r="X39" s="322"/>
      <c r="Y39" s="322"/>
      <c r="Z39" s="322"/>
      <c r="AA39" s="322"/>
    </row>
    <row r="40" spans="2:27" hidden="1" outlineLevel="1" x14ac:dyDescent="0.25">
      <c r="B40" s="361"/>
      <c r="D40" s="323" t="s">
        <v>258</v>
      </c>
      <c r="E40" s="348"/>
      <c r="F40" s="362" t="e">
        <v>#VALUE!</v>
      </c>
      <c r="G40" s="363" t="e">
        <v>#VALUE!</v>
      </c>
      <c r="H40" s="363" t="e">
        <v>#VALUE!</v>
      </c>
      <c r="I40" s="363" t="e">
        <v>#VALUE!</v>
      </c>
      <c r="J40" s="363" t="e">
        <v>#VALUE!</v>
      </c>
      <c r="K40" s="363" t="e">
        <v>#VALUE!</v>
      </c>
      <c r="L40" s="363" t="e">
        <v>#VALUE!</v>
      </c>
      <c r="M40" s="364" t="e">
        <v>#VALUE!</v>
      </c>
      <c r="O40" s="365" t="s">
        <v>258</v>
      </c>
      <c r="W40" s="322"/>
      <c r="X40" s="322"/>
      <c r="Y40" s="322"/>
      <c r="Z40" s="322"/>
      <c r="AA40" s="322"/>
    </row>
    <row r="41" spans="2:27" hidden="1" outlineLevel="1" x14ac:dyDescent="0.25">
      <c r="B41" s="361"/>
      <c r="D41" s="323" t="s">
        <v>258</v>
      </c>
      <c r="E41" s="348"/>
      <c r="F41" s="362" t="e">
        <v>#VALUE!</v>
      </c>
      <c r="G41" s="363" t="e">
        <v>#VALUE!</v>
      </c>
      <c r="H41" s="363" t="e">
        <v>#VALUE!</v>
      </c>
      <c r="I41" s="363" t="e">
        <v>#VALUE!</v>
      </c>
      <c r="J41" s="363" t="e">
        <v>#VALUE!</v>
      </c>
      <c r="K41" s="363" t="e">
        <v>#VALUE!</v>
      </c>
      <c r="L41" s="363" t="e">
        <v>#VALUE!</v>
      </c>
      <c r="M41" s="364" t="e">
        <v>#VALUE!</v>
      </c>
      <c r="O41" s="365" t="s">
        <v>258</v>
      </c>
      <c r="W41" s="322"/>
      <c r="X41" s="322"/>
      <c r="Y41" s="322"/>
      <c r="Z41" s="322"/>
      <c r="AA41" s="322"/>
    </row>
    <row r="42" spans="2:27" hidden="1" outlineLevel="1" x14ac:dyDescent="0.25">
      <c r="B42" s="361"/>
      <c r="D42" s="323" t="s">
        <v>258</v>
      </c>
      <c r="E42" s="348"/>
      <c r="F42" s="362" t="e">
        <v>#VALUE!</v>
      </c>
      <c r="G42" s="363" t="e">
        <v>#VALUE!</v>
      </c>
      <c r="H42" s="363" t="e">
        <v>#VALUE!</v>
      </c>
      <c r="I42" s="363" t="e">
        <v>#VALUE!</v>
      </c>
      <c r="J42" s="363" t="e">
        <v>#VALUE!</v>
      </c>
      <c r="K42" s="363" t="e">
        <v>#VALUE!</v>
      </c>
      <c r="L42" s="363" t="e">
        <v>#VALUE!</v>
      </c>
      <c r="M42" s="364" t="e">
        <v>#VALUE!</v>
      </c>
      <c r="O42" s="365" t="s">
        <v>258</v>
      </c>
      <c r="W42" s="322"/>
      <c r="X42" s="322"/>
      <c r="Y42" s="322"/>
      <c r="Z42" s="322"/>
      <c r="AA42" s="322"/>
    </row>
    <row r="43" spans="2:27" hidden="1" outlineLevel="1" x14ac:dyDescent="0.25">
      <c r="B43" s="361"/>
      <c r="D43" s="323" t="s">
        <v>258</v>
      </c>
      <c r="E43" s="348"/>
      <c r="F43" s="362" t="e">
        <v>#VALUE!</v>
      </c>
      <c r="G43" s="363" t="e">
        <v>#VALUE!</v>
      </c>
      <c r="H43" s="363" t="e">
        <v>#VALUE!</v>
      </c>
      <c r="I43" s="363" t="e">
        <v>#VALUE!</v>
      </c>
      <c r="J43" s="363" t="e">
        <v>#VALUE!</v>
      </c>
      <c r="K43" s="363" t="e">
        <v>#VALUE!</v>
      </c>
      <c r="L43" s="363" t="e">
        <v>#VALUE!</v>
      </c>
      <c r="M43" s="364" t="e">
        <v>#VALUE!</v>
      </c>
      <c r="O43" s="365" t="s">
        <v>258</v>
      </c>
      <c r="W43" s="322"/>
      <c r="X43" s="322"/>
      <c r="Y43" s="322"/>
      <c r="Z43" s="322"/>
      <c r="AA43" s="322"/>
    </row>
    <row r="44" spans="2:27" hidden="1" outlineLevel="1" x14ac:dyDescent="0.25">
      <c r="B44" s="361"/>
      <c r="D44" s="323" t="s">
        <v>258</v>
      </c>
      <c r="E44" s="348"/>
      <c r="F44" s="362" t="e">
        <v>#VALUE!</v>
      </c>
      <c r="G44" s="363" t="e">
        <v>#VALUE!</v>
      </c>
      <c r="H44" s="363" t="e">
        <v>#VALUE!</v>
      </c>
      <c r="I44" s="363" t="e">
        <v>#VALUE!</v>
      </c>
      <c r="J44" s="363" t="e">
        <v>#VALUE!</v>
      </c>
      <c r="K44" s="363" t="e">
        <v>#VALUE!</v>
      </c>
      <c r="L44" s="363" t="e">
        <v>#VALUE!</v>
      </c>
      <c r="M44" s="364" t="e">
        <v>#VALUE!</v>
      </c>
      <c r="O44" s="365" t="s">
        <v>258</v>
      </c>
      <c r="W44" s="322"/>
      <c r="X44" s="322"/>
      <c r="Y44" s="322"/>
      <c r="Z44" s="322"/>
      <c r="AA44" s="322"/>
    </row>
    <row r="45" spans="2:27" hidden="1" outlineLevel="1" x14ac:dyDescent="0.25">
      <c r="B45" s="361"/>
      <c r="D45" s="323" t="s">
        <v>258</v>
      </c>
      <c r="E45" s="348"/>
      <c r="F45" s="362" t="e">
        <v>#VALUE!</v>
      </c>
      <c r="G45" s="363" t="e">
        <v>#VALUE!</v>
      </c>
      <c r="H45" s="363" t="e">
        <v>#VALUE!</v>
      </c>
      <c r="I45" s="363" t="e">
        <v>#VALUE!</v>
      </c>
      <c r="J45" s="363" t="e">
        <v>#VALUE!</v>
      </c>
      <c r="K45" s="363" t="e">
        <v>#VALUE!</v>
      </c>
      <c r="L45" s="363" t="e">
        <v>#VALUE!</v>
      </c>
      <c r="M45" s="364" t="e">
        <v>#VALUE!</v>
      </c>
      <c r="O45" s="365" t="s">
        <v>258</v>
      </c>
      <c r="W45" s="322"/>
      <c r="X45" s="322"/>
      <c r="Y45" s="322"/>
      <c r="Z45" s="322"/>
      <c r="AA45" s="322"/>
    </row>
    <row r="46" spans="2:27" hidden="1" outlineLevel="1" x14ac:dyDescent="0.25">
      <c r="B46" s="361"/>
      <c r="D46" s="323" t="s">
        <v>258</v>
      </c>
      <c r="E46" s="348"/>
      <c r="F46" s="362" t="e">
        <v>#VALUE!</v>
      </c>
      <c r="G46" s="363" t="e">
        <v>#VALUE!</v>
      </c>
      <c r="H46" s="363" t="e">
        <v>#VALUE!</v>
      </c>
      <c r="I46" s="363" t="e">
        <v>#VALUE!</v>
      </c>
      <c r="J46" s="363" t="e">
        <v>#VALUE!</v>
      </c>
      <c r="K46" s="363" t="e">
        <v>#VALUE!</v>
      </c>
      <c r="L46" s="363" t="e">
        <v>#VALUE!</v>
      </c>
      <c r="M46" s="364" t="e">
        <v>#VALUE!</v>
      </c>
      <c r="O46" s="365" t="s">
        <v>258</v>
      </c>
      <c r="W46" s="322"/>
      <c r="X46" s="322"/>
      <c r="Y46" s="322"/>
      <c r="Z46" s="322"/>
      <c r="AA46" s="322"/>
    </row>
    <row r="47" spans="2:27" hidden="1" outlineLevel="1" x14ac:dyDescent="0.25">
      <c r="B47" s="361"/>
      <c r="D47" s="324" t="s">
        <v>258</v>
      </c>
      <c r="E47" s="348"/>
      <c r="F47" s="367" t="e">
        <v>#VALUE!</v>
      </c>
      <c r="G47" s="368" t="e">
        <v>#VALUE!</v>
      </c>
      <c r="H47" s="368" t="e">
        <v>#VALUE!</v>
      </c>
      <c r="I47" s="368" t="e">
        <v>#VALUE!</v>
      </c>
      <c r="J47" s="368" t="e">
        <v>#VALUE!</v>
      </c>
      <c r="K47" s="368" t="e">
        <v>#VALUE!</v>
      </c>
      <c r="L47" s="368" t="e">
        <v>#VALUE!</v>
      </c>
      <c r="M47" s="369" t="e">
        <v>#VALUE!</v>
      </c>
      <c r="O47" s="365" t="s">
        <v>258</v>
      </c>
      <c r="W47" s="322"/>
      <c r="X47" s="322"/>
      <c r="Y47" s="322"/>
      <c r="Z47" s="322"/>
      <c r="AA47" s="322"/>
    </row>
    <row r="48" spans="2:27" collapsed="1" x14ac:dyDescent="0.25">
      <c r="D48" s="383"/>
      <c r="F48" s="384"/>
      <c r="G48" s="384"/>
      <c r="H48" s="384"/>
      <c r="I48" s="384"/>
      <c r="J48" s="384"/>
      <c r="K48" s="384"/>
      <c r="L48" s="384"/>
      <c r="M48" s="384"/>
    </row>
    <row r="49" spans="1:13" x14ac:dyDescent="0.25">
      <c r="A49" s="346" t="s">
        <v>135</v>
      </c>
      <c r="F49" s="366"/>
      <c r="G49" s="366"/>
      <c r="H49" s="366"/>
      <c r="I49" s="366"/>
      <c r="J49" s="366"/>
      <c r="K49" s="366"/>
      <c r="L49" s="366"/>
      <c r="M49" s="366"/>
    </row>
    <row r="50" spans="1:13" x14ac:dyDescent="0.25">
      <c r="F50" s="366"/>
      <c r="G50" s="366"/>
      <c r="H50" s="366"/>
      <c r="I50" s="366"/>
      <c r="J50" s="366"/>
      <c r="K50" s="366"/>
      <c r="L50" s="366"/>
      <c r="M50" s="366"/>
    </row>
    <row r="51" spans="1:13" x14ac:dyDescent="0.25">
      <c r="D51" s="408" t="s">
        <v>244</v>
      </c>
      <c r="E51" s="348"/>
      <c r="F51" s="370" t="s">
        <v>245</v>
      </c>
      <c r="G51" s="371" t="s">
        <v>246</v>
      </c>
      <c r="H51" s="371" t="s">
        <v>247</v>
      </c>
      <c r="I51" s="371" t="s">
        <v>248</v>
      </c>
      <c r="J51" s="371" t="s">
        <v>249</v>
      </c>
      <c r="K51" s="371" t="s">
        <v>250</v>
      </c>
      <c r="L51" s="371" t="s">
        <v>251</v>
      </c>
      <c r="M51" s="372" t="s">
        <v>252</v>
      </c>
    </row>
    <row r="52" spans="1:13" ht="15.75" customHeight="1" x14ac:dyDescent="0.25">
      <c r="D52" s="409"/>
      <c r="E52" s="348"/>
      <c r="F52" s="373">
        <v>43100</v>
      </c>
      <c r="G52" s="374">
        <v>42735</v>
      </c>
      <c r="H52" s="374">
        <v>42369</v>
      </c>
      <c r="I52" s="374">
        <v>42004</v>
      </c>
      <c r="J52" s="374">
        <v>41639</v>
      </c>
      <c r="K52" s="374">
        <v>41274</v>
      </c>
      <c r="L52" s="374">
        <v>40908</v>
      </c>
      <c r="M52" s="375">
        <v>40543</v>
      </c>
    </row>
    <row r="53" spans="1:13" x14ac:dyDescent="0.25">
      <c r="C53" s="346">
        <v>1</v>
      </c>
      <c r="D53" s="321" t="s">
        <v>254</v>
      </c>
      <c r="E53" s="348"/>
      <c r="F53" s="376">
        <v>0.37049945727814049</v>
      </c>
      <c r="G53" s="377">
        <v>0.28856512088536501</v>
      </c>
      <c r="H53" s="377">
        <v>0.27894032343971775</v>
      </c>
      <c r="I53" s="377">
        <v>0.27391410956093221</v>
      </c>
      <c r="J53" s="377">
        <v>0.2600277213968939</v>
      </c>
      <c r="K53" s="377">
        <v>0.2506747364797467</v>
      </c>
      <c r="L53" s="377">
        <v>0.24657081702875525</v>
      </c>
      <c r="M53" s="378">
        <v>0.25442969787753139</v>
      </c>
    </row>
    <row r="54" spans="1:13" x14ac:dyDescent="0.25">
      <c r="C54" s="346">
        <v>2</v>
      </c>
      <c r="D54" s="323" t="s">
        <v>266</v>
      </c>
      <c r="E54" s="348"/>
      <c r="F54" s="362">
        <v>0.3288738213084566</v>
      </c>
      <c r="G54" s="363">
        <v>0.26144451973052713</v>
      </c>
      <c r="H54" s="363">
        <v>0.2554441388710581</v>
      </c>
      <c r="I54" s="363">
        <v>0.25314608513358555</v>
      </c>
      <c r="J54" s="363">
        <v>0.24063986816606325</v>
      </c>
      <c r="K54" s="363">
        <v>0.23456371438665938</v>
      </c>
      <c r="L54" s="363">
        <v>0.23122388370283908</v>
      </c>
      <c r="M54" s="364">
        <v>0.23526423934505575</v>
      </c>
    </row>
    <row r="55" spans="1:13" x14ac:dyDescent="0.25">
      <c r="C55" s="346">
        <v>3</v>
      </c>
      <c r="D55" s="323" t="s">
        <v>255</v>
      </c>
      <c r="E55" s="348"/>
      <c r="F55" s="362">
        <v>0.30365987198958466</v>
      </c>
      <c r="G55" s="363">
        <v>0.30047832513311512</v>
      </c>
      <c r="H55" s="363">
        <v>0.27417917042017009</v>
      </c>
      <c r="I55" s="363">
        <v>0.249978823765203</v>
      </c>
      <c r="J55" s="363">
        <v>0.23373755616110109</v>
      </c>
      <c r="K55" s="363">
        <v>0.23438849177301008</v>
      </c>
      <c r="L55" s="363">
        <v>0.22895129589493876</v>
      </c>
      <c r="M55" s="364">
        <v>0.23666737527064524</v>
      </c>
    </row>
    <row r="56" spans="1:13" x14ac:dyDescent="0.25">
      <c r="C56" s="346">
        <v>4</v>
      </c>
      <c r="D56" s="323" t="s">
        <v>267</v>
      </c>
      <c r="E56" s="348"/>
      <c r="F56" s="362">
        <v>0.15034732733466866</v>
      </c>
      <c r="G56" s="363">
        <v>0.29706003745331494</v>
      </c>
      <c r="H56" s="363">
        <v>0.34570694848989109</v>
      </c>
      <c r="I56" s="363">
        <v>0.34394192365762433</v>
      </c>
      <c r="J56" s="363">
        <v>0.34592277457394588</v>
      </c>
      <c r="K56" s="363">
        <v>0.34378063081554788</v>
      </c>
      <c r="L56" s="363">
        <v>0.35337433996918016</v>
      </c>
      <c r="M56" s="364">
        <v>0.36959175946338146</v>
      </c>
    </row>
    <row r="57" spans="1:13" x14ac:dyDescent="0.25">
      <c r="C57" s="346">
        <v>5</v>
      </c>
      <c r="D57" s="323" t="s">
        <v>256</v>
      </c>
      <c r="E57" s="348"/>
      <c r="F57" s="362">
        <v>0.50552024995048173</v>
      </c>
      <c r="G57" s="363">
        <v>0.49317678642885571</v>
      </c>
      <c r="H57" s="363">
        <v>0.48823549668578248</v>
      </c>
      <c r="I57" s="363">
        <v>0.48823549668578248</v>
      </c>
      <c r="J57" s="363">
        <v>0.48823549668578248</v>
      </c>
      <c r="K57" s="363">
        <v>0.48823549668578248</v>
      </c>
      <c r="L57" s="363">
        <v>0.48823549668578248</v>
      </c>
      <c r="M57" s="364">
        <v>0.48823549668578248</v>
      </c>
    </row>
    <row r="58" spans="1:13" x14ac:dyDescent="0.25">
      <c r="C58" s="346">
        <v>6</v>
      </c>
      <c r="D58" s="323" t="s">
        <v>258</v>
      </c>
      <c r="E58" s="348"/>
      <c r="F58" s="362" t="e">
        <v>#VALUE!</v>
      </c>
      <c r="G58" s="363" t="e">
        <v>#VALUE!</v>
      </c>
      <c r="H58" s="363" t="e">
        <v>#VALUE!</v>
      </c>
      <c r="I58" s="363" t="e">
        <v>#VALUE!</v>
      </c>
      <c r="J58" s="363" t="e">
        <v>#VALUE!</v>
      </c>
      <c r="K58" s="363" t="e">
        <v>#VALUE!</v>
      </c>
      <c r="L58" s="363" t="e">
        <v>#VALUE!</v>
      </c>
      <c r="M58" s="364" t="e">
        <v>#VALUE!</v>
      </c>
    </row>
    <row r="59" spans="1:13" x14ac:dyDescent="0.25">
      <c r="C59" s="346">
        <v>7</v>
      </c>
      <c r="D59" s="323" t="s">
        <v>258</v>
      </c>
      <c r="E59" s="348"/>
      <c r="F59" s="362" t="e">
        <v>#VALUE!</v>
      </c>
      <c r="G59" s="363" t="e">
        <v>#VALUE!</v>
      </c>
      <c r="H59" s="363" t="e">
        <v>#VALUE!</v>
      </c>
      <c r="I59" s="363" t="e">
        <v>#VALUE!</v>
      </c>
      <c r="J59" s="363" t="e">
        <v>#VALUE!</v>
      </c>
      <c r="K59" s="363" t="e">
        <v>#VALUE!</v>
      </c>
      <c r="L59" s="363" t="e">
        <v>#VALUE!</v>
      </c>
      <c r="M59" s="364" t="e">
        <v>#VALUE!</v>
      </c>
    </row>
    <row r="60" spans="1:13" x14ac:dyDescent="0.25">
      <c r="C60" s="346">
        <v>8</v>
      </c>
      <c r="D60" s="323" t="s">
        <v>258</v>
      </c>
      <c r="E60" s="348"/>
      <c r="F60" s="362" t="e">
        <v>#VALUE!</v>
      </c>
      <c r="G60" s="363" t="e">
        <v>#VALUE!</v>
      </c>
      <c r="H60" s="363" t="e">
        <v>#VALUE!</v>
      </c>
      <c r="I60" s="363" t="e">
        <v>#VALUE!</v>
      </c>
      <c r="J60" s="363" t="e">
        <v>#VALUE!</v>
      </c>
      <c r="K60" s="363" t="e">
        <v>#VALUE!</v>
      </c>
      <c r="L60" s="363" t="e">
        <v>#VALUE!</v>
      </c>
      <c r="M60" s="364" t="e">
        <v>#VALUE!</v>
      </c>
    </row>
    <row r="61" spans="1:13" x14ac:dyDescent="0.25">
      <c r="C61" s="346">
        <v>9</v>
      </c>
      <c r="D61" s="323" t="s">
        <v>258</v>
      </c>
      <c r="E61" s="348"/>
      <c r="F61" s="362" t="e">
        <v>#VALUE!</v>
      </c>
      <c r="G61" s="363" t="e">
        <v>#VALUE!</v>
      </c>
      <c r="H61" s="363" t="e">
        <v>#VALUE!</v>
      </c>
      <c r="I61" s="363" t="e">
        <v>#VALUE!</v>
      </c>
      <c r="J61" s="363" t="e">
        <v>#VALUE!</v>
      </c>
      <c r="K61" s="363" t="e">
        <v>#VALUE!</v>
      </c>
      <c r="L61" s="363" t="e">
        <v>#VALUE!</v>
      </c>
      <c r="M61" s="364" t="e">
        <v>#VALUE!</v>
      </c>
    </row>
    <row r="62" spans="1:13" x14ac:dyDescent="0.25">
      <c r="C62" s="346">
        <v>10</v>
      </c>
      <c r="D62" s="323" t="s">
        <v>258</v>
      </c>
      <c r="E62" s="348"/>
      <c r="F62" s="362" t="e">
        <v>#VALUE!</v>
      </c>
      <c r="G62" s="363" t="e">
        <v>#VALUE!</v>
      </c>
      <c r="H62" s="363" t="e">
        <v>#VALUE!</v>
      </c>
      <c r="I62" s="363" t="e">
        <v>#VALUE!</v>
      </c>
      <c r="J62" s="363" t="e">
        <v>#VALUE!</v>
      </c>
      <c r="K62" s="363" t="e">
        <v>#VALUE!</v>
      </c>
      <c r="L62" s="363" t="e">
        <v>#VALUE!</v>
      </c>
      <c r="M62" s="364" t="e">
        <v>#VALUE!</v>
      </c>
    </row>
    <row r="63" spans="1:13" x14ac:dyDescent="0.25">
      <c r="C63" s="346">
        <v>11</v>
      </c>
      <c r="D63" s="323" t="s">
        <v>258</v>
      </c>
      <c r="E63" s="348"/>
      <c r="F63" s="362" t="e">
        <v>#VALUE!</v>
      </c>
      <c r="G63" s="363" t="e">
        <v>#VALUE!</v>
      </c>
      <c r="H63" s="363" t="e">
        <v>#VALUE!</v>
      </c>
      <c r="I63" s="363" t="e">
        <v>#VALUE!</v>
      </c>
      <c r="J63" s="363" t="e">
        <v>#VALUE!</v>
      </c>
      <c r="K63" s="363" t="e">
        <v>#VALUE!</v>
      </c>
      <c r="L63" s="363" t="e">
        <v>#VALUE!</v>
      </c>
      <c r="M63" s="364" t="e">
        <v>#VALUE!</v>
      </c>
    </row>
    <row r="64" spans="1:13" x14ac:dyDescent="0.25">
      <c r="C64" s="346">
        <v>12</v>
      </c>
      <c r="D64" s="323" t="s">
        <v>258</v>
      </c>
      <c r="E64" s="348"/>
      <c r="F64" s="362" t="e">
        <v>#VALUE!</v>
      </c>
      <c r="G64" s="363" t="e">
        <v>#VALUE!</v>
      </c>
      <c r="H64" s="363" t="e">
        <v>#VALUE!</v>
      </c>
      <c r="I64" s="363" t="e">
        <v>#VALUE!</v>
      </c>
      <c r="J64" s="363" t="e">
        <v>#VALUE!</v>
      </c>
      <c r="K64" s="363" t="e">
        <v>#VALUE!</v>
      </c>
      <c r="L64" s="363" t="e">
        <v>#VALUE!</v>
      </c>
      <c r="M64" s="364" t="e">
        <v>#VALUE!</v>
      </c>
    </row>
    <row r="65" spans="3:13" x14ac:dyDescent="0.25">
      <c r="C65" s="346">
        <v>13</v>
      </c>
      <c r="D65" s="323" t="s">
        <v>258</v>
      </c>
      <c r="E65" s="348"/>
      <c r="F65" s="362" t="e">
        <v>#VALUE!</v>
      </c>
      <c r="G65" s="363" t="e">
        <v>#VALUE!</v>
      </c>
      <c r="H65" s="363" t="e">
        <v>#VALUE!</v>
      </c>
      <c r="I65" s="363" t="e">
        <v>#VALUE!</v>
      </c>
      <c r="J65" s="363" t="e">
        <v>#VALUE!</v>
      </c>
      <c r="K65" s="363" t="e">
        <v>#VALUE!</v>
      </c>
      <c r="L65" s="363" t="e">
        <v>#VALUE!</v>
      </c>
      <c r="M65" s="364" t="e">
        <v>#VALUE!</v>
      </c>
    </row>
    <row r="66" spans="3:13" x14ac:dyDescent="0.25">
      <c r="C66" s="346">
        <v>14</v>
      </c>
      <c r="D66" s="323" t="s">
        <v>258</v>
      </c>
      <c r="E66" s="348"/>
      <c r="F66" s="362" t="e">
        <v>#VALUE!</v>
      </c>
      <c r="G66" s="363" t="e">
        <v>#VALUE!</v>
      </c>
      <c r="H66" s="363" t="e">
        <v>#VALUE!</v>
      </c>
      <c r="I66" s="363" t="e">
        <v>#VALUE!</v>
      </c>
      <c r="J66" s="363" t="e">
        <v>#VALUE!</v>
      </c>
      <c r="K66" s="363" t="e">
        <v>#VALUE!</v>
      </c>
      <c r="L66" s="363" t="e">
        <v>#VALUE!</v>
      </c>
      <c r="M66" s="364" t="e">
        <v>#VALUE!</v>
      </c>
    </row>
    <row r="67" spans="3:13" x14ac:dyDescent="0.25">
      <c r="C67" s="346">
        <v>15</v>
      </c>
      <c r="D67" s="323" t="s">
        <v>258</v>
      </c>
      <c r="E67" s="348"/>
      <c r="F67" s="362" t="e">
        <v>#VALUE!</v>
      </c>
      <c r="G67" s="363" t="e">
        <v>#VALUE!</v>
      </c>
      <c r="H67" s="363" t="e">
        <v>#VALUE!</v>
      </c>
      <c r="I67" s="363" t="e">
        <v>#VALUE!</v>
      </c>
      <c r="J67" s="363" t="e">
        <v>#VALUE!</v>
      </c>
      <c r="K67" s="363" t="e">
        <v>#VALUE!</v>
      </c>
      <c r="L67" s="363" t="e">
        <v>#VALUE!</v>
      </c>
      <c r="M67" s="364" t="e">
        <v>#VALUE!</v>
      </c>
    </row>
    <row r="68" spans="3:13" x14ac:dyDescent="0.25">
      <c r="C68" s="346">
        <v>16</v>
      </c>
      <c r="D68" s="323" t="s">
        <v>258</v>
      </c>
      <c r="E68" s="348"/>
      <c r="F68" s="362" t="e">
        <v>#VALUE!</v>
      </c>
      <c r="G68" s="363" t="e">
        <v>#VALUE!</v>
      </c>
      <c r="H68" s="363" t="e">
        <v>#VALUE!</v>
      </c>
      <c r="I68" s="363" t="e">
        <v>#VALUE!</v>
      </c>
      <c r="J68" s="363" t="e">
        <v>#VALUE!</v>
      </c>
      <c r="K68" s="363" t="e">
        <v>#VALUE!</v>
      </c>
      <c r="L68" s="363" t="e">
        <v>#VALUE!</v>
      </c>
      <c r="M68" s="364" t="e">
        <v>#VALUE!</v>
      </c>
    </row>
    <row r="69" spans="3:13" x14ac:dyDescent="0.25">
      <c r="C69" s="346">
        <v>17</v>
      </c>
      <c r="D69" s="323" t="s">
        <v>258</v>
      </c>
      <c r="E69" s="348"/>
      <c r="F69" s="362" t="e">
        <v>#VALUE!</v>
      </c>
      <c r="G69" s="363" t="e">
        <v>#VALUE!</v>
      </c>
      <c r="H69" s="363" t="e">
        <v>#VALUE!</v>
      </c>
      <c r="I69" s="363" t="e">
        <v>#VALUE!</v>
      </c>
      <c r="J69" s="363" t="e">
        <v>#VALUE!</v>
      </c>
      <c r="K69" s="363" t="e">
        <v>#VALUE!</v>
      </c>
      <c r="L69" s="363" t="e">
        <v>#VALUE!</v>
      </c>
      <c r="M69" s="364" t="e">
        <v>#VALUE!</v>
      </c>
    </row>
    <row r="70" spans="3:13" x14ac:dyDescent="0.25">
      <c r="C70" s="346">
        <v>18</v>
      </c>
      <c r="D70" s="323" t="s">
        <v>258</v>
      </c>
      <c r="E70" s="348"/>
      <c r="F70" s="362" t="e">
        <v>#VALUE!</v>
      </c>
      <c r="G70" s="363" t="e">
        <v>#VALUE!</v>
      </c>
      <c r="H70" s="363" t="e">
        <v>#VALUE!</v>
      </c>
      <c r="I70" s="363" t="e">
        <v>#VALUE!</v>
      </c>
      <c r="J70" s="363" t="e">
        <v>#VALUE!</v>
      </c>
      <c r="K70" s="363" t="e">
        <v>#VALUE!</v>
      </c>
      <c r="L70" s="363" t="e">
        <v>#VALUE!</v>
      </c>
      <c r="M70" s="364" t="e">
        <v>#VALUE!</v>
      </c>
    </row>
    <row r="71" spans="3:13" x14ac:dyDescent="0.25">
      <c r="C71" s="346">
        <v>19</v>
      </c>
      <c r="D71" s="323" t="s">
        <v>258</v>
      </c>
      <c r="E71" s="348"/>
      <c r="F71" s="362" t="e">
        <v>#VALUE!</v>
      </c>
      <c r="G71" s="363" t="e">
        <v>#VALUE!</v>
      </c>
      <c r="H71" s="363" t="e">
        <v>#VALUE!</v>
      </c>
      <c r="I71" s="363" t="e">
        <v>#VALUE!</v>
      </c>
      <c r="J71" s="363" t="e">
        <v>#VALUE!</v>
      </c>
      <c r="K71" s="363" t="e">
        <v>#VALUE!</v>
      </c>
      <c r="L71" s="363" t="e">
        <v>#VALUE!</v>
      </c>
      <c r="M71" s="364" t="e">
        <v>#VALUE!</v>
      </c>
    </row>
    <row r="72" spans="3:13" x14ac:dyDescent="0.25">
      <c r="C72" s="346">
        <v>20</v>
      </c>
      <c r="D72" s="323" t="s">
        <v>258</v>
      </c>
      <c r="E72" s="348"/>
      <c r="F72" s="362" t="e">
        <v>#VALUE!</v>
      </c>
      <c r="G72" s="363" t="e">
        <v>#VALUE!</v>
      </c>
      <c r="H72" s="363" t="e">
        <v>#VALUE!</v>
      </c>
      <c r="I72" s="363" t="e">
        <v>#VALUE!</v>
      </c>
      <c r="J72" s="363" t="e">
        <v>#VALUE!</v>
      </c>
      <c r="K72" s="363" t="e">
        <v>#VALUE!</v>
      </c>
      <c r="L72" s="363" t="e">
        <v>#VALUE!</v>
      </c>
      <c r="M72" s="364" t="e">
        <v>#VALUE!</v>
      </c>
    </row>
    <row r="73" spans="3:13" x14ac:dyDescent="0.25">
      <c r="C73" s="346">
        <v>21</v>
      </c>
      <c r="D73" s="323" t="s">
        <v>258</v>
      </c>
      <c r="E73" s="348"/>
      <c r="F73" s="362" t="e">
        <v>#VALUE!</v>
      </c>
      <c r="G73" s="363" t="e">
        <v>#VALUE!</v>
      </c>
      <c r="H73" s="363" t="e">
        <v>#VALUE!</v>
      </c>
      <c r="I73" s="363" t="e">
        <v>#VALUE!</v>
      </c>
      <c r="J73" s="363" t="e">
        <v>#VALUE!</v>
      </c>
      <c r="K73" s="363" t="e">
        <v>#VALUE!</v>
      </c>
      <c r="L73" s="363" t="e">
        <v>#VALUE!</v>
      </c>
      <c r="M73" s="364" t="e">
        <v>#VALUE!</v>
      </c>
    </row>
    <row r="74" spans="3:13" x14ac:dyDescent="0.25">
      <c r="C74" s="346">
        <v>22</v>
      </c>
      <c r="D74" s="323" t="s">
        <v>258</v>
      </c>
      <c r="E74" s="348"/>
      <c r="F74" s="362" t="e">
        <v>#VALUE!</v>
      </c>
      <c r="G74" s="363" t="e">
        <v>#VALUE!</v>
      </c>
      <c r="H74" s="363" t="e">
        <v>#VALUE!</v>
      </c>
      <c r="I74" s="363" t="e">
        <v>#VALUE!</v>
      </c>
      <c r="J74" s="363" t="e">
        <v>#VALUE!</v>
      </c>
      <c r="K74" s="363" t="e">
        <v>#VALUE!</v>
      </c>
      <c r="L74" s="363" t="e">
        <v>#VALUE!</v>
      </c>
      <c r="M74" s="364" t="e">
        <v>#VALUE!</v>
      </c>
    </row>
    <row r="75" spans="3:13" x14ac:dyDescent="0.25">
      <c r="C75" s="346">
        <v>23</v>
      </c>
      <c r="D75" s="323" t="s">
        <v>258</v>
      </c>
      <c r="E75" s="348"/>
      <c r="F75" s="362" t="e">
        <v>#VALUE!</v>
      </c>
      <c r="G75" s="363" t="e">
        <v>#VALUE!</v>
      </c>
      <c r="H75" s="363" t="e">
        <v>#VALUE!</v>
      </c>
      <c r="I75" s="363" t="e">
        <v>#VALUE!</v>
      </c>
      <c r="J75" s="363" t="e">
        <v>#VALUE!</v>
      </c>
      <c r="K75" s="363" t="e">
        <v>#VALUE!</v>
      </c>
      <c r="L75" s="363" t="e">
        <v>#VALUE!</v>
      </c>
      <c r="M75" s="364" t="e">
        <v>#VALUE!</v>
      </c>
    </row>
    <row r="76" spans="3:13" x14ac:dyDescent="0.25">
      <c r="C76" s="346">
        <v>24</v>
      </c>
      <c r="D76" s="323" t="s">
        <v>258</v>
      </c>
      <c r="E76" s="348"/>
      <c r="F76" s="362" t="e">
        <v>#VALUE!</v>
      </c>
      <c r="G76" s="363" t="e">
        <v>#VALUE!</v>
      </c>
      <c r="H76" s="363" t="e">
        <v>#VALUE!</v>
      </c>
      <c r="I76" s="363" t="e">
        <v>#VALUE!</v>
      </c>
      <c r="J76" s="363" t="e">
        <v>#VALUE!</v>
      </c>
      <c r="K76" s="363" t="e">
        <v>#VALUE!</v>
      </c>
      <c r="L76" s="363" t="e">
        <v>#VALUE!</v>
      </c>
      <c r="M76" s="364" t="e">
        <v>#VALUE!</v>
      </c>
    </row>
    <row r="77" spans="3:13" x14ac:dyDescent="0.25">
      <c r="C77" s="346">
        <v>25</v>
      </c>
      <c r="D77" s="323" t="s">
        <v>258</v>
      </c>
      <c r="E77" s="348"/>
      <c r="F77" s="362" t="e">
        <v>#VALUE!</v>
      </c>
      <c r="G77" s="363" t="e">
        <v>#VALUE!</v>
      </c>
      <c r="H77" s="363" t="e">
        <v>#VALUE!</v>
      </c>
      <c r="I77" s="363" t="e">
        <v>#VALUE!</v>
      </c>
      <c r="J77" s="363" t="e">
        <v>#VALUE!</v>
      </c>
      <c r="K77" s="363" t="e">
        <v>#VALUE!</v>
      </c>
      <c r="L77" s="363" t="e">
        <v>#VALUE!</v>
      </c>
      <c r="M77" s="364" t="e">
        <v>#VALUE!</v>
      </c>
    </row>
    <row r="78" spans="3:13" x14ac:dyDescent="0.25">
      <c r="C78" s="346">
        <v>26</v>
      </c>
      <c r="D78" s="323" t="s">
        <v>258</v>
      </c>
      <c r="E78" s="348"/>
      <c r="F78" s="362" t="e">
        <v>#VALUE!</v>
      </c>
      <c r="G78" s="363" t="e">
        <v>#VALUE!</v>
      </c>
      <c r="H78" s="363" t="e">
        <v>#VALUE!</v>
      </c>
      <c r="I78" s="363" t="e">
        <v>#VALUE!</v>
      </c>
      <c r="J78" s="363" t="e">
        <v>#VALUE!</v>
      </c>
      <c r="K78" s="363" t="e">
        <v>#VALUE!</v>
      </c>
      <c r="L78" s="363" t="e">
        <v>#VALUE!</v>
      </c>
      <c r="M78" s="364" t="e">
        <v>#VALUE!</v>
      </c>
    </row>
    <row r="79" spans="3:13" x14ac:dyDescent="0.25">
      <c r="C79" s="346">
        <v>27</v>
      </c>
      <c r="D79" s="323" t="s">
        <v>258</v>
      </c>
      <c r="E79" s="348"/>
      <c r="F79" s="362" t="e">
        <v>#VALUE!</v>
      </c>
      <c r="G79" s="363" t="e">
        <v>#VALUE!</v>
      </c>
      <c r="H79" s="363" t="e">
        <v>#VALUE!</v>
      </c>
      <c r="I79" s="363" t="e">
        <v>#VALUE!</v>
      </c>
      <c r="J79" s="363" t="e">
        <v>#VALUE!</v>
      </c>
      <c r="K79" s="363" t="e">
        <v>#VALUE!</v>
      </c>
      <c r="L79" s="363" t="e">
        <v>#VALUE!</v>
      </c>
      <c r="M79" s="364" t="e">
        <v>#VALUE!</v>
      </c>
    </row>
    <row r="80" spans="3:13" x14ac:dyDescent="0.25">
      <c r="C80" s="346">
        <v>28</v>
      </c>
      <c r="D80" s="323" t="s">
        <v>258</v>
      </c>
      <c r="E80" s="348"/>
      <c r="F80" s="362" t="e">
        <v>#VALUE!</v>
      </c>
      <c r="G80" s="363" t="e">
        <v>#VALUE!</v>
      </c>
      <c r="H80" s="363" t="e">
        <v>#VALUE!</v>
      </c>
      <c r="I80" s="363" t="e">
        <v>#VALUE!</v>
      </c>
      <c r="J80" s="363" t="e">
        <v>#VALUE!</v>
      </c>
      <c r="K80" s="363" t="e">
        <v>#VALUE!</v>
      </c>
      <c r="L80" s="363" t="e">
        <v>#VALUE!</v>
      </c>
      <c r="M80" s="364" t="e">
        <v>#VALUE!</v>
      </c>
    </row>
    <row r="81" spans="3:13" x14ac:dyDescent="0.25">
      <c r="C81" s="346">
        <v>29</v>
      </c>
      <c r="D81" s="323" t="s">
        <v>258</v>
      </c>
      <c r="E81" s="348"/>
      <c r="F81" s="362" t="e">
        <v>#VALUE!</v>
      </c>
      <c r="G81" s="363" t="e">
        <v>#VALUE!</v>
      </c>
      <c r="H81" s="363" t="e">
        <v>#VALUE!</v>
      </c>
      <c r="I81" s="363" t="e">
        <v>#VALUE!</v>
      </c>
      <c r="J81" s="363" t="e">
        <v>#VALUE!</v>
      </c>
      <c r="K81" s="363" t="e">
        <v>#VALUE!</v>
      </c>
      <c r="L81" s="363" t="e">
        <v>#VALUE!</v>
      </c>
      <c r="M81" s="364" t="e">
        <v>#VALUE!</v>
      </c>
    </row>
    <row r="82" spans="3:13" x14ac:dyDescent="0.25">
      <c r="C82" s="346">
        <v>30</v>
      </c>
      <c r="D82" s="323" t="s">
        <v>258</v>
      </c>
      <c r="E82" s="348"/>
      <c r="F82" s="362" t="e">
        <v>#VALUE!</v>
      </c>
      <c r="G82" s="363" t="e">
        <v>#VALUE!</v>
      </c>
      <c r="H82" s="363" t="e">
        <v>#VALUE!</v>
      </c>
      <c r="I82" s="363" t="e">
        <v>#VALUE!</v>
      </c>
      <c r="J82" s="363" t="e">
        <v>#VALUE!</v>
      </c>
      <c r="K82" s="363" t="e">
        <v>#VALUE!</v>
      </c>
      <c r="L82" s="363" t="e">
        <v>#VALUE!</v>
      </c>
      <c r="M82" s="364" t="e">
        <v>#VALUE!</v>
      </c>
    </row>
    <row r="83" spans="3:13" x14ac:dyDescent="0.25">
      <c r="C83" s="346">
        <v>31</v>
      </c>
      <c r="D83" s="323" t="s">
        <v>258</v>
      </c>
      <c r="E83" s="348"/>
      <c r="F83" s="362" t="e">
        <v>#VALUE!</v>
      </c>
      <c r="G83" s="363" t="e">
        <v>#VALUE!</v>
      </c>
      <c r="H83" s="363" t="e">
        <v>#VALUE!</v>
      </c>
      <c r="I83" s="363" t="e">
        <v>#VALUE!</v>
      </c>
      <c r="J83" s="363" t="e">
        <v>#VALUE!</v>
      </c>
      <c r="K83" s="363" t="e">
        <v>#VALUE!</v>
      </c>
      <c r="L83" s="363" t="e">
        <v>#VALUE!</v>
      </c>
      <c r="M83" s="364" t="e">
        <v>#VALUE!</v>
      </c>
    </row>
    <row r="84" spans="3:13" x14ac:dyDescent="0.25">
      <c r="C84" s="346">
        <v>32</v>
      </c>
      <c r="D84" s="323" t="s">
        <v>258</v>
      </c>
      <c r="E84" s="348"/>
      <c r="F84" s="362" t="e">
        <v>#VALUE!</v>
      </c>
      <c r="G84" s="363" t="e">
        <v>#VALUE!</v>
      </c>
      <c r="H84" s="363" t="e">
        <v>#VALUE!</v>
      </c>
      <c r="I84" s="363" t="e">
        <v>#VALUE!</v>
      </c>
      <c r="J84" s="363" t="e">
        <v>#VALUE!</v>
      </c>
      <c r="K84" s="363" t="e">
        <v>#VALUE!</v>
      </c>
      <c r="L84" s="363" t="e">
        <v>#VALUE!</v>
      </c>
      <c r="M84" s="364" t="e">
        <v>#VALUE!</v>
      </c>
    </row>
    <row r="85" spans="3:13" x14ac:dyDescent="0.25">
      <c r="C85" s="346">
        <v>33</v>
      </c>
      <c r="D85" s="323" t="s">
        <v>258</v>
      </c>
      <c r="E85" s="348"/>
      <c r="F85" s="362" t="e">
        <v>#VALUE!</v>
      </c>
      <c r="G85" s="363" t="e">
        <v>#VALUE!</v>
      </c>
      <c r="H85" s="363" t="e">
        <v>#VALUE!</v>
      </c>
      <c r="I85" s="363" t="e">
        <v>#VALUE!</v>
      </c>
      <c r="J85" s="363" t="e">
        <v>#VALUE!</v>
      </c>
      <c r="K85" s="363" t="e">
        <v>#VALUE!</v>
      </c>
      <c r="L85" s="363" t="e">
        <v>#VALUE!</v>
      </c>
      <c r="M85" s="364" t="e">
        <v>#VALUE!</v>
      </c>
    </row>
    <row r="86" spans="3:13" x14ac:dyDescent="0.25">
      <c r="C86" s="346">
        <v>34</v>
      </c>
      <c r="D86" s="323" t="s">
        <v>258</v>
      </c>
      <c r="E86" s="348"/>
      <c r="F86" s="362" t="e">
        <v>#VALUE!</v>
      </c>
      <c r="G86" s="363" t="e">
        <v>#VALUE!</v>
      </c>
      <c r="H86" s="363" t="e">
        <v>#VALUE!</v>
      </c>
      <c r="I86" s="363" t="e">
        <v>#VALUE!</v>
      </c>
      <c r="J86" s="363" t="e">
        <v>#VALUE!</v>
      </c>
      <c r="K86" s="363" t="e">
        <v>#VALUE!</v>
      </c>
      <c r="L86" s="363" t="e">
        <v>#VALUE!</v>
      </c>
      <c r="M86" s="364" t="e">
        <v>#VALUE!</v>
      </c>
    </row>
    <row r="87" spans="3:13" x14ac:dyDescent="0.25">
      <c r="C87" s="346">
        <v>35</v>
      </c>
      <c r="D87" s="323" t="s">
        <v>258</v>
      </c>
      <c r="E87" s="348"/>
      <c r="F87" s="362" t="e">
        <v>#VALUE!</v>
      </c>
      <c r="G87" s="363" t="e">
        <v>#VALUE!</v>
      </c>
      <c r="H87" s="363" t="e">
        <v>#VALUE!</v>
      </c>
      <c r="I87" s="363" t="e">
        <v>#VALUE!</v>
      </c>
      <c r="J87" s="363" t="e">
        <v>#VALUE!</v>
      </c>
      <c r="K87" s="363" t="e">
        <v>#VALUE!</v>
      </c>
      <c r="L87" s="363" t="e">
        <v>#VALUE!</v>
      </c>
      <c r="M87" s="364" t="e">
        <v>#VALUE!</v>
      </c>
    </row>
    <row r="88" spans="3:13" x14ac:dyDescent="0.25">
      <c r="C88" s="346">
        <v>36</v>
      </c>
      <c r="D88" s="323" t="s">
        <v>258</v>
      </c>
      <c r="E88" s="348"/>
      <c r="F88" s="362" t="e">
        <v>#VALUE!</v>
      </c>
      <c r="G88" s="363" t="e">
        <v>#VALUE!</v>
      </c>
      <c r="H88" s="363" t="e">
        <v>#VALUE!</v>
      </c>
      <c r="I88" s="363" t="e">
        <v>#VALUE!</v>
      </c>
      <c r="J88" s="363" t="e">
        <v>#VALUE!</v>
      </c>
      <c r="K88" s="363" t="e">
        <v>#VALUE!</v>
      </c>
      <c r="L88" s="363" t="e">
        <v>#VALUE!</v>
      </c>
      <c r="M88" s="364" t="e">
        <v>#VALUE!</v>
      </c>
    </row>
    <row r="89" spans="3:13" x14ac:dyDescent="0.25">
      <c r="C89" s="346">
        <v>37</v>
      </c>
      <c r="D89" s="323" t="s">
        <v>258</v>
      </c>
      <c r="E89" s="348"/>
      <c r="F89" s="362" t="e">
        <v>#VALUE!</v>
      </c>
      <c r="G89" s="363" t="e">
        <v>#VALUE!</v>
      </c>
      <c r="H89" s="363" t="e">
        <v>#VALUE!</v>
      </c>
      <c r="I89" s="363" t="e">
        <v>#VALUE!</v>
      </c>
      <c r="J89" s="363" t="e">
        <v>#VALUE!</v>
      </c>
      <c r="K89" s="363" t="e">
        <v>#VALUE!</v>
      </c>
      <c r="L89" s="363" t="e">
        <v>#VALUE!</v>
      </c>
      <c r="M89" s="364" t="e">
        <v>#VALUE!</v>
      </c>
    </row>
    <row r="90" spans="3:13" x14ac:dyDescent="0.25">
      <c r="C90" s="346">
        <v>38</v>
      </c>
      <c r="D90" s="323" t="s">
        <v>258</v>
      </c>
      <c r="E90" s="348"/>
      <c r="F90" s="362" t="e">
        <v>#VALUE!</v>
      </c>
      <c r="G90" s="363" t="e">
        <v>#VALUE!</v>
      </c>
      <c r="H90" s="363" t="e">
        <v>#VALUE!</v>
      </c>
      <c r="I90" s="363" t="e">
        <v>#VALUE!</v>
      </c>
      <c r="J90" s="363" t="e">
        <v>#VALUE!</v>
      </c>
      <c r="K90" s="363" t="e">
        <v>#VALUE!</v>
      </c>
      <c r="L90" s="363" t="e">
        <v>#VALUE!</v>
      </c>
      <c r="M90" s="364" t="e">
        <v>#VALUE!</v>
      </c>
    </row>
    <row r="91" spans="3:13" x14ac:dyDescent="0.25">
      <c r="C91" s="346">
        <v>39</v>
      </c>
      <c r="D91" s="323" t="s">
        <v>258</v>
      </c>
      <c r="E91" s="348"/>
      <c r="F91" s="362" t="e">
        <v>#VALUE!</v>
      </c>
      <c r="G91" s="363" t="e">
        <v>#VALUE!</v>
      </c>
      <c r="H91" s="363" t="e">
        <v>#VALUE!</v>
      </c>
      <c r="I91" s="363" t="e">
        <v>#VALUE!</v>
      </c>
      <c r="J91" s="363" t="e">
        <v>#VALUE!</v>
      </c>
      <c r="K91" s="363" t="e">
        <v>#VALUE!</v>
      </c>
      <c r="L91" s="363" t="e">
        <v>#VALUE!</v>
      </c>
      <c r="M91" s="364" t="e">
        <v>#VALUE!</v>
      </c>
    </row>
    <row r="92" spans="3:13" x14ac:dyDescent="0.25">
      <c r="C92" s="346">
        <v>40</v>
      </c>
      <c r="D92" s="324" t="s">
        <v>258</v>
      </c>
      <c r="E92" s="348"/>
      <c r="F92" s="367" t="e">
        <v>#VALUE!</v>
      </c>
      <c r="G92" s="368" t="e">
        <v>#VALUE!</v>
      </c>
      <c r="H92" s="368" t="e">
        <v>#VALUE!</v>
      </c>
      <c r="I92" s="368" t="e">
        <v>#VALUE!</v>
      </c>
      <c r="J92" s="368" t="e">
        <v>#VALUE!</v>
      </c>
      <c r="K92" s="368" t="e">
        <v>#VALUE!</v>
      </c>
      <c r="L92" s="368" t="e">
        <v>#VALUE!</v>
      </c>
      <c r="M92" s="369" t="e">
        <v>#VALUE!</v>
      </c>
    </row>
  </sheetData>
  <mergeCells count="1">
    <mergeCell ref="D51:D52"/>
  </mergeCells>
  <pageMargins left="0.5" right="0.5" top="0.5" bottom="0.5" header="0.5" footer="0.5"/>
  <pageSetup scale="85" fitToWidth="0" fitToHeight="0" orientation="landscape"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18"/>
  <sheetViews>
    <sheetView showGridLines="0" view="pageBreakPreview" zoomScaleNormal="100" zoomScaleSheetLayoutView="100" workbookViewId="0">
      <selection activeCell="D13" sqref="D13:D14"/>
    </sheetView>
  </sheetViews>
  <sheetFormatPr defaultColWidth="9.28515625" defaultRowHeight="15" x14ac:dyDescent="0.25"/>
  <cols>
    <col min="1" max="1" width="2.7109375" style="24" customWidth="1"/>
    <col min="2" max="2" width="4.140625" style="24" customWidth="1"/>
    <col min="3" max="3" width="16.7109375" style="24" customWidth="1"/>
    <col min="4" max="4" width="4.140625" style="24" customWidth="1"/>
    <col min="5" max="5" width="11" style="24" customWidth="1"/>
    <col min="6" max="6" width="15.42578125" style="24" customWidth="1"/>
    <col min="7" max="7" width="36.28515625" style="24" customWidth="1"/>
    <col min="8" max="8" width="4.42578125" style="24" customWidth="1"/>
    <col min="9" max="10" width="14.7109375" style="24" customWidth="1"/>
    <col min="11" max="11" width="2.7109375" style="24" customWidth="1"/>
    <col min="12" max="12" width="9.28515625" style="24"/>
    <col min="13" max="13" width="17.28515625" style="24" customWidth="1"/>
    <col min="14" max="16384" width="9.28515625" style="24"/>
  </cols>
  <sheetData>
    <row r="1" spans="2:17" ht="9.4" customHeight="1" thickBot="1" x14ac:dyDescent="0.45">
      <c r="B1" s="22"/>
      <c r="C1" s="4"/>
      <c r="D1" s="22"/>
      <c r="E1" s="22"/>
      <c r="F1" s="22"/>
      <c r="G1" s="22"/>
      <c r="H1" s="22"/>
      <c r="I1" s="22"/>
      <c r="J1" s="22"/>
      <c r="K1" s="22"/>
      <c r="L1" s="23"/>
      <c r="M1" s="22"/>
      <c r="N1" s="23"/>
    </row>
    <row r="2" spans="2:17" ht="18.75" thickTop="1" x14ac:dyDescent="0.4">
      <c r="B2" s="25" t="str">
        <f>"Satellite Healthcare " &amp; M2</f>
        <v>Satellite Healthcare - Wellbound Santa Cruz</v>
      </c>
      <c r="C2" s="26"/>
      <c r="D2" s="26"/>
      <c r="E2" s="26"/>
      <c r="F2" s="26"/>
      <c r="G2" s="26"/>
      <c r="H2" s="27">
        <v>1</v>
      </c>
      <c r="I2" s="26"/>
      <c r="J2" s="26"/>
      <c r="K2" s="26"/>
      <c r="L2" s="23"/>
      <c r="M2" s="345" t="s">
        <v>271</v>
      </c>
      <c r="N2" s="23"/>
    </row>
    <row r="3" spans="2:17" ht="4.9000000000000004" customHeight="1" x14ac:dyDescent="0.4">
      <c r="B3" s="25"/>
      <c r="C3" s="26"/>
      <c r="D3" s="26"/>
      <c r="E3" s="26"/>
      <c r="F3" s="26"/>
      <c r="G3" s="26"/>
      <c r="H3" s="26"/>
      <c r="I3" s="26"/>
      <c r="J3" s="26"/>
      <c r="K3" s="26"/>
      <c r="L3" s="23"/>
      <c r="M3" s="26"/>
      <c r="N3" s="23"/>
    </row>
    <row r="4" spans="2:17" ht="18.75" thickBot="1" x14ac:dyDescent="0.45">
      <c r="B4" s="28" t="s">
        <v>2</v>
      </c>
      <c r="C4" s="29"/>
      <c r="D4" s="29"/>
      <c r="E4" s="29"/>
      <c r="F4" s="29"/>
      <c r="G4" s="29"/>
      <c r="H4" s="29"/>
      <c r="I4" s="29"/>
      <c r="J4" s="29"/>
      <c r="K4" s="29"/>
      <c r="L4" s="23"/>
      <c r="M4" s="29"/>
      <c r="N4" s="23"/>
    </row>
    <row r="5" spans="2:17" ht="9" customHeight="1" thickTop="1" x14ac:dyDescent="0.4">
      <c r="B5" s="30"/>
      <c r="L5" s="23"/>
      <c r="N5" s="23"/>
    </row>
    <row r="6" spans="2:17" s="23" customFormat="1" ht="17.25" x14ac:dyDescent="0.4">
      <c r="M6" s="23" t="s">
        <v>3</v>
      </c>
    </row>
    <row r="7" spans="2:17" x14ac:dyDescent="0.25">
      <c r="B7" s="31"/>
      <c r="C7" s="31" t="s">
        <v>6</v>
      </c>
    </row>
    <row r="8" spans="2:17" x14ac:dyDescent="0.25">
      <c r="B8" s="31"/>
      <c r="C8" s="31"/>
    </row>
    <row r="9" spans="2:17" x14ac:dyDescent="0.25">
      <c r="C9" s="24" t="str">
        <f>"Workpaper " &amp;P9</f>
        <v>Workpaper 1</v>
      </c>
      <c r="E9" s="33" t="str">
        <f>'Discount Summary'!B4</f>
        <v>Discount Summary</v>
      </c>
      <c r="I9" s="32"/>
      <c r="P9" s="32">
        <v>1</v>
      </c>
      <c r="Q9" s="32"/>
    </row>
    <row r="10" spans="2:17" x14ac:dyDescent="0.25">
      <c r="C10" s="24" t="str">
        <f>"Workpaper " &amp;P10</f>
        <v>Workpaper 2</v>
      </c>
      <c r="E10" s="33" t="str">
        <f>'9 Factor Discount Analysis'!B4</f>
        <v>9-Factor Discount Adjustment Analysis</v>
      </c>
      <c r="P10" s="32">
        <f>P9+1</f>
        <v>2</v>
      </c>
    </row>
    <row r="11" spans="2:17" x14ac:dyDescent="0.25">
      <c r="C11" s="24" t="str">
        <f>"Workpaper " &amp;P11</f>
        <v>Workpaper 3</v>
      </c>
      <c r="E11" s="33" t="str">
        <f>'DLOM_Quantitative Methods'!B4</f>
        <v>Discount for Lack of Marketability</v>
      </c>
      <c r="P11" s="32">
        <f>P10+1</f>
        <v>3</v>
      </c>
    </row>
    <row r="12" spans="2:17" x14ac:dyDescent="0.25">
      <c r="C12" s="24" t="str">
        <f>"Workpaper " &amp;P12</f>
        <v>Workpaper 4</v>
      </c>
      <c r="E12" s="33" t="str">
        <f>'DLOM Restricted Stock Studies'!B4</f>
        <v>Summary of Restricted Stock Studies</v>
      </c>
      <c r="P12" s="32">
        <f t="shared" ref="P12:P18" si="0">P11+1</f>
        <v>4</v>
      </c>
    </row>
    <row r="13" spans="2:17" x14ac:dyDescent="0.25">
      <c r="C13" s="24" t="str">
        <f>"Workpaper " &amp;P13</f>
        <v>Workpaper 5</v>
      </c>
      <c r="E13" s="33" t="str">
        <f>'Asset Vol_2'!B4</f>
        <v>Asset Volatility - Term of 0.75 Year</v>
      </c>
      <c r="P13" s="32">
        <f t="shared" si="0"/>
        <v>5</v>
      </c>
    </row>
    <row r="14" spans="2:17" x14ac:dyDescent="0.25">
      <c r="C14" s="24" t="str">
        <f t="shared" ref="C14:C18" si="1">"Workpaper " &amp;P14</f>
        <v>Workpaper 6</v>
      </c>
      <c r="E14" s="33" t="str">
        <f>'Asset Vol_3'!B4</f>
        <v>Asset Volatility - Term of 1.25 Year</v>
      </c>
      <c r="P14" s="32">
        <f t="shared" si="0"/>
        <v>6</v>
      </c>
    </row>
    <row r="15" spans="2:17" x14ac:dyDescent="0.25">
      <c r="C15" s="24" t="str">
        <f t="shared" si="1"/>
        <v>Workpaper 7</v>
      </c>
      <c r="E15" s="33" t="str">
        <f>'Asset Vol_4'!B4</f>
        <v>Asset Volatility - Term of 1.75 Year</v>
      </c>
      <c r="P15" s="32">
        <f t="shared" si="0"/>
        <v>7</v>
      </c>
    </row>
    <row r="16" spans="2:17" x14ac:dyDescent="0.25">
      <c r="C16" s="24" t="str">
        <f t="shared" si="1"/>
        <v>Workpaper 8</v>
      </c>
      <c r="E16" s="33" t="str">
        <f>'Control Premium Summary'!B4</f>
        <v>Control Premium Summary</v>
      </c>
      <c r="P16" s="32">
        <f t="shared" si="0"/>
        <v>8</v>
      </c>
    </row>
    <row r="17" spans="3:16" x14ac:dyDescent="0.25">
      <c r="C17" s="24" t="str">
        <f t="shared" si="1"/>
        <v>Workpaper 9</v>
      </c>
      <c r="E17" s="33" t="str">
        <f>'Risk-Free Rates'!B4</f>
        <v>Risk-Free Rates</v>
      </c>
      <c r="P17" s="32">
        <f t="shared" si="0"/>
        <v>9</v>
      </c>
    </row>
    <row r="18" spans="3:16" x14ac:dyDescent="0.25">
      <c r="C18" s="24" t="str">
        <f t="shared" si="1"/>
        <v>Workpaper 10</v>
      </c>
      <c r="E18" s="33" t="str">
        <f>'Equity Vol'!B4</f>
        <v>Equity Volatility</v>
      </c>
      <c r="P18" s="32">
        <f t="shared" si="0"/>
        <v>10</v>
      </c>
    </row>
  </sheetData>
  <conditionalFormatting sqref="I9">
    <cfRule type="expression" dxfId="32" priority="3">
      <formula>$H$2&gt;1</formula>
    </cfRule>
  </conditionalFormatting>
  <printOptions horizontalCentered="1"/>
  <pageMargins left="0.5" right="0.5" top="0.5" bottom="0.5" header="0.5" footer="0.5"/>
  <pageSetup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CE07-18A2-44C0-9607-E3E86BE51EAD}">
  <dimension ref="A1:K1"/>
  <sheetViews>
    <sheetView workbookViewId="0"/>
  </sheetViews>
  <sheetFormatPr defaultRowHeight="15" x14ac:dyDescent="0.25"/>
  <sheetData>
    <row r="1" spans="1:11" x14ac:dyDescent="0.25">
      <c r="A1">
        <v>11</v>
      </c>
      <c r="B1" t="s">
        <v>293</v>
      </c>
      <c r="C1" t="s">
        <v>294</v>
      </c>
      <c r="D1" t="s">
        <v>295</v>
      </c>
      <c r="E1" t="s">
        <v>296</v>
      </c>
      <c r="F1" t="s">
        <v>297</v>
      </c>
      <c r="G1" t="s">
        <v>298</v>
      </c>
      <c r="H1" t="s">
        <v>299</v>
      </c>
      <c r="I1" t="s">
        <v>300</v>
      </c>
      <c r="J1" t="s">
        <v>301</v>
      </c>
      <c r="K1" t="s">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25"/>
  <sheetViews>
    <sheetView showGridLines="0" tabSelected="1" view="pageBreakPreview" zoomScaleNormal="100" zoomScaleSheetLayoutView="100" workbookViewId="0">
      <selection activeCell="R9" sqref="R9"/>
    </sheetView>
  </sheetViews>
  <sheetFormatPr defaultColWidth="9.140625" defaultRowHeight="12.75" x14ac:dyDescent="0.2"/>
  <cols>
    <col min="1" max="1" width="2.7109375" style="34" customWidth="1"/>
    <col min="2" max="2" width="59.5703125" style="34" customWidth="1"/>
    <col min="3" max="4" width="20" style="34" customWidth="1"/>
    <col min="5" max="5" width="4.42578125" style="34" customWidth="1"/>
    <col min="6" max="6" width="20.7109375" style="34" customWidth="1"/>
    <col min="7" max="7" width="5.28515625" style="34" customWidth="1"/>
    <col min="8" max="8" width="2.7109375" style="34" customWidth="1"/>
    <col min="9" max="9" width="10.140625" style="34" bestFit="1" customWidth="1"/>
    <col min="10" max="11" width="9.140625" style="34"/>
    <col min="12" max="12" width="10.140625" style="34" bestFit="1" customWidth="1"/>
    <col min="13" max="16384" width="9.140625" style="34"/>
  </cols>
  <sheetData>
    <row r="1" spans="2:14" ht="10.7" customHeight="1" thickBot="1" x14ac:dyDescent="0.25"/>
    <row r="2" spans="2:14" ht="16.5" customHeight="1" thickTop="1" x14ac:dyDescent="0.25">
      <c r="B2" s="35" t="str">
        <f>Outline!B2</f>
        <v>Satellite Healthcare - Wellbound Santa Cruz</v>
      </c>
      <c r="C2" s="35"/>
      <c r="D2" s="35"/>
      <c r="E2" s="35"/>
      <c r="F2" s="35"/>
      <c r="G2" s="35"/>
    </row>
    <row r="3" spans="2:14" ht="15.75" customHeight="1" x14ac:dyDescent="0.25">
      <c r="B3" s="36" t="str">
        <f>Outline!C9</f>
        <v>Workpaper 1</v>
      </c>
      <c r="C3" s="36"/>
      <c r="D3" s="36"/>
      <c r="E3" s="36"/>
      <c r="F3" s="36"/>
      <c r="G3" s="36"/>
    </row>
    <row r="4" spans="2:14" ht="16.5" customHeight="1" thickBot="1" x14ac:dyDescent="0.3">
      <c r="B4" s="37" t="s">
        <v>7</v>
      </c>
      <c r="C4" s="37"/>
      <c r="D4" s="37"/>
      <c r="E4" s="37"/>
      <c r="F4" s="37"/>
      <c r="G4" s="37"/>
    </row>
    <row r="5" spans="2:14" ht="12.75" customHeight="1" thickTop="1" x14ac:dyDescent="0.2"/>
    <row r="6" spans="2:14" ht="12.75" customHeight="1" x14ac:dyDescent="0.2"/>
    <row r="7" spans="2:14" ht="12.75" customHeight="1" x14ac:dyDescent="0.25">
      <c r="B7" s="38" t="s">
        <v>8</v>
      </c>
      <c r="C7" s="393"/>
      <c r="D7" s="393"/>
      <c r="E7" s="393"/>
      <c r="F7" s="336" t="s">
        <v>9</v>
      </c>
      <c r="G7" s="394"/>
      <c r="I7" s="394"/>
      <c r="J7" s="394"/>
      <c r="K7" s="394"/>
      <c r="L7" s="394"/>
      <c r="M7" s="394"/>
      <c r="N7" s="394"/>
    </row>
    <row r="8" spans="2:14" ht="12.75" customHeight="1" x14ac:dyDescent="0.25">
      <c r="B8" s="39"/>
      <c r="C8" s="40"/>
      <c r="D8" s="39"/>
      <c r="E8" s="40"/>
      <c r="F8" s="40"/>
      <c r="G8" s="41"/>
      <c r="I8" s="394"/>
      <c r="J8" s="394"/>
      <c r="K8" s="394"/>
      <c r="L8" s="394"/>
      <c r="M8" s="394"/>
      <c r="N8" s="394"/>
    </row>
    <row r="9" spans="2:14" ht="12.75" customHeight="1" x14ac:dyDescent="0.25">
      <c r="B9" s="34" t="s">
        <v>10</v>
      </c>
      <c r="C9" s="34" t="s">
        <v>11</v>
      </c>
      <c r="D9" s="42">
        <f>MROUND(AVERAGE('DLOM_Quantitative Methods'!D48:F48),1%)</f>
        <v>7.0000000000000007E-2</v>
      </c>
      <c r="E9" s="43"/>
      <c r="F9" s="335" t="str">
        <f>'DLOM_Quantitative Methods'!B3</f>
        <v>Workpaper 3</v>
      </c>
      <c r="I9" s="394"/>
      <c r="J9" s="394"/>
      <c r="K9" s="394"/>
      <c r="L9" s="394"/>
      <c r="M9" s="394"/>
      <c r="N9" s="394"/>
    </row>
    <row r="10" spans="2:14" ht="12.75" customHeight="1" x14ac:dyDescent="0.25">
      <c r="C10" s="44"/>
      <c r="D10" s="389"/>
      <c r="E10" s="46"/>
      <c r="F10" s="43"/>
      <c r="I10" s="394"/>
      <c r="J10" s="394"/>
      <c r="K10" s="394"/>
      <c r="L10" s="394"/>
      <c r="M10" s="394"/>
      <c r="N10" s="394"/>
    </row>
    <row r="11" spans="2:14" ht="12.75" customHeight="1" x14ac:dyDescent="0.25">
      <c r="B11" s="34" t="s">
        <v>12</v>
      </c>
      <c r="C11" s="34" t="s">
        <v>13</v>
      </c>
      <c r="D11" s="42">
        <f>'Control Premium Summary'!I50</f>
        <v>0.1</v>
      </c>
      <c r="E11" s="46"/>
      <c r="F11" s="335" t="str">
        <f>'Control Premium Summary'!B3</f>
        <v>Workpaper 8</v>
      </c>
      <c r="I11" s="394"/>
      <c r="J11" s="394"/>
      <c r="K11" s="394"/>
      <c r="L11" s="394"/>
      <c r="M11" s="394"/>
      <c r="N11" s="394"/>
    </row>
    <row r="12" spans="2:14" ht="12.75" customHeight="1" x14ac:dyDescent="0.25">
      <c r="C12" s="47"/>
      <c r="D12" s="390"/>
      <c r="E12" s="46"/>
      <c r="F12" s="43"/>
      <c r="I12" s="394"/>
      <c r="J12" s="394"/>
      <c r="K12" s="394"/>
      <c r="L12" s="394"/>
      <c r="M12" s="394"/>
      <c r="N12" s="394"/>
    </row>
    <row r="13" spans="2:14" ht="12.75" customHeight="1" x14ac:dyDescent="0.25">
      <c r="B13" s="48" t="s">
        <v>14</v>
      </c>
      <c r="C13" s="49" t="s">
        <v>15</v>
      </c>
      <c r="D13" s="50">
        <f>MROUND(1-((1-D9)*(1-D11)),0.25%)</f>
        <v>0.16250000000000001</v>
      </c>
      <c r="E13" s="46"/>
      <c r="F13" s="43"/>
      <c r="I13" s="394"/>
      <c r="J13" s="394"/>
      <c r="K13" s="394"/>
      <c r="L13" s="394"/>
      <c r="M13" s="394"/>
      <c r="N13" s="394"/>
    </row>
    <row r="14" spans="2:14" ht="12.75" customHeight="1" x14ac:dyDescent="0.25">
      <c r="C14" s="47"/>
      <c r="D14" s="389"/>
      <c r="E14" s="46"/>
      <c r="F14" s="43"/>
      <c r="I14" s="394"/>
      <c r="J14" s="394"/>
      <c r="K14" s="394"/>
      <c r="L14" s="394"/>
      <c r="M14" s="394"/>
      <c r="N14" s="394"/>
    </row>
    <row r="15" spans="2:14" ht="12.75" customHeight="1" x14ac:dyDescent="0.25">
      <c r="B15" s="34" t="s">
        <v>16</v>
      </c>
      <c r="C15" s="47" t="s">
        <v>17</v>
      </c>
      <c r="D15" s="42">
        <f>'9 Factor Discount Analysis'!G21</f>
        <v>0.14500000000000002</v>
      </c>
      <c r="E15" s="46"/>
      <c r="F15" s="335" t="str">
        <f>'9 Factor Discount Analysis'!B3</f>
        <v>Workpaper 2</v>
      </c>
      <c r="I15" s="394"/>
      <c r="J15" s="394"/>
      <c r="K15" s="394"/>
      <c r="L15" s="394"/>
      <c r="M15" s="394"/>
      <c r="N15" s="394"/>
    </row>
    <row r="16" spans="2:14" ht="12.75" customHeight="1" x14ac:dyDescent="0.2">
      <c r="C16" s="47"/>
      <c r="D16" s="389"/>
      <c r="E16" s="46"/>
      <c r="F16" s="43"/>
    </row>
    <row r="17" spans="2:6" ht="12.75" customHeight="1" x14ac:dyDescent="0.2">
      <c r="B17" s="51" t="s">
        <v>18</v>
      </c>
      <c r="C17" s="52" t="s">
        <v>19</v>
      </c>
      <c r="D17" s="53">
        <f>MROUND(D13*(1+D15),0.25%)</f>
        <v>0.185</v>
      </c>
      <c r="E17" s="46"/>
      <c r="F17" s="43"/>
    </row>
    <row r="18" spans="2:6" ht="12.75" customHeight="1" x14ac:dyDescent="0.2">
      <c r="C18" s="47"/>
      <c r="D18" s="45"/>
      <c r="E18" s="46"/>
      <c r="F18" s="43"/>
    </row>
    <row r="19" spans="2:6" ht="12.75" customHeight="1" x14ac:dyDescent="0.2"/>
    <row r="21" spans="2:6" x14ac:dyDescent="0.2">
      <c r="B21" s="58" t="s">
        <v>273</v>
      </c>
      <c r="C21" s="132"/>
      <c r="D21" s="391">
        <v>2.5333510052704202</v>
      </c>
      <c r="F21" s="34" t="s">
        <v>274</v>
      </c>
    </row>
    <row r="23" spans="2:6" x14ac:dyDescent="0.2">
      <c r="B23" s="58" t="s">
        <v>273</v>
      </c>
      <c r="C23" s="132"/>
      <c r="D23" s="392" t="e">
        <f>[15]A1!$I$27</f>
        <v>#REF!</v>
      </c>
      <c r="F23" s="34" t="s">
        <v>292</v>
      </c>
    </row>
    <row r="25" spans="2:6" x14ac:dyDescent="0.2">
      <c r="B25" s="58" t="s">
        <v>291</v>
      </c>
      <c r="C25" s="132"/>
      <c r="D25" s="395" t="e">
        <f>IF(D21&lt;&gt;D23,"Check","")</f>
        <v>#REF!</v>
      </c>
    </row>
  </sheetData>
  <conditionalFormatting sqref="B4:G4">
    <cfRule type="cellIs" dxfId="31" priority="1" stopIfTrue="1" operator="equal">
      <formula>"input"</formula>
    </cfRule>
  </conditionalFormatting>
  <pageMargins left="0.5" right="0.5" top="0.5" bottom="0.5" header="0.5" footer="0.5"/>
  <pageSetup scale="94" fitToHeight="0" orientation="landscape"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23"/>
  <sheetViews>
    <sheetView showGridLines="0" view="pageBreakPreview" zoomScale="115" zoomScaleNormal="100" zoomScaleSheetLayoutView="115" workbookViewId="0">
      <selection activeCell="D13" sqref="D13:D14"/>
    </sheetView>
  </sheetViews>
  <sheetFormatPr defaultColWidth="9.140625" defaultRowHeight="12.75" x14ac:dyDescent="0.2"/>
  <cols>
    <col min="1" max="1" width="2.7109375" style="54" customWidth="1"/>
    <col min="2" max="2" width="20.7109375" style="54" customWidth="1"/>
    <col min="3" max="3" width="10.7109375" style="54" customWidth="1"/>
    <col min="4" max="4" width="6.85546875" style="54" customWidth="1"/>
    <col min="5" max="5" width="13.7109375" style="54" customWidth="1"/>
    <col min="6" max="6" width="7.5703125" style="54" customWidth="1"/>
    <col min="7" max="7" width="10.28515625" style="54" customWidth="1"/>
    <col min="8" max="8" width="23.140625" style="54" customWidth="1"/>
    <col min="9" max="9" width="25" style="54" customWidth="1"/>
    <col min="10" max="10" width="25.85546875" style="54" customWidth="1"/>
    <col min="11" max="11" width="2.7109375" style="54" customWidth="1"/>
    <col min="12" max="12" width="10.140625" style="54" bestFit="1" customWidth="1"/>
    <col min="13" max="14" width="9.140625" style="54"/>
    <col min="15" max="15" width="10.140625" style="54" bestFit="1" customWidth="1"/>
    <col min="16" max="16384" width="9.140625" style="54"/>
  </cols>
  <sheetData>
    <row r="1" spans="2:19" s="34" customFormat="1" ht="10.7" customHeight="1" thickBot="1" x14ac:dyDescent="0.25"/>
    <row r="2" spans="2:19" s="34" customFormat="1" ht="16.5" customHeight="1" thickTop="1" x14ac:dyDescent="0.25">
      <c r="B2" s="35" t="str">
        <f>Outline!B2</f>
        <v>Satellite Healthcare - Wellbound Santa Cruz</v>
      </c>
      <c r="C2" s="35"/>
      <c r="D2" s="35"/>
      <c r="E2" s="35"/>
      <c r="F2" s="35"/>
      <c r="G2" s="35"/>
      <c r="H2" s="35"/>
      <c r="I2" s="35"/>
      <c r="J2" s="35"/>
    </row>
    <row r="3" spans="2:19" s="34" customFormat="1" ht="15.75" customHeight="1" x14ac:dyDescent="0.25">
      <c r="B3" s="36" t="str">
        <f>Outline!C10</f>
        <v>Workpaper 2</v>
      </c>
      <c r="C3" s="36"/>
      <c r="D3" s="36"/>
      <c r="E3" s="36"/>
      <c r="F3" s="36"/>
      <c r="G3" s="36"/>
      <c r="H3" s="36"/>
      <c r="I3" s="36"/>
      <c r="J3" s="36"/>
    </row>
    <row r="4" spans="2:19" s="34" customFormat="1" ht="16.5" customHeight="1" thickBot="1" x14ac:dyDescent="0.3">
      <c r="B4" s="37" t="s">
        <v>20</v>
      </c>
      <c r="C4" s="37"/>
      <c r="D4" s="37"/>
      <c r="E4" s="37"/>
      <c r="F4" s="37"/>
      <c r="G4" s="37"/>
      <c r="H4" s="37"/>
      <c r="I4" s="37"/>
      <c r="J4" s="37"/>
    </row>
    <row r="5" spans="2:19" s="34" customFormat="1" ht="12.75" customHeight="1" thickTop="1" x14ac:dyDescent="0.2"/>
    <row r="6" spans="2:19" s="34" customFormat="1" ht="12.75" customHeight="1" x14ac:dyDescent="0.2"/>
    <row r="7" spans="2:19" s="34" customFormat="1" ht="12.75" customHeight="1" x14ac:dyDescent="0.2">
      <c r="B7" s="55" t="s">
        <v>21</v>
      </c>
      <c r="C7" s="56"/>
      <c r="D7" s="56"/>
      <c r="E7" s="56"/>
      <c r="F7" s="56"/>
      <c r="G7" s="56"/>
      <c r="H7" s="56"/>
      <c r="I7" s="56"/>
      <c r="J7" s="57"/>
    </row>
    <row r="8" spans="2:19" s="34" customFormat="1" ht="28.5" customHeight="1" x14ac:dyDescent="0.2">
      <c r="B8" s="58" t="s">
        <v>22</v>
      </c>
      <c r="C8" s="59" t="s">
        <v>23</v>
      </c>
      <c r="D8" s="60" t="s">
        <v>24</v>
      </c>
      <c r="E8" s="59" t="s">
        <v>25</v>
      </c>
      <c r="F8" s="60" t="s">
        <v>26</v>
      </c>
      <c r="G8" s="61" t="s">
        <v>27</v>
      </c>
      <c r="H8" s="62" t="s">
        <v>28</v>
      </c>
      <c r="I8" s="62"/>
      <c r="J8" s="63"/>
      <c r="O8" s="64" t="s">
        <v>29</v>
      </c>
      <c r="P8" s="65" t="s">
        <v>30</v>
      </c>
      <c r="R8" s="64" t="s">
        <v>29</v>
      </c>
      <c r="S8" s="65" t="s">
        <v>30</v>
      </c>
    </row>
    <row r="9" spans="2:19" s="34" customFormat="1" ht="12.75" customHeight="1" x14ac:dyDescent="0.2">
      <c r="B9" s="66"/>
      <c r="C9" s="67"/>
      <c r="D9" s="48"/>
      <c r="E9" s="67"/>
      <c r="F9" s="68"/>
      <c r="G9" s="51"/>
      <c r="H9" s="48"/>
      <c r="I9" s="48"/>
      <c r="J9" s="69"/>
      <c r="O9" s="70" t="s">
        <v>31</v>
      </c>
      <c r="P9" s="71">
        <v>1</v>
      </c>
      <c r="R9" s="70" t="s">
        <v>32</v>
      </c>
      <c r="S9" s="71">
        <v>-2</v>
      </c>
    </row>
    <row r="10" spans="2:19" s="34" customFormat="1" ht="62.45" customHeight="1" x14ac:dyDescent="0.2">
      <c r="B10" s="72" t="s">
        <v>33</v>
      </c>
      <c r="C10" s="337" t="s">
        <v>34</v>
      </c>
      <c r="D10" s="332">
        <f>VLOOKUP(C10,$O$9:$P$11,COLUMNS($O$9:$P$9),FALSE)</f>
        <v>3</v>
      </c>
      <c r="E10" s="73" t="s">
        <v>35</v>
      </c>
      <c r="F10" s="334">
        <v>2</v>
      </c>
      <c r="G10" s="74">
        <f>(D10*F10)/100</f>
        <v>0.06</v>
      </c>
      <c r="H10" s="396" t="s">
        <v>290</v>
      </c>
      <c r="I10" s="396"/>
      <c r="J10" s="397"/>
      <c r="O10" s="70" t="s">
        <v>36</v>
      </c>
      <c r="P10" s="71">
        <v>2</v>
      </c>
      <c r="R10" s="70" t="s">
        <v>37</v>
      </c>
      <c r="S10" s="71">
        <v>-1</v>
      </c>
    </row>
    <row r="11" spans="2:19" s="34" customFormat="1" ht="25.5" customHeight="1" x14ac:dyDescent="0.2">
      <c r="B11" s="72" t="s">
        <v>38</v>
      </c>
      <c r="C11" s="338" t="s">
        <v>36</v>
      </c>
      <c r="D11" s="332">
        <f>VLOOKUP(C11,$O$9:$P$11,COLUMNS($O$9:$P$9),FALSE)</f>
        <v>2</v>
      </c>
      <c r="E11" s="73" t="s">
        <v>39</v>
      </c>
      <c r="F11" s="334">
        <f>VLOOKUP(E11,$R$9:$S$13,COLUMNS($R$9:$S$9),FALSE)</f>
        <v>1</v>
      </c>
      <c r="G11" s="74">
        <f>(D11*F11)/100</f>
        <v>0.02</v>
      </c>
      <c r="H11" s="396" t="s">
        <v>40</v>
      </c>
      <c r="I11" s="396"/>
      <c r="J11" s="397"/>
      <c r="O11" s="75" t="s">
        <v>34</v>
      </c>
      <c r="P11" s="76">
        <v>3</v>
      </c>
      <c r="R11" s="77" t="s">
        <v>41</v>
      </c>
      <c r="S11" s="78">
        <v>0</v>
      </c>
    </row>
    <row r="12" spans="2:19" s="34" customFormat="1" ht="12.75" customHeight="1" x14ac:dyDescent="0.2">
      <c r="B12" s="72"/>
      <c r="C12" s="338"/>
      <c r="D12" s="333"/>
      <c r="E12" s="73"/>
      <c r="F12" s="334"/>
      <c r="G12" s="79"/>
      <c r="H12" s="80"/>
      <c r="I12" s="80"/>
      <c r="J12" s="81"/>
      <c r="R12" s="77" t="s">
        <v>39</v>
      </c>
      <c r="S12" s="78">
        <v>1</v>
      </c>
    </row>
    <row r="13" spans="2:19" s="34" customFormat="1" ht="30" customHeight="1" x14ac:dyDescent="0.2">
      <c r="B13" s="72" t="s">
        <v>42</v>
      </c>
      <c r="C13" s="338" t="s">
        <v>36</v>
      </c>
      <c r="D13" s="332">
        <f t="shared" ref="D13:D19" si="0">VLOOKUP(C13,$O$9:$P$11,COLUMNS($O$9:$P$9),FALSE)</f>
        <v>2</v>
      </c>
      <c r="E13" s="73" t="s">
        <v>37</v>
      </c>
      <c r="F13" s="334">
        <f t="shared" ref="F13:F18" si="1">VLOOKUP(E13,$R$9:$S$13,COLUMNS($R$9:$S$9),FALSE)</f>
        <v>-1</v>
      </c>
      <c r="G13" s="74">
        <f t="shared" ref="G13:G19" si="2">(D13*F13)/100</f>
        <v>-0.02</v>
      </c>
      <c r="H13" s="396" t="s">
        <v>268</v>
      </c>
      <c r="I13" s="396"/>
      <c r="J13" s="397"/>
      <c r="R13" s="82" t="s">
        <v>35</v>
      </c>
      <c r="S13" s="83">
        <v>2</v>
      </c>
    </row>
    <row r="14" spans="2:19" s="34" customFormat="1" ht="20.100000000000001" customHeight="1" x14ac:dyDescent="0.2">
      <c r="B14" s="72" t="s">
        <v>43</v>
      </c>
      <c r="C14" s="338" t="s">
        <v>36</v>
      </c>
      <c r="D14" s="332">
        <f t="shared" si="0"/>
        <v>2</v>
      </c>
      <c r="E14" s="73" t="s">
        <v>41</v>
      </c>
      <c r="F14" s="334">
        <f t="shared" si="1"/>
        <v>0</v>
      </c>
      <c r="G14" s="74">
        <f t="shared" si="2"/>
        <v>0</v>
      </c>
      <c r="H14" s="396" t="s">
        <v>269</v>
      </c>
      <c r="I14" s="396"/>
      <c r="J14" s="397"/>
    </row>
    <row r="15" spans="2:19" s="34" customFormat="1" ht="30.75" customHeight="1" x14ac:dyDescent="0.2">
      <c r="B15" s="72" t="s">
        <v>44</v>
      </c>
      <c r="C15" s="338" t="s">
        <v>36</v>
      </c>
      <c r="D15" s="332">
        <f t="shared" si="0"/>
        <v>2</v>
      </c>
      <c r="E15" s="73" t="s">
        <v>41</v>
      </c>
      <c r="F15" s="334">
        <f t="shared" si="1"/>
        <v>0</v>
      </c>
      <c r="G15" s="74">
        <f t="shared" si="2"/>
        <v>0</v>
      </c>
      <c r="H15" s="398" t="s">
        <v>289</v>
      </c>
      <c r="I15" s="398"/>
      <c r="J15" s="399"/>
    </row>
    <row r="16" spans="2:19" s="34" customFormat="1" ht="19.5" customHeight="1" x14ac:dyDescent="0.2">
      <c r="B16" s="72" t="s">
        <v>45</v>
      </c>
      <c r="C16" s="338" t="s">
        <v>36</v>
      </c>
      <c r="D16" s="332">
        <f t="shared" si="0"/>
        <v>2</v>
      </c>
      <c r="E16" s="73" t="s">
        <v>41</v>
      </c>
      <c r="F16" s="334">
        <f t="shared" si="1"/>
        <v>0</v>
      </c>
      <c r="G16" s="74">
        <f t="shared" si="2"/>
        <v>0</v>
      </c>
      <c r="H16" s="396" t="s">
        <v>46</v>
      </c>
      <c r="I16" s="396"/>
      <c r="J16" s="397"/>
    </row>
    <row r="17" spans="2:10" s="34" customFormat="1" ht="20.100000000000001" customHeight="1" x14ac:dyDescent="0.2">
      <c r="B17" s="72" t="s">
        <v>47</v>
      </c>
      <c r="C17" s="338" t="s">
        <v>36</v>
      </c>
      <c r="D17" s="332">
        <f t="shared" si="0"/>
        <v>2</v>
      </c>
      <c r="E17" s="73" t="s">
        <v>35</v>
      </c>
      <c r="F17" s="334">
        <f t="shared" si="1"/>
        <v>2</v>
      </c>
      <c r="G17" s="74">
        <f t="shared" si="2"/>
        <v>0.04</v>
      </c>
      <c r="H17" s="396" t="s">
        <v>270</v>
      </c>
      <c r="I17" s="396"/>
      <c r="J17" s="397"/>
    </row>
    <row r="18" spans="2:10" s="34" customFormat="1" ht="20.100000000000001" customHeight="1" x14ac:dyDescent="0.2">
      <c r="B18" s="72" t="s">
        <v>48</v>
      </c>
      <c r="C18" s="338" t="s">
        <v>31</v>
      </c>
      <c r="D18" s="332">
        <f t="shared" si="0"/>
        <v>1</v>
      </c>
      <c r="E18" s="73" t="s">
        <v>41</v>
      </c>
      <c r="F18" s="334">
        <f t="shared" si="1"/>
        <v>0</v>
      </c>
      <c r="G18" s="74">
        <f t="shared" si="2"/>
        <v>0</v>
      </c>
      <c r="H18" s="396" t="s">
        <v>49</v>
      </c>
      <c r="I18" s="396"/>
      <c r="J18" s="397"/>
    </row>
    <row r="19" spans="2:10" s="34" customFormat="1" ht="87" customHeight="1" x14ac:dyDescent="0.2">
      <c r="B19" s="72" t="s">
        <v>50</v>
      </c>
      <c r="C19" s="338" t="s">
        <v>34</v>
      </c>
      <c r="D19" s="332">
        <f t="shared" si="0"/>
        <v>3</v>
      </c>
      <c r="E19" s="73" t="s">
        <v>35</v>
      </c>
      <c r="F19" s="334">
        <v>1.5</v>
      </c>
      <c r="G19" s="74">
        <f t="shared" si="2"/>
        <v>4.4999999999999998E-2</v>
      </c>
      <c r="H19" s="396" t="s">
        <v>288</v>
      </c>
      <c r="I19" s="396"/>
      <c r="J19" s="397"/>
    </row>
    <row r="20" spans="2:10" s="34" customFormat="1" ht="12.75" customHeight="1" x14ac:dyDescent="0.2">
      <c r="B20" s="84"/>
      <c r="E20" s="85"/>
      <c r="G20" s="86"/>
      <c r="J20" s="87"/>
    </row>
    <row r="21" spans="2:10" s="34" customFormat="1" ht="12.75" customHeight="1" x14ac:dyDescent="0.2">
      <c r="B21" s="88" t="s">
        <v>51</v>
      </c>
      <c r="C21" s="89"/>
      <c r="D21" s="89"/>
      <c r="E21" s="89"/>
      <c r="F21" s="89"/>
      <c r="G21" s="90">
        <f>SUM(G10:G20)</f>
        <v>0.14500000000000002</v>
      </c>
      <c r="H21" s="89"/>
      <c r="I21" s="89"/>
      <c r="J21" s="91"/>
    </row>
    <row r="22" spans="2:10" s="34" customFormat="1" ht="12.75" customHeight="1" x14ac:dyDescent="0.2"/>
    <row r="23" spans="2:10" s="34" customFormat="1" ht="12.75" customHeight="1" x14ac:dyDescent="0.2"/>
  </sheetData>
  <mergeCells count="9">
    <mergeCell ref="H17:J17"/>
    <mergeCell ref="H18:J18"/>
    <mergeCell ref="H19:J19"/>
    <mergeCell ref="H10:J10"/>
    <mergeCell ref="H11:J11"/>
    <mergeCell ref="H13:J13"/>
    <mergeCell ref="H14:J14"/>
    <mergeCell ref="H15:J15"/>
    <mergeCell ref="H16:J16"/>
  </mergeCells>
  <conditionalFormatting sqref="B4:J4">
    <cfRule type="cellIs" dxfId="30" priority="1" stopIfTrue="1" operator="equal">
      <formula>"input"</formula>
    </cfRule>
  </conditionalFormatting>
  <dataValidations count="2">
    <dataValidation type="list" allowBlank="1" showInputMessage="1" showErrorMessage="1" sqref="C17:C19 C13:C16 C11 C10" xr:uid="{00000000-0002-0000-0400-000000000000}">
      <formula1>$O$9:$O$11</formula1>
    </dataValidation>
    <dataValidation type="list" allowBlank="1" showInputMessage="1" showErrorMessage="1" sqref="E13:E16 E17:E19 E11 E10" xr:uid="{00000000-0002-0000-0400-000001000000}">
      <formula1>$R$9:$R$13</formula1>
    </dataValidation>
  </dataValidations>
  <pageMargins left="0.5" right="0.5" top="0.5" bottom="0.5" header="0.5" footer="0.5"/>
  <pageSetup scale="85" fitToWidth="0" fitToHeight="0" orientation="landscape"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4"/>
  <sheetViews>
    <sheetView showGridLines="0" view="pageBreakPreview" topLeftCell="A13" zoomScaleNormal="100" zoomScaleSheetLayoutView="100" workbookViewId="0">
      <selection activeCell="D13" sqref="D13:D14"/>
    </sheetView>
  </sheetViews>
  <sheetFormatPr defaultColWidth="9.140625" defaultRowHeight="12.75" x14ac:dyDescent="0.2"/>
  <cols>
    <col min="1" max="1" width="2.7109375" style="54" customWidth="1"/>
    <col min="2" max="2" width="50.5703125" style="54" customWidth="1"/>
    <col min="3" max="3" width="2.42578125" style="54" customWidth="1"/>
    <col min="4" max="6" width="21" style="54" customWidth="1"/>
    <col min="7" max="7" width="2.42578125" style="54" customWidth="1"/>
    <col min="8" max="8" width="12" style="54" bestFit="1" customWidth="1"/>
    <col min="9" max="9" width="2.7109375" style="54" customWidth="1"/>
    <col min="10" max="16384" width="9.140625" style="54"/>
  </cols>
  <sheetData>
    <row r="1" spans="2:12" s="34" customFormat="1" ht="10.7" customHeight="1" thickBot="1" x14ac:dyDescent="0.25">
      <c r="I1" s="54"/>
      <c r="J1" s="54"/>
      <c r="K1" s="54"/>
      <c r="L1" s="54"/>
    </row>
    <row r="2" spans="2:12" s="34" customFormat="1" ht="16.5" customHeight="1" thickTop="1" x14ac:dyDescent="0.25">
      <c r="B2" s="35" t="str">
        <f>Outline!B2</f>
        <v>Satellite Healthcare - Wellbound Santa Cruz</v>
      </c>
      <c r="C2" s="35"/>
      <c r="D2" s="35"/>
      <c r="E2" s="35"/>
      <c r="F2" s="35"/>
      <c r="G2" s="35"/>
      <c r="H2" s="35"/>
      <c r="I2" s="54"/>
      <c r="J2" s="54"/>
      <c r="K2" s="54"/>
      <c r="L2" s="54"/>
    </row>
    <row r="3" spans="2:12" s="34" customFormat="1" ht="15.75" customHeight="1" x14ac:dyDescent="0.25">
      <c r="B3" s="36" t="str">
        <f>Outline!C11</f>
        <v>Workpaper 3</v>
      </c>
      <c r="C3" s="36"/>
      <c r="D3" s="36"/>
      <c r="E3" s="36"/>
      <c r="F3" s="36"/>
      <c r="G3" s="36"/>
      <c r="H3" s="36"/>
      <c r="I3" s="54"/>
      <c r="J3" s="54"/>
      <c r="K3" s="54"/>
      <c r="L3" s="54"/>
    </row>
    <row r="4" spans="2:12" s="34" customFormat="1" ht="16.5" customHeight="1" thickBot="1" x14ac:dyDescent="0.3">
      <c r="B4" s="37" t="s">
        <v>52</v>
      </c>
      <c r="C4" s="37"/>
      <c r="D4" s="37"/>
      <c r="E4" s="37"/>
      <c r="F4" s="37"/>
      <c r="G4" s="37"/>
      <c r="H4" s="37"/>
      <c r="I4" s="54"/>
      <c r="J4" s="54"/>
      <c r="K4" s="54"/>
      <c r="L4" s="54"/>
    </row>
    <row r="5" spans="2:12" s="34" customFormat="1" ht="12.75" customHeight="1" thickTop="1" x14ac:dyDescent="0.2"/>
    <row r="6" spans="2:12" s="34" customFormat="1" ht="12.75" customHeight="1" x14ac:dyDescent="0.2"/>
    <row r="7" spans="2:12" s="34" customFormat="1" ht="12.75" customHeight="1" x14ac:dyDescent="0.2">
      <c r="B7" s="92" t="s">
        <v>53</v>
      </c>
      <c r="C7" s="93"/>
      <c r="D7" s="93"/>
      <c r="E7" s="93"/>
      <c r="F7" s="94"/>
      <c r="H7" s="95" t="s">
        <v>9</v>
      </c>
    </row>
    <row r="8" spans="2:12" s="34" customFormat="1" ht="12.75" customHeight="1" x14ac:dyDescent="0.2"/>
    <row r="9" spans="2:12" s="34" customFormat="1" ht="12.75" customHeight="1" x14ac:dyDescent="0.2">
      <c r="B9" s="96" t="s">
        <v>54</v>
      </c>
      <c r="C9" s="48"/>
      <c r="D9" s="410">
        <v>0.75</v>
      </c>
      <c r="E9" s="410">
        <f>D9+0.5</f>
        <v>1.25</v>
      </c>
      <c r="F9" s="411">
        <f>E9+0.5</f>
        <v>1.75</v>
      </c>
      <c r="H9" s="97" t="s">
        <v>55</v>
      </c>
    </row>
    <row r="10" spans="2:12" s="34" customFormat="1" ht="12.75" customHeight="1" x14ac:dyDescent="0.2">
      <c r="B10" s="77" t="s">
        <v>56</v>
      </c>
      <c r="D10" s="98">
        <f>'Risk-Free Rates'!F28</f>
        <v>2.5950000000000001E-2</v>
      </c>
      <c r="E10" s="98">
        <f>'Risk-Free Rates'!F37</f>
        <v>2.5925E-2</v>
      </c>
      <c r="F10" s="99">
        <f>'Risk-Free Rates'!F45</f>
        <v>2.5174999999999999E-2</v>
      </c>
      <c r="H10" s="100" t="str">
        <f>'Risk-Free Rates'!B3</f>
        <v>Workpaper 9</v>
      </c>
    </row>
    <row r="11" spans="2:12" s="34" customFormat="1" ht="12.75" customHeight="1" x14ac:dyDescent="0.2">
      <c r="B11" s="77" t="s">
        <v>57</v>
      </c>
      <c r="D11" s="101">
        <v>0</v>
      </c>
      <c r="E11" s="101">
        <v>0</v>
      </c>
      <c r="F11" s="102">
        <v>0</v>
      </c>
      <c r="H11" s="103"/>
    </row>
    <row r="12" spans="2:12" s="34" customFormat="1" ht="12.75" customHeight="1" x14ac:dyDescent="0.2">
      <c r="B12" s="77" t="s">
        <v>58</v>
      </c>
      <c r="D12" s="104">
        <f>'Asset Vol_2'!Q33</f>
        <v>0.19</v>
      </c>
      <c r="E12" s="104">
        <f>'Asset Vol_3'!Q33</f>
        <v>0.193</v>
      </c>
      <c r="F12" s="105">
        <f>'Asset Vol_4'!Q33</f>
        <v>0.245</v>
      </c>
      <c r="H12" s="97" t="s">
        <v>59</v>
      </c>
    </row>
    <row r="13" spans="2:12" s="34" customFormat="1" ht="12.75" customHeight="1" x14ac:dyDescent="0.2">
      <c r="B13" s="77"/>
      <c r="F13" s="78"/>
    </row>
    <row r="14" spans="2:12" s="34" customFormat="1" ht="12.75" customHeight="1" x14ac:dyDescent="0.2">
      <c r="B14" s="77" t="s">
        <v>60</v>
      </c>
      <c r="D14" s="106">
        <f t="shared" ref="D14:E14" si="0">D12^2*D9</f>
        <v>2.7075000000000002E-2</v>
      </c>
      <c r="E14" s="106">
        <f t="shared" si="0"/>
        <v>4.6561250000000005E-2</v>
      </c>
      <c r="F14" s="107">
        <f>F12^2*F9</f>
        <v>0.10504374999999999</v>
      </c>
    </row>
    <row r="15" spans="2:12" s="34" customFormat="1" ht="12.75" customHeight="1" x14ac:dyDescent="0.2">
      <c r="B15" s="77" t="s">
        <v>61</v>
      </c>
      <c r="D15" s="106">
        <f t="shared" ref="D15:E15" si="1">(D12^2*D9+LN(2*(EXP(D14)-D12^2*D9-1))-2*LN(EXP(D14)-1))^0.5</f>
        <v>9.4785544902395644E-2</v>
      </c>
      <c r="E15" s="106">
        <f t="shared" si="1"/>
        <v>0.1240971495162395</v>
      </c>
      <c r="F15" s="107">
        <f>(F12^2*F9+LN(2*(EXP(F14)-F12^2*F9-1))-2*LN(EXP(F14)-1))^0.5</f>
        <v>0.18548066939098193</v>
      </c>
    </row>
    <row r="16" spans="2:12" s="34" customFormat="1" ht="12.75" customHeight="1" x14ac:dyDescent="0.2">
      <c r="B16" s="77" t="s">
        <v>4</v>
      </c>
      <c r="D16" s="106">
        <f t="shared" ref="D16:E16" si="2">((D10-D11)*D9)/D15+0.5*D15</f>
        <v>0.25272471436324034</v>
      </c>
      <c r="E16" s="106">
        <f t="shared" si="2"/>
        <v>0.32318470984524583</v>
      </c>
      <c r="F16" s="107">
        <f>((F10-F11)*F9)/F15+0.5*F15</f>
        <v>0.33026508670688309</v>
      </c>
    </row>
    <row r="17" spans="2:8" s="34" customFormat="1" ht="12.75" customHeight="1" x14ac:dyDescent="0.2">
      <c r="B17" s="77" t="s">
        <v>5</v>
      </c>
      <c r="D17" s="106">
        <f t="shared" ref="D17:E17" si="3">((D10-D11)*D9)/D15-0.5*D15</f>
        <v>0.15793916946084469</v>
      </c>
      <c r="E17" s="106">
        <f t="shared" si="3"/>
        <v>0.19908756032900632</v>
      </c>
      <c r="F17" s="107">
        <f>((F10-F11)*F9)/F15-0.5*F15</f>
        <v>0.14478441731590119</v>
      </c>
    </row>
    <row r="18" spans="2:8" s="34" customFormat="1" ht="12.75" customHeight="1" x14ac:dyDescent="0.2">
      <c r="B18" s="77"/>
      <c r="D18" s="108"/>
      <c r="E18" s="108"/>
      <c r="F18" s="109"/>
    </row>
    <row r="19" spans="2:8" s="34" customFormat="1" ht="12.75" customHeight="1" x14ac:dyDescent="0.2">
      <c r="B19" s="88" t="s">
        <v>62</v>
      </c>
      <c r="C19" s="89"/>
      <c r="D19" s="110">
        <f t="shared" ref="D19:E19" si="4">EXP((D10-D11)*D9)*NORMSDIST(D16)-NORMSDIST(D17)</f>
        <v>4.8799043540059706E-2</v>
      </c>
      <c r="E19" s="110">
        <f t="shared" si="4"/>
        <v>6.8461830860529038E-2</v>
      </c>
      <c r="F19" s="111">
        <f>EXP((F10-F11)*F9)*NORMSDIST(F16)-NORMSDIST(F17)</f>
        <v>0.10018960628666529</v>
      </c>
    </row>
    <row r="20" spans="2:8" s="34" customFormat="1" ht="12.75" customHeight="1" x14ac:dyDescent="0.2"/>
    <row r="21" spans="2:8" s="34" customFormat="1" ht="12.75" customHeight="1" x14ac:dyDescent="0.2">
      <c r="B21" s="92" t="s">
        <v>63</v>
      </c>
      <c r="C21" s="93"/>
      <c r="D21" s="94"/>
      <c r="E21" s="94"/>
      <c r="F21" s="94"/>
    </row>
    <row r="22" spans="2:8" s="34" customFormat="1" ht="12.75" customHeight="1" x14ac:dyDescent="0.2"/>
    <row r="23" spans="2:8" s="34" customFormat="1" ht="12.75" customHeight="1" x14ac:dyDescent="0.2">
      <c r="B23" s="96" t="s">
        <v>64</v>
      </c>
      <c r="C23" s="48"/>
      <c r="D23" s="112">
        <v>1</v>
      </c>
      <c r="E23" s="112">
        <v>1</v>
      </c>
      <c r="F23" s="113">
        <v>1</v>
      </c>
    </row>
    <row r="24" spans="2:8" s="34" customFormat="1" ht="12.75" customHeight="1" x14ac:dyDescent="0.2">
      <c r="B24" s="77" t="s">
        <v>65</v>
      </c>
      <c r="D24" s="114">
        <v>1</v>
      </c>
      <c r="E24" s="114">
        <v>1</v>
      </c>
      <c r="F24" s="115">
        <v>1</v>
      </c>
    </row>
    <row r="25" spans="2:8" s="34" customFormat="1" ht="12.75" customHeight="1" x14ac:dyDescent="0.2">
      <c r="B25" s="77" t="s">
        <v>66</v>
      </c>
      <c r="D25" s="106">
        <f t="shared" ref="D25:E26" si="5">D9</f>
        <v>0.75</v>
      </c>
      <c r="E25" s="106">
        <f t="shared" si="5"/>
        <v>1.25</v>
      </c>
      <c r="F25" s="107">
        <f>F9</f>
        <v>1.75</v>
      </c>
      <c r="H25" s="117"/>
    </row>
    <row r="26" spans="2:8" s="34" customFormat="1" ht="12.75" customHeight="1" x14ac:dyDescent="0.2">
      <c r="B26" s="77" t="s">
        <v>56</v>
      </c>
      <c r="D26" s="118">
        <f t="shared" si="5"/>
        <v>2.5950000000000001E-2</v>
      </c>
      <c r="E26" s="118">
        <f t="shared" si="5"/>
        <v>2.5925E-2</v>
      </c>
      <c r="F26" s="119">
        <f>F10</f>
        <v>2.5174999999999999E-2</v>
      </c>
      <c r="H26" s="100" t="str">
        <f>H10</f>
        <v>Workpaper 9</v>
      </c>
    </row>
    <row r="27" spans="2:8" s="34" customFormat="1" ht="12.75" customHeight="1" x14ac:dyDescent="0.2">
      <c r="B27" s="77" t="s">
        <v>58</v>
      </c>
      <c r="D27" s="120">
        <f t="shared" ref="D27:E27" si="6">D12</f>
        <v>0.19</v>
      </c>
      <c r="E27" s="120">
        <f t="shared" si="6"/>
        <v>0.193</v>
      </c>
      <c r="F27" s="121">
        <f>F12</f>
        <v>0.245</v>
      </c>
      <c r="H27" s="100" t="str">
        <f>H12</f>
        <v>(2)</v>
      </c>
    </row>
    <row r="28" spans="2:8" s="34" customFormat="1" ht="12.75" customHeight="1" x14ac:dyDescent="0.2">
      <c r="B28" s="77"/>
      <c r="F28" s="78"/>
    </row>
    <row r="29" spans="2:8" s="34" customFormat="1" ht="12.75" customHeight="1" x14ac:dyDescent="0.2">
      <c r="B29" s="77" t="s">
        <v>67</v>
      </c>
      <c r="D29" s="106">
        <f t="shared" ref="D29:E29" si="7">(LN(D23/D24)+(D26+D27^2/2)*D25)/(D27*SQRT(D25))</f>
        <v>0.20055325140271213</v>
      </c>
      <c r="E29" s="106">
        <f t="shared" si="7"/>
        <v>0.2580717885068054</v>
      </c>
      <c r="F29" s="107">
        <f>(LN(F23/F24)+(F26+F27^2/2)*F25)/(F27*SQRT(F25))</f>
        <v>0.29798449077423894</v>
      </c>
    </row>
    <row r="30" spans="2:8" s="34" customFormat="1" ht="12.75" customHeight="1" x14ac:dyDescent="0.2">
      <c r="B30" s="77" t="s">
        <v>68</v>
      </c>
      <c r="D30" s="106">
        <f t="shared" ref="D30:E30" si="8">D29-D27*SQRT(D25)</f>
        <v>3.6008424683668799E-2</v>
      </c>
      <c r="E30" s="106">
        <f t="shared" si="8"/>
        <v>4.2291228678075665E-2</v>
      </c>
      <c r="F30" s="107">
        <f>F29-F27*SQRT(F25)</f>
        <v>-2.6120044831173417E-2</v>
      </c>
    </row>
    <row r="31" spans="2:8" s="34" customFormat="1" ht="12.75" customHeight="1" x14ac:dyDescent="0.2">
      <c r="B31" s="77"/>
      <c r="F31" s="78"/>
    </row>
    <row r="32" spans="2:8" s="34" customFormat="1" ht="12.75" customHeight="1" x14ac:dyDescent="0.2">
      <c r="B32" s="88" t="s">
        <v>62</v>
      </c>
      <c r="C32" s="122"/>
      <c r="D32" s="110">
        <f t="shared" ref="D32:E32" si="9">D24*EXP(-D26*D25)*NORMSDIST(-D30)-D23*NORMSDIST(-D29)</f>
        <v>5.5753520285895974E-2</v>
      </c>
      <c r="E32" s="110">
        <f t="shared" si="9"/>
        <v>6.9551945952833649E-2</v>
      </c>
      <c r="F32" s="111">
        <f>F24*EXP(-F26*F25)*NORMSDIST(-F30)-F23*NORMSDIST(-F29)</f>
        <v>0.10556270384554572</v>
      </c>
    </row>
    <row r="33" spans="2:8" s="34" customFormat="1" ht="12.75" customHeight="1" x14ac:dyDescent="0.2"/>
    <row r="34" spans="2:8" s="34" customFormat="1" ht="12.75" customHeight="1" x14ac:dyDescent="0.2">
      <c r="B34" s="92" t="s">
        <v>69</v>
      </c>
      <c r="C34" s="93"/>
      <c r="D34" s="94"/>
      <c r="E34" s="94"/>
      <c r="F34" s="94"/>
      <c r="H34" s="95" t="s">
        <v>9</v>
      </c>
    </row>
    <row r="35" spans="2:8" s="34" customFormat="1" ht="12.75" customHeight="1" x14ac:dyDescent="0.2"/>
    <row r="36" spans="2:8" s="34" customFormat="1" ht="12.75" customHeight="1" x14ac:dyDescent="0.2">
      <c r="B36" s="96" t="s">
        <v>66</v>
      </c>
      <c r="C36" s="48"/>
      <c r="D36" s="412">
        <f t="shared" ref="D36:E36" si="10">+D25</f>
        <v>0.75</v>
      </c>
      <c r="E36" s="412">
        <f t="shared" si="10"/>
        <v>1.25</v>
      </c>
      <c r="F36" s="413">
        <f>+F25</f>
        <v>1.75</v>
      </c>
      <c r="H36" s="117"/>
    </row>
    <row r="37" spans="2:8" s="34" customFormat="1" ht="12.75" customHeight="1" x14ac:dyDescent="0.2">
      <c r="B37" s="77" t="s">
        <v>64</v>
      </c>
      <c r="D37" s="114">
        <f t="shared" ref="D37:E38" si="11">+D23</f>
        <v>1</v>
      </c>
      <c r="E37" s="114">
        <f t="shared" si="11"/>
        <v>1</v>
      </c>
      <c r="F37" s="115">
        <f>+F23</f>
        <v>1</v>
      </c>
    </row>
    <row r="38" spans="2:8" s="34" customFormat="1" ht="12.75" customHeight="1" x14ac:dyDescent="0.2">
      <c r="B38" s="77" t="s">
        <v>65</v>
      </c>
      <c r="D38" s="114">
        <f t="shared" si="11"/>
        <v>1</v>
      </c>
      <c r="E38" s="114">
        <f t="shared" si="11"/>
        <v>1</v>
      </c>
      <c r="F38" s="115">
        <f>+F24</f>
        <v>1</v>
      </c>
    </row>
    <row r="39" spans="2:8" s="34" customFormat="1" ht="12.75" customHeight="1" x14ac:dyDescent="0.2">
      <c r="B39" s="77" t="s">
        <v>57</v>
      </c>
      <c r="D39" s="118">
        <f t="shared" ref="D39:E40" si="12">+D11</f>
        <v>0</v>
      </c>
      <c r="E39" s="118">
        <f t="shared" si="12"/>
        <v>0</v>
      </c>
      <c r="F39" s="119">
        <f>+F11</f>
        <v>0</v>
      </c>
    </row>
    <row r="40" spans="2:8" s="34" customFormat="1" ht="12.75" customHeight="1" x14ac:dyDescent="0.2">
      <c r="B40" s="77" t="s">
        <v>58</v>
      </c>
      <c r="D40" s="120">
        <f t="shared" si="12"/>
        <v>0.19</v>
      </c>
      <c r="E40" s="120">
        <f t="shared" si="12"/>
        <v>0.193</v>
      </c>
      <c r="F40" s="121">
        <f>+F12</f>
        <v>0.245</v>
      </c>
      <c r="H40" s="100" t="str">
        <f>H27</f>
        <v>(2)</v>
      </c>
    </row>
    <row r="41" spans="2:8" s="34" customFormat="1" ht="12.75" customHeight="1" x14ac:dyDescent="0.2">
      <c r="B41" s="77"/>
      <c r="F41" s="78"/>
    </row>
    <row r="42" spans="2:8" s="34" customFormat="1" ht="12.75" customHeight="1" x14ac:dyDescent="0.2">
      <c r="B42" s="77" t="s">
        <v>70</v>
      </c>
      <c r="D42" s="106">
        <f t="shared" ref="D42:E42" si="13">LN(2*(EXP((D40^2)*D36)-((D40^2)*D36)-1))-2*(LN((D40^2)*D36))</f>
        <v>9.0453871180313783E-3</v>
      </c>
      <c r="E42" s="106">
        <f t="shared" si="13"/>
        <v>1.5580761754405259E-2</v>
      </c>
      <c r="F42" s="107">
        <f>LN(2*(EXP((F40^2)*F36)-((F40^2)*F36)-1))-2*(LN((F40^2)*F36))</f>
        <v>3.5322509966108306E-2</v>
      </c>
    </row>
    <row r="43" spans="2:8" s="34" customFormat="1" ht="12.75" customHeight="1" x14ac:dyDescent="0.2">
      <c r="B43" s="77" t="s">
        <v>71</v>
      </c>
      <c r="D43" s="106">
        <f t="shared" ref="D43:E43" si="14">SQRT(D42)</f>
        <v>9.5107240092599563E-2</v>
      </c>
      <c r="E43" s="106">
        <f t="shared" si="14"/>
        <v>0.12482292159056869</v>
      </c>
      <c r="F43" s="107">
        <f>SQRT(F42)</f>
        <v>0.18794283696408412</v>
      </c>
    </row>
    <row r="44" spans="2:8" s="34" customFormat="1" ht="12.75" customHeight="1" x14ac:dyDescent="0.2">
      <c r="B44" s="77"/>
      <c r="F44" s="78"/>
    </row>
    <row r="45" spans="2:8" s="34" customFormat="1" ht="12.75" customHeight="1" x14ac:dyDescent="0.2">
      <c r="B45" s="88" t="s">
        <v>62</v>
      </c>
      <c r="C45" s="122"/>
      <c r="D45" s="110">
        <f t="shared" ref="D45:E45" si="15">EXP(-D39*D36)*D38*(2*NORMSDIST(D43/2)-1)</f>
        <v>3.7928003978516589E-2</v>
      </c>
      <c r="E45" s="110">
        <f t="shared" si="15"/>
        <v>4.9764831641070817E-2</v>
      </c>
      <c r="F45" s="111">
        <f>EXP(-F39*F36)*F38*(2*NORMSDIST(F43/2)-1)</f>
        <v>7.4868139009369727E-2</v>
      </c>
    </row>
    <row r="46" spans="2:8" s="34" customFormat="1" ht="12.75" customHeight="1" x14ac:dyDescent="0.2">
      <c r="D46" s="120"/>
      <c r="E46" s="120"/>
      <c r="F46" s="120"/>
    </row>
    <row r="47" spans="2:8" s="34" customFormat="1" ht="12.75" customHeight="1" x14ac:dyDescent="0.2">
      <c r="D47" s="120"/>
      <c r="E47" s="120"/>
      <c r="F47" s="120"/>
    </row>
    <row r="48" spans="2:8" s="34" customFormat="1" ht="12.75" customHeight="1" x14ac:dyDescent="0.2">
      <c r="B48" s="123" t="s">
        <v>72</v>
      </c>
      <c r="C48" s="124"/>
      <c r="D48" s="125">
        <f t="shared" ref="D48:E48" si="16">AVERAGE(D19,D32,D45)</f>
        <v>4.7493522601490756E-2</v>
      </c>
      <c r="E48" s="125">
        <f t="shared" si="16"/>
        <v>6.2592869484811173E-2</v>
      </c>
      <c r="F48" s="126">
        <f>AVERAGE(F19,F32,F45)</f>
        <v>9.3540149713860252E-2</v>
      </c>
      <c r="H48" s="120"/>
    </row>
    <row r="49" spans="1:8" s="34" customFormat="1" ht="12.75" customHeight="1" x14ac:dyDescent="0.2">
      <c r="H49" s="118"/>
    </row>
    <row r="50" spans="1:8" s="34" customFormat="1" ht="12.75" customHeight="1" x14ac:dyDescent="0.2">
      <c r="B50" s="127" t="s">
        <v>73</v>
      </c>
    </row>
    <row r="51" spans="1:8" s="34" customFormat="1" ht="29.1" customHeight="1" x14ac:dyDescent="0.2">
      <c r="A51" s="128" t="s">
        <v>55</v>
      </c>
      <c r="B51" s="400" t="str">
        <f>"Based on discussions with Management, we assumed the term to liquidate an interest in the entity to range from approximately " &amp;TEXT(D9,"0.0") &amp;" to "&amp;TEXT(F9,"0.0")&amp; " years. Management represented the ability to reasonably quickly identify interested parties and consummate transactions."</f>
        <v>Based on discussions with Management, we assumed the term to liquidate an interest in the entity to range from approximately 0.8 to 1.8 years. Management represented the ability to reasonably quickly identify interested parties and consummate transactions.</v>
      </c>
      <c r="C51" s="400"/>
      <c r="D51" s="400"/>
      <c r="E51" s="400"/>
      <c r="F51" s="400"/>
      <c r="G51" s="400"/>
      <c r="H51" s="400"/>
    </row>
    <row r="52" spans="1:8" s="34" customFormat="1" x14ac:dyDescent="0.2">
      <c r="A52" s="128" t="s">
        <v>59</v>
      </c>
      <c r="B52" s="400" t="str">
        <f>"Refer to "&amp;'Asset Vol_2'!B3&amp;" through "&amp;'Asset Vol_4'!B3&amp;"."</f>
        <v>Refer to Workpaper 5 through Workpaper 7.</v>
      </c>
      <c r="C52" s="400"/>
      <c r="D52" s="400"/>
      <c r="E52" s="400"/>
      <c r="F52" s="400"/>
      <c r="G52" s="400"/>
      <c r="H52" s="400"/>
    </row>
    <row r="53" spans="1:8" ht="12.75" customHeight="1" x14ac:dyDescent="0.2">
      <c r="A53" s="128" t="s">
        <v>74</v>
      </c>
      <c r="B53" s="400" t="s">
        <v>280</v>
      </c>
      <c r="C53" s="400"/>
      <c r="D53" s="400"/>
      <c r="E53" s="400"/>
      <c r="F53" s="400"/>
      <c r="G53" s="400"/>
      <c r="H53" s="400"/>
    </row>
    <row r="54" spans="1:8" ht="12.75" customHeight="1" x14ac:dyDescent="0.2"/>
  </sheetData>
  <mergeCells count="3">
    <mergeCell ref="B51:H51"/>
    <mergeCell ref="B52:H52"/>
    <mergeCell ref="B53:H53"/>
  </mergeCells>
  <conditionalFormatting sqref="B4:H4">
    <cfRule type="cellIs" dxfId="29" priority="1" stopIfTrue="1" operator="equal">
      <formula>"input"</formula>
    </cfRule>
  </conditionalFormatting>
  <pageMargins left="0.5" right="0.5" top="0.5" bottom="0.5" header="0.5" footer="0.5"/>
  <pageSetup scale="95" fitToHeight="0" orientation="landscape" r:id="rId1"/>
  <rowBreaks count="1" manualBreakCount="1">
    <brk id="32" max="8"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1"/>
  <sheetViews>
    <sheetView showGridLines="0" view="pageBreakPreview" zoomScaleNormal="100" zoomScaleSheetLayoutView="100" workbookViewId="0">
      <selection activeCell="D13" sqref="D13:D14"/>
    </sheetView>
  </sheetViews>
  <sheetFormatPr defaultColWidth="9.140625" defaultRowHeight="12.75" x14ac:dyDescent="0.2"/>
  <cols>
    <col min="1" max="1" width="2.7109375" style="54" customWidth="1"/>
    <col min="2" max="2" width="28" style="54" customWidth="1"/>
    <col min="3" max="3" width="10.7109375" style="54" customWidth="1"/>
    <col min="4" max="4" width="9.85546875" style="54" customWidth="1"/>
    <col min="5" max="5" width="10.7109375" style="54" customWidth="1"/>
    <col min="6" max="6" width="2.7109375" style="54" customWidth="1"/>
    <col min="7" max="7" width="28" style="54" customWidth="1"/>
    <col min="8" max="8" width="9.85546875" style="54" customWidth="1"/>
    <col min="9" max="10" width="10.7109375" style="54" customWidth="1"/>
    <col min="11" max="11" width="2.7109375" style="54" customWidth="1"/>
    <col min="12" max="16384" width="9.140625" style="54"/>
  </cols>
  <sheetData>
    <row r="1" spans="2:10" s="34" customFormat="1" ht="10.7" customHeight="1" thickBot="1" x14ac:dyDescent="0.25"/>
    <row r="2" spans="2:10" s="34" customFormat="1" ht="16.5" customHeight="1" thickTop="1" x14ac:dyDescent="0.25">
      <c r="B2" s="35" t="str">
        <f>Outline!B2</f>
        <v>Satellite Healthcare - Wellbound Santa Cruz</v>
      </c>
      <c r="C2" s="35"/>
      <c r="D2" s="35"/>
      <c r="E2" s="35"/>
      <c r="F2" s="35"/>
      <c r="G2" s="35"/>
      <c r="H2" s="35"/>
      <c r="I2" s="35"/>
      <c r="J2" s="35"/>
    </row>
    <row r="3" spans="2:10" s="34" customFormat="1" ht="15.75" customHeight="1" x14ac:dyDescent="0.25">
      <c r="B3" s="36" t="str">
        <f>Outline!C12</f>
        <v>Workpaper 4</v>
      </c>
      <c r="C3" s="36"/>
      <c r="D3" s="36"/>
      <c r="E3" s="36"/>
      <c r="F3" s="36"/>
      <c r="G3" s="36"/>
      <c r="H3" s="36"/>
      <c r="I3" s="36"/>
      <c r="J3" s="36"/>
    </row>
    <row r="4" spans="2:10" s="34" customFormat="1" ht="16.5" customHeight="1" thickBot="1" x14ac:dyDescent="0.3">
      <c r="B4" s="37" t="s">
        <v>75</v>
      </c>
      <c r="C4" s="37"/>
      <c r="D4" s="37"/>
      <c r="E4" s="37"/>
      <c r="F4" s="37"/>
      <c r="G4" s="37"/>
      <c r="H4" s="37"/>
      <c r="I4" s="37"/>
      <c r="J4" s="37"/>
    </row>
    <row r="5" spans="2:10" s="34" customFormat="1" ht="12.75" customHeight="1" thickTop="1" x14ac:dyDescent="0.2"/>
    <row r="6" spans="2:10" s="34" customFormat="1" ht="12.75" customHeight="1" x14ac:dyDescent="0.2"/>
    <row r="7" spans="2:10" s="34" customFormat="1" ht="12.75" customHeight="1" x14ac:dyDescent="0.2">
      <c r="B7" s="129" t="s">
        <v>75</v>
      </c>
      <c r="C7" s="130"/>
      <c r="D7" s="130"/>
      <c r="E7" s="130"/>
      <c r="F7" s="130"/>
      <c r="G7" s="130"/>
      <c r="H7" s="130"/>
      <c r="I7" s="130"/>
      <c r="J7" s="131"/>
    </row>
    <row r="8" spans="2:10" s="34" customFormat="1" ht="12.75" customHeight="1" x14ac:dyDescent="0.2">
      <c r="B8" s="58" t="s">
        <v>76</v>
      </c>
      <c r="C8" s="61"/>
      <c r="D8" s="132"/>
      <c r="E8" s="61" t="s">
        <v>77</v>
      </c>
      <c r="F8" s="132"/>
      <c r="G8" s="132" t="s">
        <v>76</v>
      </c>
      <c r="H8" s="61"/>
      <c r="I8" s="132"/>
      <c r="J8" s="133" t="s">
        <v>77</v>
      </c>
    </row>
    <row r="9" spans="2:10" s="34" customFormat="1" ht="12.75" customHeight="1" x14ac:dyDescent="0.2">
      <c r="B9" s="134" t="s">
        <v>78</v>
      </c>
      <c r="G9" s="39" t="s">
        <v>79</v>
      </c>
      <c r="J9" s="78"/>
    </row>
    <row r="10" spans="2:10" s="34" customFormat="1" ht="12.75" customHeight="1" x14ac:dyDescent="0.2">
      <c r="B10" s="77" t="s">
        <v>80</v>
      </c>
      <c r="C10" s="44"/>
      <c r="D10" s="44"/>
      <c r="E10" s="135">
        <v>0.25800000000000001</v>
      </c>
      <c r="G10" s="34" t="s">
        <v>81</v>
      </c>
      <c r="J10" s="136">
        <v>0.221</v>
      </c>
    </row>
    <row r="11" spans="2:10" s="34" customFormat="1" ht="12.75" customHeight="1" x14ac:dyDescent="0.2">
      <c r="B11" s="77" t="s">
        <v>82</v>
      </c>
      <c r="C11" s="47"/>
      <c r="D11" s="47"/>
      <c r="E11" s="135">
        <v>0.33</v>
      </c>
      <c r="G11" s="34" t="s">
        <v>83</v>
      </c>
      <c r="J11" s="136">
        <v>0.27100000000000002</v>
      </c>
    </row>
    <row r="12" spans="2:10" s="34" customFormat="1" ht="12.75" customHeight="1" x14ac:dyDescent="0.2">
      <c r="B12" s="77" t="s">
        <v>84</v>
      </c>
      <c r="C12" s="47"/>
      <c r="D12" s="47"/>
      <c r="E12" s="135">
        <v>0.33500000000000002</v>
      </c>
      <c r="G12" s="34" t="s">
        <v>85</v>
      </c>
      <c r="J12" s="136">
        <v>0.222</v>
      </c>
    </row>
    <row r="13" spans="2:10" s="34" customFormat="1" ht="12.75" customHeight="1" x14ac:dyDescent="0.2">
      <c r="B13" s="77" t="s">
        <v>86</v>
      </c>
      <c r="C13" s="47"/>
      <c r="D13" s="47"/>
      <c r="E13" s="135">
        <v>0.35</v>
      </c>
      <c r="G13" s="34" t="s">
        <v>87</v>
      </c>
      <c r="J13" s="136">
        <v>0.2</v>
      </c>
    </row>
    <row r="14" spans="2:10" s="34" customFormat="1" ht="12.75" customHeight="1" x14ac:dyDescent="0.2">
      <c r="B14" s="77" t="s">
        <v>88</v>
      </c>
      <c r="C14" s="137"/>
      <c r="D14" s="137"/>
      <c r="E14" s="135">
        <v>0.35399999999999998</v>
      </c>
      <c r="G14" s="34" t="s">
        <v>89</v>
      </c>
      <c r="J14" s="136">
        <v>0.21</v>
      </c>
    </row>
    <row r="15" spans="2:10" s="34" customFormat="1" ht="12.75" customHeight="1" x14ac:dyDescent="0.2">
      <c r="B15" s="77" t="s">
        <v>90</v>
      </c>
      <c r="C15" s="137"/>
      <c r="D15" s="137"/>
      <c r="E15" s="135">
        <v>0.45</v>
      </c>
      <c r="G15" s="34" t="s">
        <v>89</v>
      </c>
      <c r="J15" s="136">
        <v>0.13</v>
      </c>
    </row>
    <row r="16" spans="2:10" s="34" customFormat="1" ht="12.75" customHeight="1" x14ac:dyDescent="0.2">
      <c r="B16" s="77" t="s">
        <v>91</v>
      </c>
      <c r="C16" s="137"/>
      <c r="D16" s="137"/>
      <c r="E16" s="135">
        <v>0.33800000000000002</v>
      </c>
      <c r="J16" s="138"/>
    </row>
    <row r="17" spans="2:10" s="34" customFormat="1" ht="12.75" customHeight="1" x14ac:dyDescent="0.2">
      <c r="B17" s="77" t="s">
        <v>92</v>
      </c>
      <c r="C17" s="137"/>
      <c r="D17" s="137"/>
      <c r="E17" s="139">
        <v>0.312</v>
      </c>
      <c r="J17" s="140"/>
    </row>
    <row r="18" spans="2:10" s="34" customFormat="1" ht="12.75" customHeight="1" thickBot="1" x14ac:dyDescent="0.25">
      <c r="B18" s="84" t="s">
        <v>93</v>
      </c>
      <c r="E18" s="141">
        <v>0.34100000000000003</v>
      </c>
      <c r="G18" s="142" t="s">
        <v>94</v>
      </c>
      <c r="J18" s="143">
        <v>0.20899999999999999</v>
      </c>
    </row>
    <row r="19" spans="2:10" s="34" customFormat="1" ht="12.75" customHeight="1" thickTop="1" x14ac:dyDescent="0.2">
      <c r="B19" s="82"/>
      <c r="C19" s="122"/>
      <c r="D19" s="122"/>
      <c r="E19" s="122"/>
      <c r="F19" s="122"/>
      <c r="G19" s="122"/>
      <c r="H19" s="122"/>
      <c r="I19" s="122"/>
      <c r="J19" s="83"/>
    </row>
    <row r="20" spans="2:10" s="34" customFormat="1" ht="12.75" customHeight="1" x14ac:dyDescent="0.2"/>
    <row r="21" spans="2:10" s="34" customFormat="1" ht="12.75" customHeight="1" x14ac:dyDescent="0.2"/>
  </sheetData>
  <conditionalFormatting sqref="B4:J4">
    <cfRule type="cellIs" dxfId="28" priority="1" stopIfTrue="1" operator="equal">
      <formula>"input"</formula>
    </cfRule>
  </conditionalFormatting>
  <pageMargins left="0.5" right="0.5" top="0.5" bottom="0.5" header="0.5" footer="0.5"/>
  <pageSetup fitToWidth="0" fitToHeight="0" orientation="landscape" r:id="rId1"/>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2"/>
  <sheetViews>
    <sheetView showGridLines="0" view="pageBreakPreview" topLeftCell="A11" zoomScaleNormal="100" zoomScaleSheetLayoutView="100" workbookViewId="0">
      <selection activeCell="D13" sqref="D13:D14"/>
    </sheetView>
  </sheetViews>
  <sheetFormatPr defaultColWidth="9.140625" defaultRowHeight="12.75" outlineLevelRow="1" outlineLevelCol="1" x14ac:dyDescent="0.2"/>
  <cols>
    <col min="1" max="1" width="2.7109375" style="54" customWidth="1"/>
    <col min="2" max="2" width="37.28515625" style="54" customWidth="1"/>
    <col min="3" max="3" width="2.42578125" style="54" customWidth="1"/>
    <col min="4" max="4" width="10" style="54" customWidth="1"/>
    <col min="5" max="5" width="9.28515625" style="54" hidden="1" customWidth="1" outlineLevel="1"/>
    <col min="6" max="7" width="8.42578125" style="54" hidden="1" customWidth="1" outlineLevel="1"/>
    <col min="8" max="8" width="9" style="54" customWidth="1" collapsed="1"/>
    <col min="9" max="9" width="9.85546875" style="54" customWidth="1"/>
    <col min="10" max="10" width="8.42578125" style="54" customWidth="1"/>
    <col min="11" max="11" width="10" style="54" customWidth="1"/>
    <col min="12" max="12" width="2.42578125" style="54" customWidth="1"/>
    <col min="13" max="13" width="8.7109375" style="54" customWidth="1"/>
    <col min="14" max="15" width="7.5703125" style="54" customWidth="1"/>
    <col min="16" max="16" width="2.42578125" style="229" customWidth="1"/>
    <col min="17" max="17" width="7.5703125" style="54" customWidth="1"/>
    <col min="18" max="18" width="2.42578125" style="54" customWidth="1"/>
    <col min="19" max="19" width="10" style="54" hidden="1" customWidth="1" outlineLevel="1"/>
    <col min="20" max="20" width="8.42578125" style="54" hidden="1" customWidth="1" outlineLevel="1"/>
    <col min="21" max="23" width="7.5703125" style="54" hidden="1" customWidth="1" outlineLevel="1"/>
    <col min="24" max="24" width="10.28515625" style="54" customWidth="1" collapsed="1"/>
    <col min="25" max="25" width="8.140625" style="54" customWidth="1"/>
    <col min="26" max="26" width="2.7109375" style="54" customWidth="1"/>
    <col min="27" max="27" width="15" style="54" bestFit="1" customWidth="1"/>
    <col min="28" max="28" width="10.5703125" style="54" bestFit="1" customWidth="1"/>
    <col min="29" max="29" width="8.140625" style="54" bestFit="1" customWidth="1"/>
    <col min="30" max="30" width="8.7109375" style="54" bestFit="1" customWidth="1"/>
    <col min="31" max="16384" width="9.140625" style="54"/>
  </cols>
  <sheetData>
    <row r="1" spans="2:35" s="34" customFormat="1" ht="10.7" customHeight="1" thickBot="1" x14ac:dyDescent="0.25"/>
    <row r="2" spans="2:35" s="34" customFormat="1" ht="16.5" customHeight="1" thickTop="1" x14ac:dyDescent="0.25">
      <c r="B2" s="35" t="str">
        <f>Outline!B2</f>
        <v>Satellite Healthcare - Wellbound Santa Cruz</v>
      </c>
      <c r="C2" s="35"/>
      <c r="D2" s="35"/>
      <c r="E2" s="35"/>
      <c r="F2" s="35"/>
      <c r="G2" s="35"/>
      <c r="H2" s="35"/>
      <c r="I2" s="35"/>
      <c r="J2" s="35"/>
      <c r="K2" s="35"/>
      <c r="L2" s="35"/>
      <c r="M2" s="35"/>
      <c r="N2" s="35"/>
      <c r="O2" s="35"/>
      <c r="P2" s="35"/>
      <c r="Q2" s="35"/>
      <c r="R2" s="35"/>
      <c r="S2" s="35"/>
      <c r="T2" s="35"/>
      <c r="U2" s="35"/>
      <c r="V2" s="35"/>
      <c r="W2" s="35"/>
      <c r="X2" s="35"/>
      <c r="Y2" s="35"/>
      <c r="AA2" s="96" t="s">
        <v>95</v>
      </c>
      <c r="AB2" s="326">
        <v>43465</v>
      </c>
    </row>
    <row r="3" spans="2:35" s="34" customFormat="1" ht="15.75" customHeight="1" x14ac:dyDescent="0.25">
      <c r="B3" s="36" t="str">
        <f>Outline!C13</f>
        <v>Workpaper 5</v>
      </c>
      <c r="C3" s="36"/>
      <c r="D3" s="36"/>
      <c r="E3" s="36"/>
      <c r="F3" s="36"/>
      <c r="G3" s="36"/>
      <c r="H3" s="36"/>
      <c r="I3" s="36"/>
      <c r="J3" s="36"/>
      <c r="K3" s="36"/>
      <c r="L3" s="36"/>
      <c r="M3" s="36"/>
      <c r="N3" s="36"/>
      <c r="O3" s="36"/>
      <c r="P3" s="36"/>
      <c r="Q3" s="36"/>
      <c r="R3" s="36"/>
      <c r="S3" s="36"/>
      <c r="T3" s="36"/>
      <c r="U3" s="36"/>
      <c r="V3" s="36"/>
      <c r="W3" s="36"/>
      <c r="X3" s="36"/>
      <c r="Y3" s="36"/>
      <c r="AA3" s="77" t="s">
        <v>96</v>
      </c>
      <c r="AB3" s="327" t="s">
        <v>97</v>
      </c>
    </row>
    <row r="4" spans="2:35" s="34" customFormat="1" ht="16.5" customHeight="1" thickBot="1" x14ac:dyDescent="0.3">
      <c r="B4" s="37" t="str">
        <f>"Asset Volatility - Term of "&amp;TEXT(N7,"0.00")&amp;" Year"</f>
        <v>Asset Volatility - Term of 0.75 Year</v>
      </c>
      <c r="C4" s="37"/>
      <c r="D4" s="37"/>
      <c r="E4" s="37"/>
      <c r="F4" s="37"/>
      <c r="G4" s="37"/>
      <c r="H4" s="37"/>
      <c r="I4" s="37"/>
      <c r="J4" s="37"/>
      <c r="K4" s="37"/>
      <c r="L4" s="37"/>
      <c r="M4" s="37"/>
      <c r="N4" s="37"/>
      <c r="O4" s="37"/>
      <c r="P4" s="37"/>
      <c r="Q4" s="37"/>
      <c r="R4" s="37"/>
      <c r="S4" s="37"/>
      <c r="T4" s="37"/>
      <c r="U4" s="37"/>
      <c r="V4" s="37"/>
      <c r="W4" s="37"/>
      <c r="X4" s="37"/>
      <c r="Y4" s="144" t="s">
        <v>98</v>
      </c>
      <c r="AA4" s="77" t="s">
        <v>99</v>
      </c>
      <c r="AB4" s="328" t="s">
        <v>100</v>
      </c>
    </row>
    <row r="5" spans="2:35" s="34" customFormat="1" ht="12.75" customHeight="1" thickTop="1" x14ac:dyDescent="0.2">
      <c r="B5" s="103"/>
      <c r="P5" s="103"/>
      <c r="AA5" s="77" t="s">
        <v>101</v>
      </c>
      <c r="AB5" s="327" t="s">
        <v>102</v>
      </c>
    </row>
    <row r="6" spans="2:35" s="34" customFormat="1" ht="12.75" customHeight="1" x14ac:dyDescent="0.2">
      <c r="B6" s="103"/>
      <c r="P6" s="103"/>
      <c r="AA6" s="82" t="s">
        <v>103</v>
      </c>
      <c r="AB6" s="329" t="s">
        <v>104</v>
      </c>
    </row>
    <row r="7" spans="2:35" s="34" customFormat="1" ht="12.75" hidden="1" customHeight="1" outlineLevel="1" x14ac:dyDescent="0.2">
      <c r="N7" s="145">
        <f>'DLOM_Quantitative Methods'!D9</f>
        <v>0.75</v>
      </c>
      <c r="O7" s="98">
        <f>'Risk-Free Rates'!F28</f>
        <v>2.5950000000000001E-2</v>
      </c>
      <c r="P7" s="103"/>
      <c r="Q7" s="146">
        <f>ROUND(N7,0)</f>
        <v>1</v>
      </c>
    </row>
    <row r="8" spans="2:35" s="34" customFormat="1" ht="25.5" customHeight="1" collapsed="1" x14ac:dyDescent="0.2">
      <c r="D8" s="92" t="s">
        <v>105</v>
      </c>
      <c r="E8" s="93"/>
      <c r="F8" s="93"/>
      <c r="G8" s="93"/>
      <c r="H8" s="93"/>
      <c r="I8" s="93"/>
      <c r="J8" s="93"/>
      <c r="K8" s="94"/>
      <c r="M8" s="92" t="s">
        <v>106</v>
      </c>
      <c r="N8" s="93"/>
      <c r="O8" s="93"/>
      <c r="P8" s="147"/>
      <c r="Q8" s="94"/>
      <c r="S8" s="92" t="s">
        <v>107</v>
      </c>
      <c r="T8" s="93"/>
      <c r="U8" s="93"/>
      <c r="V8" s="93"/>
      <c r="W8" s="93"/>
      <c r="X8" s="386" t="s">
        <v>107</v>
      </c>
      <c r="Y8" s="94"/>
    </row>
    <row r="9" spans="2:35" s="149" customFormat="1" ht="43.5" customHeight="1" x14ac:dyDescent="0.2">
      <c r="B9" s="148" t="s">
        <v>108</v>
      </c>
      <c r="D9" s="150" t="s">
        <v>109</v>
      </c>
      <c r="E9" s="151" t="s">
        <v>45</v>
      </c>
      <c r="F9" s="151" t="s">
        <v>110</v>
      </c>
      <c r="G9" s="151" t="s">
        <v>111</v>
      </c>
      <c r="H9" s="151" t="s">
        <v>112</v>
      </c>
      <c r="I9" s="151" t="s">
        <v>113</v>
      </c>
      <c r="J9" s="151" t="s">
        <v>114</v>
      </c>
      <c r="K9" s="152" t="s">
        <v>115</v>
      </c>
      <c r="L9" s="153"/>
      <c r="M9" s="150" t="s">
        <v>57</v>
      </c>
      <c r="N9" s="151" t="s">
        <v>116</v>
      </c>
      <c r="O9" s="152" t="s">
        <v>56</v>
      </c>
      <c r="P9" s="154"/>
      <c r="Q9" s="155" t="s">
        <v>117</v>
      </c>
      <c r="R9" s="154"/>
      <c r="S9" s="150" t="s">
        <v>118</v>
      </c>
      <c r="T9" s="151" t="s">
        <v>67</v>
      </c>
      <c r="U9" s="151" t="s">
        <v>68</v>
      </c>
      <c r="V9" s="151" t="s">
        <v>119</v>
      </c>
      <c r="W9" s="151" t="s">
        <v>120</v>
      </c>
      <c r="X9" s="150" t="s">
        <v>121</v>
      </c>
      <c r="Y9" s="152" t="s">
        <v>122</v>
      </c>
      <c r="Z9" s="156" t="s">
        <v>55</v>
      </c>
      <c r="AA9" s="157" t="s">
        <v>123</v>
      </c>
      <c r="AB9" s="158"/>
      <c r="AC9" s="158"/>
      <c r="AD9" s="159"/>
    </row>
    <row r="10" spans="2:35" s="34" customFormat="1" ht="12.75" customHeight="1" x14ac:dyDescent="0.2">
      <c r="P10" s="103"/>
    </row>
    <row r="11" spans="2:35" s="34" customFormat="1" ht="12.75" customHeight="1" x14ac:dyDescent="0.2">
      <c r="B11" s="160" t="str">
        <f>_xll.ciqfunctions.udf.CIQ($AA11,"IQ_COMPANY_NAME")</f>
        <v>Fresenius SE &amp; Co. KGaA</v>
      </c>
      <c r="D11" s="161">
        <f>_xll.ciqfunctions.udf.CIQ($AA11, "IQ_MARKETCAP", $AB$2, $AB$5, $AB$6)</f>
        <v>26881.01298</v>
      </c>
      <c r="E11" s="162">
        <f>_xll.ciqfunctions.udf.CIQ($AA11, "IQ_TOTAL_DEBT", IQ_LTM, $AB$2,$AB$4, $AB$3, $AB$5, $AB$6)</f>
        <v>22029.74324</v>
      </c>
      <c r="F11" s="162">
        <f>_xll.ciqfunctions.udf.CIQ($AA11, "IQ_PREF_EQUITY", IQ_LTM, $AB$2, $AB$4, $AB$3, $AB$5, $AB$6)</f>
        <v>0</v>
      </c>
      <c r="G11" s="162">
        <f>_xll.ciqfunctions.udf.CIQ($AA11, "IQ_MINORITY_INTEREST_TOTAL", IQ_LTM, $AB$2, $AB$4, $AB$3, $AB$5, $AB$6)</f>
        <v>10668.060880000001</v>
      </c>
      <c r="H11" s="116">
        <f>SUM(E11:G11)</f>
        <v>32697.804120000001</v>
      </c>
      <c r="I11" s="116">
        <f>SUM(D11:G11)</f>
        <v>59578.8171</v>
      </c>
      <c r="J11" s="163">
        <f>_xll.ciqfunctions.udf.CIQ($AA11, "IQ_CASH_ST_INVEST", IQ_LTM, $AB$2, $AB$4, $AB$3, $AB$5, $AB$6)</f>
        <v>2853.4913499999998</v>
      </c>
      <c r="K11" s="163">
        <f>_xll.ciqfunctions.udf.CIQ($AA11, "IQ_TEV", $AB$2, $AB$5, $AB$6)</f>
        <v>56291.36333</v>
      </c>
      <c r="M11" s="164">
        <f>IFERROR(_xll.ciqfunctions.udf.CIQ($AA11, "IQ_DIVIDEND_YIELD", $AB$2)/100,0)</f>
        <v>1.7763999999999999E-2</v>
      </c>
      <c r="N11" s="116">
        <f t="shared" ref="N11:O15" si="0">N$7</f>
        <v>0.75</v>
      </c>
      <c r="O11" s="165">
        <f t="shared" si="0"/>
        <v>2.5950000000000001E-2</v>
      </c>
      <c r="P11" s="166"/>
      <c r="Q11" s="167">
        <f>IFERROR(HLOOKUP($Q$7,'Equity Vol'!$B$8:$K10,ROWS('Equity Vol'!$C$8:$C10),FALSE),"n/a")</f>
        <v>0.37049945727814049</v>
      </c>
      <c r="R11" s="103"/>
      <c r="S11" s="168">
        <f>IFERROR(IF(Q11="n/a","n/a",Q11^2),"n/a")</f>
        <v>0.13726984784339666</v>
      </c>
      <c r="T11" s="168">
        <f>IF(OR(K11="n/a",S11="n/a"),"n/a",IF(H11=0,0,IF(M11=0,(LN(K11/H11)+((O11+(S11/2))*N11))/((S11*N11)^0.5),(LN(K11/H11)+((O11-M11+(S11/2))*N11))/((S11*N11)^0.5))))</f>
        <v>1.8726087756245311</v>
      </c>
      <c r="U11" s="169">
        <f>IF(T11="n/a","n/a",IF(H11=0,0,T11-(S11*N11)^0.5))</f>
        <v>1.551746833533314</v>
      </c>
      <c r="V11" s="169">
        <f>IF(OR(T11="n/a",S11="n/a"),"n/a",IF(H11=0,0,NORMSDIST(T11)))</f>
        <v>0.96943878568640163</v>
      </c>
      <c r="W11" s="169">
        <f>IF(OR(U11="n/a",S11="n/a"),"n/a",IF(H11=0,0,NORMSDIST(U11)))</f>
        <v>0.93963859409019523</v>
      </c>
      <c r="X11" s="170">
        <f>IF(OR(K11="n/a",S11="n/a"),"n/a",IF(M11=0,(K11*V11)-((H11*EXP(1)^(-O11*N11))*W11),(K11*(2.718^(-M11*N11))*V11)-(H11*(2.718^(-O11*N11))*W11)))</f>
        <v>23716.884509553405</v>
      </c>
      <c r="Y11" s="171">
        <f>IFERROR(IF(LEN(B11)&gt;0,IF(H11=0,Q11,IF(ISERROR(Q11/((K11/X11)*V11)),"n/a",Q11/((K11/X11)*V11)))),"n/a")</f>
        <v>0.16102119920376307</v>
      </c>
      <c r="AA11" s="325" t="s">
        <v>260</v>
      </c>
      <c r="AB11" s="116"/>
      <c r="AC11" s="173"/>
      <c r="AI11" s="174"/>
    </row>
    <row r="12" spans="2:35" s="34" customFormat="1" ht="12.75" customHeight="1" x14ac:dyDescent="0.2">
      <c r="B12" s="160" t="str">
        <f>_xll.ciqfunctions.udf.CIQ($AA12,"IQ_COMPANY_NAME")</f>
        <v>Fresenius Medical Care AG &amp; Co. KGaA</v>
      </c>
      <c r="D12" s="161">
        <f>_xll.ciqfunctions.udf.CIQ($AA12, "IQ_MARKETCAP", $AB$2, $AB$5, $AB$6)</f>
        <v>19898.931329999999</v>
      </c>
      <c r="E12" s="162">
        <f>_xll.ciqfunctions.udf.CIQ($AA12, "IQ_TOTAL_DEBT", IQ_LTM, $AB$2,$AB$4, $AB$3, $AB$5, $AB$6)</f>
        <v>8562.8604599999999</v>
      </c>
      <c r="F12" s="162">
        <f>_xll.ciqfunctions.udf.CIQ($AA12, "IQ_PREF_EQUITY", IQ_LTM, $AB$2, $AB$4, $AB$3, $AB$5, $AB$6)</f>
        <v>0</v>
      </c>
      <c r="G12" s="162">
        <f>_xll.ciqfunctions.udf.CIQ($AA12, "IQ_MINORITY_INTEREST_TOTAL", IQ_LTM, $AB$2, $AB$4, $AB$3, $AB$5, $AB$6)</f>
        <v>1312.1436000000001</v>
      </c>
      <c r="H12" s="116">
        <f>SUM(E12:G12)</f>
        <v>9875.0040599999993</v>
      </c>
      <c r="I12" s="116">
        <f>SUM(D12:G12)</f>
        <v>29773.935389999999</v>
      </c>
      <c r="J12" s="163">
        <f>_xll.ciqfunctions.udf.CIQ($AA12, "IQ_CASH_ST_INVEST", IQ_LTM, $AB$2, $AB$4, $AB$3, $AB$5, $AB$6)</f>
        <v>2037.9365600000001</v>
      </c>
      <c r="K12" s="163">
        <f>_xll.ciqfunctions.udf.CIQ($AA12, "IQ_TEV", $AB$2, $AB$5, $AB$6)</f>
        <v>27622.041020000001</v>
      </c>
      <c r="M12" s="164">
        <f>IFERROR(_xll.ciqfunctions.udf.CIQ($AA12, "IQ_DIVIDEND_YIELD", $AB$2)/100,0)</f>
        <v>1.8713999999999998E-2</v>
      </c>
      <c r="N12" s="116">
        <f t="shared" si="0"/>
        <v>0.75</v>
      </c>
      <c r="O12" s="165">
        <f t="shared" si="0"/>
        <v>2.5950000000000001E-2</v>
      </c>
      <c r="P12" s="166"/>
      <c r="Q12" s="167">
        <f>IFERROR(HLOOKUP($Q$7,'Equity Vol'!$B$8:$K11,ROWS('Equity Vol'!$C$8:$C11),FALSE),"n/a")</f>
        <v>0.3288738213084566</v>
      </c>
      <c r="R12" s="103"/>
      <c r="S12" s="168">
        <f>IFERROR(IF(Q12="n/a","n/a",Q12^2),"n/a")</f>
        <v>0.10815799034202664</v>
      </c>
      <c r="T12" s="168">
        <f>IF(OR(K12="n/a",S12="n/a"),"n/a",IF(H12=0,0,IF(M12=0,(LN(K12/H12)+((O12+(S12/2))*N12))/((S12*N12)^0.5),(LN(K12/H12)+((O12-M12+(S12/2))*N12))/((S12*N12)^0.5))))</f>
        <v>3.7729782335393471</v>
      </c>
      <c r="U12" s="169">
        <f>IF(T12="n/a","n/a",IF(H12=0,0,T12-(S12*N12)^0.5))</f>
        <v>3.4881651496465595</v>
      </c>
      <c r="V12" s="169">
        <f>IF(OR(T12="n/a",S12="n/a"),"n/a",IF(H12=0,0,NORMSDIST(T12)))</f>
        <v>0.99991934481705291</v>
      </c>
      <c r="W12" s="169">
        <f>IF(OR(U12="n/a",S12="n/a"),"n/a",IF(H12=0,0,NORMSDIST(U12)))</f>
        <v>0.99975682621176554</v>
      </c>
      <c r="X12" s="170">
        <f>IF(OR(K12="n/a",S12="n/a"),"n/a",IF(M12=0,(K12*V12)-((H12*EXP(1)^(-O12*N12))*W12),(K12*(2.718^(-M12*N12))*V12)-(H12*(2.718^(-O12*N12))*W12)))</f>
        <v>17552.568237857216</v>
      </c>
      <c r="Y12" s="171">
        <f>IFERROR(IF(LEN(B12)&gt;0,IF(H12=0,Q12,IF(ISERROR(Q12/((K12/X12)*V12)),"n/a",Q12/((K12/X12)*V12)))),"n/a")</f>
        <v>0.20900142071500027</v>
      </c>
      <c r="AA12" s="325" t="s">
        <v>264</v>
      </c>
      <c r="AB12" s="116"/>
      <c r="AC12" s="173"/>
      <c r="AI12" s="174"/>
    </row>
    <row r="13" spans="2:35" s="34" customFormat="1" ht="12.75" customHeight="1" x14ac:dyDescent="0.2">
      <c r="B13" s="160" t="str">
        <f>_xll.ciqfunctions.udf.CIQ($AA13,"IQ_COMPANY_NAME")</f>
        <v>DaVita Inc.</v>
      </c>
      <c r="D13" s="161">
        <f>_xll.ciqfunctions.udf.CIQ($AA13, "IQ_MARKETCAP", $AB$2, $AB$5, $AB$6)</f>
        <v>8541.5613400000002</v>
      </c>
      <c r="E13" s="162">
        <f>_xll.ciqfunctions.udf.CIQ($AA13, "IQ_TOTAL_DEBT", IQ_LTM, $AB$2,$AB$4, $AB$3, $AB$5, $AB$6)</f>
        <v>10224.737999999999</v>
      </c>
      <c r="F13" s="162">
        <f>_xll.ciqfunctions.udf.CIQ($AA13, "IQ_PREF_EQUITY", IQ_LTM, $AB$2, $AB$4, $AB$3, $AB$5, $AB$6)</f>
        <v>0</v>
      </c>
      <c r="G13" s="162">
        <f>_xll.ciqfunctions.udf.CIQ($AA13, "IQ_MINORITY_INTEREST_TOTAL", IQ_LTM, $AB$2, $AB$4, $AB$3, $AB$5, $AB$6)</f>
        <v>1269.0250000000001</v>
      </c>
      <c r="H13" s="116">
        <f>SUM(E13:G13)</f>
        <v>11493.762999999999</v>
      </c>
      <c r="I13" s="116">
        <f>SUM(D13:G13)</f>
        <v>20035.324339999999</v>
      </c>
      <c r="J13" s="163">
        <f>_xll.ciqfunctions.udf.CIQ($AA13, "IQ_CASH_ST_INVEST", IQ_LTM, $AB$2, $AB$4, $AB$3, $AB$5, $AB$6)</f>
        <v>452.94499999999999</v>
      </c>
      <c r="K13" s="163">
        <f>_xll.ciqfunctions.udf.CIQ($AA13, "IQ_TEV", $AB$2, $AB$5, $AB$6)</f>
        <v>19582.37934</v>
      </c>
      <c r="M13" s="164">
        <f>IFERROR(_xll.ciqfunctions.udf.CIQ($AA13, "IQ_DIVIDEND_YIELD", $AB$2)/100,0)</f>
        <v>0</v>
      </c>
      <c r="N13" s="116">
        <f t="shared" si="0"/>
        <v>0.75</v>
      </c>
      <c r="O13" s="165">
        <f t="shared" si="0"/>
        <v>2.5950000000000001E-2</v>
      </c>
      <c r="P13" s="166"/>
      <c r="Q13" s="167">
        <f>IFERROR(HLOOKUP($Q$7,'Equity Vol'!$B$8:$K12,ROWS('Equity Vol'!$C$8:$C12),FALSE),"n/a")</f>
        <v>0.30365987198958466</v>
      </c>
      <c r="R13" s="103"/>
      <c r="S13" s="168">
        <f>IFERROR(IF(Q13="n/a","n/a",Q13^2),"n/a")</f>
        <v>9.2209317856730949E-2</v>
      </c>
      <c r="T13" s="168">
        <f>IF(OR(K13="n/a",S13="n/a"),"n/a",IF(H13=0,0,IF(M13=0,(LN(K13/H13)+((O13+(S13/2))*N13))/((S13*N13)^0.5),(LN(K13/H13)+((O13-M13+(S13/2))*N13))/((S13*N13)^0.5))))</f>
        <v>2.231625724203695</v>
      </c>
      <c r="U13" s="169">
        <f>IF(T13="n/a","n/a",IF(H13=0,0,T13-(S13*N13)^0.5))</f>
        <v>1.968648560950784</v>
      </c>
      <c r="V13" s="169">
        <f>IF(OR(T13="n/a",S13="n/a"),"n/a",IF(H13=0,0,NORMSDIST(T13)))</f>
        <v>0.98718014499610052</v>
      </c>
      <c r="W13" s="169">
        <f>IF(OR(U13="n/a",S13="n/a"),"n/a",IF(H13=0,0,NORMSDIST(U13)))</f>
        <v>0.97550326898479767</v>
      </c>
      <c r="X13" s="170">
        <f>IF(OR(K13="n/a",S13="n/a"),"n/a",IF(M13=0,(K13*V13)-((H13*EXP(1)^(-O13*N13))*W13),(K13*(2.718^(-M13*N13))*V13)-(H13*(2.718^(-O13*N13))*W13)))</f>
        <v>8335.2403855627526</v>
      </c>
      <c r="Y13" s="171">
        <f>IFERROR(IF(LEN(B13)&gt;0,IF(H13=0,Q13,IF(ISERROR(Q13/((K13/X13)*V13)),"n/a",Q13/((K13/X13)*V13)))),"n/a")</f>
        <v>0.13093135510662715</v>
      </c>
      <c r="AA13" s="325" t="s">
        <v>261</v>
      </c>
      <c r="AB13" s="116"/>
      <c r="AC13" s="173"/>
      <c r="AI13" s="174"/>
    </row>
    <row r="14" spans="2:35" s="34" customFormat="1" ht="12.75" customHeight="1" x14ac:dyDescent="0.2">
      <c r="B14" s="160" t="str">
        <f>_xll.ciqfunctions.udf.CIQ($AA14,"IQ_COMPANY_NAME")</f>
        <v>NxStage Medical, Inc.</v>
      </c>
      <c r="D14" s="161">
        <f>_xll.ciqfunctions.udf.CIQ($AA14, "IQ_MARKETCAP", $AB$2, $AB$5, $AB$6)</f>
        <v>1908.5158899999999</v>
      </c>
      <c r="E14" s="162">
        <f>_xll.ciqfunctions.udf.CIQ($AA14, "IQ_TOTAL_DEBT", IQ_LTM, $AB$2,$AB$4, $AB$3, $AB$5, $AB$6)</f>
        <v>13.305999999999999</v>
      </c>
      <c r="F14" s="162">
        <f>_xll.ciqfunctions.udf.CIQ($AA14, "IQ_PREF_EQUITY", IQ_LTM, $AB$2, $AB$4, $AB$3, $AB$5, $AB$6)</f>
        <v>0</v>
      </c>
      <c r="G14" s="162">
        <f>_xll.ciqfunctions.udf.CIQ($AA14, "IQ_MINORITY_INTEREST_TOTAL", IQ_LTM, $AB$2, $AB$4, $AB$3, $AB$5, $AB$6)</f>
        <v>0.42099999999999999</v>
      </c>
      <c r="H14" s="116">
        <f>SUM(E14:G14)</f>
        <v>13.726999999999999</v>
      </c>
      <c r="I14" s="116">
        <f>SUM(D14:G14)</f>
        <v>1922.24289</v>
      </c>
      <c r="J14" s="163">
        <f>_xll.ciqfunctions.udf.CIQ($AA14, "IQ_CASH_ST_INVEST", IQ_LTM, $AB$2, $AB$4, $AB$3, $AB$5, $AB$6)</f>
        <v>81.944000000000003</v>
      </c>
      <c r="K14" s="163">
        <f>_xll.ciqfunctions.udf.CIQ($AA14, "IQ_TEV", $AB$2, $AB$5, $AB$6)</f>
        <v>1840.29889</v>
      </c>
      <c r="M14" s="164">
        <f>IFERROR(_xll.ciqfunctions.udf.CIQ($AA14, "IQ_DIVIDEND_YIELD", $AB$2)/100,0)</f>
        <v>0</v>
      </c>
      <c r="N14" s="116">
        <f t="shared" si="0"/>
        <v>0.75</v>
      </c>
      <c r="O14" s="165">
        <f t="shared" si="0"/>
        <v>2.5950000000000001E-2</v>
      </c>
      <c r="P14" s="166"/>
      <c r="Q14" s="167">
        <f>IFERROR(HLOOKUP($Q$7,'Equity Vol'!$B$8:$K13,ROWS('Equity Vol'!$C$8:$C13),FALSE),"n/a")</f>
        <v>0.15034732733466866</v>
      </c>
      <c r="R14" s="103"/>
      <c r="S14" s="168">
        <f>IFERROR(IF(Q14="n/a","n/a",Q14^2),"n/a")</f>
        <v>2.2604318836678006E-2</v>
      </c>
      <c r="T14" s="168">
        <f>IF(OR(K14="n/a",S14="n/a"),"n/a",IF(H14=0,0,IF(M14=0,(LN(K14/H14)+((O14+(S14/2))*N14))/((S14*N14)^0.5),(LN(K14/H14)+((O14-M14+(S14/2))*N14))/((S14*N14)^0.5))))</f>
        <v>37.8347425278019</v>
      </c>
      <c r="U14" s="169">
        <f>IF(T14="n/a","n/a",IF(H14=0,0,T14-(S14*N14)^0.5))</f>
        <v>37.704537922938982</v>
      </c>
      <c r="V14" s="169">
        <f>IF(OR(T14="n/a",S14="n/a"),"n/a",IF(H14=0,0,NORMSDIST(T14)))</f>
        <v>1</v>
      </c>
      <c r="W14" s="169">
        <f>IF(OR(U14="n/a",S14="n/a"),"n/a",IF(H14=0,0,NORMSDIST(U14)))</f>
        <v>1</v>
      </c>
      <c r="X14" s="170">
        <f>IF(OR(K14="n/a",S14="n/a"),"n/a",IF(M14=0,(K14*V14)-((H14*EXP(1)^(-O14*N14))*W14),(K14*(2.718^(-M14*N14))*V14)-(H14*(2.718^(-O14*N14))*W14)))</f>
        <v>1826.8364687044123</v>
      </c>
      <c r="Y14" s="171">
        <f>IFERROR(IF(LEN(B14)&gt;0,IF(H14=0,Q14,IF(ISERROR(Q14/((K14/X14)*V14)),"n/a",Q14/((K14/X14)*V14)))),"n/a")</f>
        <v>0.14924748476439742</v>
      </c>
      <c r="Z14" s="175"/>
      <c r="AA14" s="325" t="s">
        <v>265</v>
      </c>
      <c r="AB14" s="116"/>
      <c r="AC14" s="173"/>
      <c r="AI14" s="174"/>
    </row>
    <row r="15" spans="2:35" s="34" customFormat="1" ht="12.75" customHeight="1" x14ac:dyDescent="0.2">
      <c r="B15" s="160" t="str">
        <f>_xll.ciqfunctions.udf.CIQ($AA15,"IQ_COMPANY_NAME")</f>
        <v>American Renal Associates Holdings, Inc.</v>
      </c>
      <c r="D15" s="161">
        <f>_xll.ciqfunctions.udf.CIQ($AA15, "IQ_MARKETCAP", $AB$2, $AB$5, $AB$6)</f>
        <v>374.59658999999999</v>
      </c>
      <c r="E15" s="162">
        <f>_xll.ciqfunctions.udf.CIQ($AA15, "IQ_TOTAL_DEBT", IQ_LTM, $AB$2,$AB$4, $AB$3, $AB$5, $AB$6)</f>
        <v>553.95600000000002</v>
      </c>
      <c r="F15" s="162">
        <f>_xll.ciqfunctions.udf.CIQ($AA15, "IQ_PREF_EQUITY", IQ_LTM, $AB$2, $AB$4, $AB$3, $AB$5, $AB$6)</f>
        <v>0</v>
      </c>
      <c r="G15" s="162">
        <f>_xll.ciqfunctions.udf.CIQ($AA15, "IQ_MINORITY_INTEREST_TOTAL", IQ_LTM, $AB$2, $AB$4, $AB$3, $AB$5, $AB$6)</f>
        <v>316.10500000000002</v>
      </c>
      <c r="H15" s="116">
        <f>SUM(E15:G15)</f>
        <v>870.06100000000004</v>
      </c>
      <c r="I15" s="116">
        <f>SUM(D15:G15)</f>
        <v>1244.65759</v>
      </c>
      <c r="J15" s="163">
        <f>_xll.ciqfunctions.udf.CIQ($AA15, "IQ_CASH_ST_INVEST", IQ_LTM, $AB$2, $AB$4, $AB$3, $AB$5, $AB$6)</f>
        <v>62.899000000000001</v>
      </c>
      <c r="K15" s="163">
        <f>_xll.ciqfunctions.udf.CIQ($AA15, "IQ_TEV", $AB$2, $AB$5, $AB$6)</f>
        <v>1181.7585899999999</v>
      </c>
      <c r="M15" s="164">
        <f>IFERROR(_xll.ciqfunctions.udf.CIQ($AA15, "IQ_DIVIDEND_YIELD", $AB$2)/100,0)</f>
        <v>0</v>
      </c>
      <c r="N15" s="116">
        <f t="shared" si="0"/>
        <v>0.75</v>
      </c>
      <c r="O15" s="165">
        <f t="shared" si="0"/>
        <v>2.5950000000000001E-2</v>
      </c>
      <c r="P15" s="166"/>
      <c r="Q15" s="167">
        <f>IFERROR(HLOOKUP($Q$7,'Equity Vol'!$B$8:$K14,ROWS('Equity Vol'!$C$8:$C14),FALSE),"n/a")</f>
        <v>0.50552024995048173</v>
      </c>
      <c r="R15" s="103"/>
      <c r="S15" s="168">
        <f>IFERROR(IF(Q15="n/a","n/a",Q15^2),"n/a")</f>
        <v>0.25555072310999755</v>
      </c>
      <c r="T15" s="168">
        <f>IF(OR(K15="n/a",S15="n/a"),"n/a",IF(H15=0,0,IF(M15=0,(LN(K15/H15)+((O15+(S15/2))*N15))/((S15*N15)^0.5),(LN(K15/H15)+((O15-M15+(S15/2))*N15))/((S15*N15)^0.5))))</f>
        <v>0.96275927453166465</v>
      </c>
      <c r="U15" s="169">
        <f>IF(T15="n/a","n/a",IF(H15=0,0,T15-(S15*N15)^0.5))</f>
        <v>0.52496589594708842</v>
      </c>
      <c r="V15" s="169">
        <f>IF(OR(T15="n/a",S15="n/a"),"n/a",IF(H15=0,0,NORMSDIST(T15)))</f>
        <v>0.83216582864592614</v>
      </c>
      <c r="W15" s="169">
        <f>IF(OR(U15="n/a",S15="n/a"),"n/a",IF(H15=0,0,NORMSDIST(U15)))</f>
        <v>0.70019655042714857</v>
      </c>
      <c r="X15" s="170">
        <f>IF(OR(K15="n/a",S15="n/a"),"n/a",IF(M15=0,(K15*V15)-((H15*EXP(1)^(-O15*N15))*W15),(K15*(2.718^(-M15*N15))*V15)-(H15*(2.718^(-O15*N15))*W15)))</f>
        <v>385.94759050641244</v>
      </c>
      <c r="Y15" s="171">
        <f>IFERROR(IF(LEN(B15)&gt;0,IF(H15=0,Q15,IF(ISERROR(Q15/((K15/X15)*V15)),"n/a",Q15/((K15/X15)*V15)))),"n/a")</f>
        <v>0.19839386807254444</v>
      </c>
      <c r="Z15" s="175"/>
      <c r="AA15" s="325" t="s">
        <v>262</v>
      </c>
      <c r="AB15" s="116"/>
      <c r="AC15" s="173"/>
      <c r="AI15" s="174"/>
    </row>
    <row r="16" spans="2:35" s="34" customFormat="1" ht="12.75" hidden="1" customHeight="1" outlineLevel="1" x14ac:dyDescent="0.2">
      <c r="D16" s="116"/>
      <c r="E16" s="116"/>
      <c r="F16" s="116"/>
      <c r="G16" s="116"/>
      <c r="H16" s="116"/>
      <c r="I16" s="116"/>
      <c r="J16" s="116"/>
      <c r="K16" s="116"/>
      <c r="M16" s="165"/>
      <c r="N16" s="116"/>
      <c r="O16" s="165"/>
      <c r="P16" s="166"/>
      <c r="Q16" s="171"/>
      <c r="R16" s="103"/>
      <c r="S16" s="168"/>
      <c r="T16" s="168"/>
      <c r="U16" s="169"/>
      <c r="V16" s="169"/>
      <c r="W16" s="169"/>
      <c r="X16" s="170"/>
      <c r="Y16" s="171"/>
      <c r="AA16" s="172"/>
      <c r="AB16" s="116"/>
      <c r="AC16" s="173"/>
      <c r="AI16" s="174"/>
    </row>
    <row r="17" spans="2:35" s="34" customFormat="1" ht="12.75" hidden="1" customHeight="1" outlineLevel="1" x14ac:dyDescent="0.2">
      <c r="D17" s="116"/>
      <c r="E17" s="116"/>
      <c r="F17" s="116"/>
      <c r="G17" s="116"/>
      <c r="H17" s="116"/>
      <c r="I17" s="116"/>
      <c r="J17" s="116"/>
      <c r="K17" s="116"/>
      <c r="M17" s="165"/>
      <c r="N17" s="116"/>
      <c r="O17" s="165"/>
      <c r="P17" s="166"/>
      <c r="Q17" s="171"/>
      <c r="R17" s="103"/>
      <c r="S17" s="168"/>
      <c r="T17" s="168"/>
      <c r="U17" s="169"/>
      <c r="V17" s="169"/>
      <c r="W17" s="169"/>
      <c r="X17" s="170"/>
      <c r="Y17" s="171"/>
      <c r="AA17" s="172"/>
      <c r="AB17" s="116"/>
      <c r="AC17" s="173"/>
      <c r="AI17" s="174"/>
    </row>
    <row r="18" spans="2:35" s="34" customFormat="1" ht="12.75" hidden="1" customHeight="1" outlineLevel="1" x14ac:dyDescent="0.2">
      <c r="D18" s="116"/>
      <c r="E18" s="116"/>
      <c r="F18" s="116"/>
      <c r="G18" s="116"/>
      <c r="H18" s="116"/>
      <c r="I18" s="116"/>
      <c r="J18" s="116"/>
      <c r="K18" s="116"/>
      <c r="M18" s="165"/>
      <c r="N18" s="116"/>
      <c r="O18" s="165"/>
      <c r="P18" s="166"/>
      <c r="Q18" s="171"/>
      <c r="R18" s="103"/>
      <c r="S18" s="168"/>
      <c r="T18" s="168"/>
      <c r="U18" s="169"/>
      <c r="V18" s="169"/>
      <c r="W18" s="169"/>
      <c r="X18" s="170"/>
      <c r="Y18" s="171"/>
      <c r="AA18" s="172"/>
      <c r="AB18" s="116"/>
      <c r="AC18" s="173"/>
      <c r="AI18" s="174"/>
    </row>
    <row r="19" spans="2:35" s="34" customFormat="1" ht="12.75" hidden="1" customHeight="1" outlineLevel="1" x14ac:dyDescent="0.2">
      <c r="D19" s="116"/>
      <c r="E19" s="116"/>
      <c r="F19" s="116"/>
      <c r="G19" s="116"/>
      <c r="H19" s="116"/>
      <c r="I19" s="116"/>
      <c r="J19" s="116"/>
      <c r="K19" s="116"/>
      <c r="M19" s="165"/>
      <c r="N19" s="116"/>
      <c r="O19" s="165"/>
      <c r="P19" s="166"/>
      <c r="Q19" s="171"/>
      <c r="R19" s="103"/>
      <c r="S19" s="168"/>
      <c r="T19" s="168"/>
      <c r="U19" s="169"/>
      <c r="V19" s="169"/>
      <c r="W19" s="169"/>
      <c r="X19" s="170"/>
      <c r="Y19" s="171"/>
      <c r="AA19" s="172"/>
      <c r="AB19" s="116"/>
      <c r="AC19" s="173"/>
      <c r="AI19" s="174"/>
    </row>
    <row r="20" spans="2:35" s="34" customFormat="1" ht="12.75" hidden="1" customHeight="1" outlineLevel="1" x14ac:dyDescent="0.2">
      <c r="D20" s="116"/>
      <c r="E20" s="116"/>
      <c r="F20" s="116"/>
      <c r="G20" s="116"/>
      <c r="H20" s="116"/>
      <c r="I20" s="116"/>
      <c r="J20" s="116"/>
      <c r="K20" s="116"/>
      <c r="M20" s="165"/>
      <c r="N20" s="116"/>
      <c r="O20" s="165"/>
      <c r="P20" s="166"/>
      <c r="Q20" s="171"/>
      <c r="R20" s="103"/>
      <c r="S20" s="168"/>
      <c r="T20" s="168"/>
      <c r="U20" s="169"/>
      <c r="V20" s="169"/>
      <c r="W20" s="169"/>
      <c r="X20" s="170"/>
      <c r="Y20" s="171"/>
      <c r="AA20" s="172"/>
      <c r="AB20" s="116"/>
      <c r="AC20" s="173"/>
      <c r="AI20" s="174"/>
    </row>
    <row r="21" spans="2:35" s="34" customFormat="1" ht="12.75" hidden="1" customHeight="1" outlineLevel="1" x14ac:dyDescent="0.2">
      <c r="D21" s="116"/>
      <c r="E21" s="116"/>
      <c r="F21" s="116"/>
      <c r="G21" s="116"/>
      <c r="H21" s="116"/>
      <c r="I21" s="116"/>
      <c r="J21" s="116"/>
      <c r="K21" s="116"/>
      <c r="M21" s="165"/>
      <c r="N21" s="116"/>
      <c r="O21" s="165"/>
      <c r="P21" s="166"/>
      <c r="Q21" s="171"/>
      <c r="R21" s="103"/>
      <c r="S21" s="168"/>
      <c r="T21" s="168"/>
      <c r="U21" s="169"/>
      <c r="V21" s="169"/>
      <c r="W21" s="169"/>
      <c r="X21" s="170"/>
      <c r="Y21" s="171"/>
      <c r="AA21" s="172"/>
      <c r="AB21" s="116"/>
      <c r="AC21" s="173"/>
      <c r="AI21" s="174"/>
    </row>
    <row r="22" spans="2:35" s="34" customFormat="1" ht="12.75" hidden="1" customHeight="1" outlineLevel="1" x14ac:dyDescent="0.2">
      <c r="D22" s="116"/>
      <c r="E22" s="116"/>
      <c r="F22" s="116"/>
      <c r="G22" s="116"/>
      <c r="H22" s="116"/>
      <c r="I22" s="116"/>
      <c r="J22" s="116"/>
      <c r="K22" s="116"/>
      <c r="M22" s="165"/>
      <c r="N22" s="116"/>
      <c r="O22" s="165"/>
      <c r="P22" s="166"/>
      <c r="Q22" s="171"/>
      <c r="R22" s="103"/>
      <c r="S22" s="168"/>
      <c r="T22" s="168"/>
      <c r="U22" s="169"/>
      <c r="V22" s="169"/>
      <c r="W22" s="169"/>
      <c r="X22" s="170"/>
      <c r="Y22" s="171"/>
      <c r="AA22" s="172"/>
      <c r="AB22" s="116"/>
      <c r="AC22" s="173"/>
      <c r="AI22" s="174"/>
    </row>
    <row r="23" spans="2:35" s="34" customFormat="1" ht="12.75" hidden="1" customHeight="1" outlineLevel="1" collapsed="1" x14ac:dyDescent="0.2">
      <c r="D23" s="116"/>
      <c r="E23" s="116"/>
      <c r="F23" s="116"/>
      <c r="G23" s="116"/>
      <c r="H23" s="116"/>
      <c r="I23" s="116"/>
      <c r="J23" s="116"/>
      <c r="K23" s="116"/>
      <c r="O23" s="120"/>
      <c r="P23" s="103"/>
      <c r="R23" s="103"/>
      <c r="X23" s="116"/>
    </row>
    <row r="24" spans="2:35" s="34" customFormat="1" ht="12.75" customHeight="1" collapsed="1" x14ac:dyDescent="0.2">
      <c r="D24" s="116"/>
      <c r="E24" s="116"/>
      <c r="F24" s="116"/>
      <c r="G24" s="116"/>
      <c r="H24" s="116"/>
      <c r="I24" s="116"/>
      <c r="J24" s="116"/>
      <c r="K24" s="116"/>
      <c r="O24" s="120"/>
      <c r="P24" s="103"/>
      <c r="X24" s="116"/>
    </row>
    <row r="25" spans="2:35" s="34" customFormat="1" ht="12.75" customHeight="1" x14ac:dyDescent="0.2">
      <c r="B25" s="176" t="s">
        <v>34</v>
      </c>
      <c r="C25" s="177"/>
      <c r="D25" s="178">
        <f>MAX(D11:D14)</f>
        <v>26881.01298</v>
      </c>
      <c r="E25" s="178">
        <f>MAX(E11:E23)</f>
        <v>22029.74324</v>
      </c>
      <c r="F25" s="178">
        <f>MAX(F11:F23)</f>
        <v>0</v>
      </c>
      <c r="G25" s="178">
        <f>MAX(G11:G23)</f>
        <v>10668.060880000001</v>
      </c>
      <c r="H25" s="178">
        <f>MAX(H11:H14)</f>
        <v>32697.804120000001</v>
      </c>
      <c r="I25" s="178">
        <f>MAX(I11:I14)</f>
        <v>59578.8171</v>
      </c>
      <c r="J25" s="178">
        <f>MAX(J11:J14)</f>
        <v>2853.4913499999998</v>
      </c>
      <c r="K25" s="178">
        <f>MAX(K11:K14)</f>
        <v>56291.36333</v>
      </c>
      <c r="L25" s="177"/>
      <c r="M25" s="179">
        <f>MAX(M11:M14)</f>
        <v>1.8713999999999998E-2</v>
      </c>
      <c r="N25" s="178">
        <f>MAX(N11:N14)</f>
        <v>0.75</v>
      </c>
      <c r="O25" s="179">
        <f>MAX(O11:O14)</f>
        <v>2.5950000000000001E-2</v>
      </c>
      <c r="P25" s="180"/>
      <c r="Q25" s="181">
        <f>MAX(Q11:Q14)</f>
        <v>0.37049945727814049</v>
      </c>
      <c r="R25" s="182"/>
      <c r="S25" s="183">
        <f t="shared" ref="S25:Y25" si="1">MAX(S11:S14)</f>
        <v>0.13726984784339666</v>
      </c>
      <c r="T25" s="183">
        <f t="shared" si="1"/>
        <v>37.8347425278019</v>
      </c>
      <c r="U25" s="184">
        <f t="shared" si="1"/>
        <v>37.704537922938982</v>
      </c>
      <c r="V25" s="184">
        <f t="shared" si="1"/>
        <v>1</v>
      </c>
      <c r="W25" s="184">
        <f t="shared" si="1"/>
        <v>1</v>
      </c>
      <c r="X25" s="185">
        <f t="shared" si="1"/>
        <v>23716.884509553405</v>
      </c>
      <c r="Y25" s="186">
        <f t="shared" si="1"/>
        <v>0.20900142071500027</v>
      </c>
      <c r="AB25" s="187"/>
      <c r="AC25" s="188"/>
      <c r="AD25" s="188"/>
      <c r="AE25" s="188"/>
      <c r="AF25" s="189"/>
    </row>
    <row r="26" spans="2:35" s="34" customFormat="1" ht="12.75" customHeight="1" x14ac:dyDescent="0.2">
      <c r="B26" s="190" t="s">
        <v>31</v>
      </c>
      <c r="C26" s="191"/>
      <c r="D26" s="192">
        <f>MIN(D11:D14)</f>
        <v>1908.5158899999999</v>
      </c>
      <c r="E26" s="192">
        <f>MIN(E11:E23)</f>
        <v>13.305999999999999</v>
      </c>
      <c r="F26" s="192">
        <f>MIN(F11:F23)</f>
        <v>0</v>
      </c>
      <c r="G26" s="192">
        <f>MIN(G11:G23)</f>
        <v>0.42099999999999999</v>
      </c>
      <c r="H26" s="192">
        <f>MIN(H11:H14)</f>
        <v>13.726999999999999</v>
      </c>
      <c r="I26" s="192">
        <f>MIN(I11:I14)</f>
        <v>1922.24289</v>
      </c>
      <c r="J26" s="192">
        <f>MIN(J11:J14)</f>
        <v>81.944000000000003</v>
      </c>
      <c r="K26" s="192">
        <f>MIN(K11:K14)</f>
        <v>1840.29889</v>
      </c>
      <c r="L26" s="191"/>
      <c r="M26" s="193">
        <f>MIN(M11:M14)</f>
        <v>0</v>
      </c>
      <c r="N26" s="192">
        <f>MIN(N11:N14)</f>
        <v>0.75</v>
      </c>
      <c r="O26" s="193">
        <f>MIN(O11:O14)</f>
        <v>2.5950000000000001E-2</v>
      </c>
      <c r="P26" s="194"/>
      <c r="Q26" s="195">
        <f>MIN(Q11:Q14)</f>
        <v>0.15034732733466866</v>
      </c>
      <c r="R26" s="196"/>
      <c r="S26" s="197">
        <f t="shared" ref="S26:Y26" si="2">MIN(S11:S14)</f>
        <v>2.2604318836678006E-2</v>
      </c>
      <c r="T26" s="197">
        <f t="shared" si="2"/>
        <v>1.8726087756245311</v>
      </c>
      <c r="U26" s="198">
        <f t="shared" si="2"/>
        <v>1.551746833533314</v>
      </c>
      <c r="V26" s="198">
        <f t="shared" si="2"/>
        <v>0.96943878568640163</v>
      </c>
      <c r="W26" s="198">
        <f t="shared" si="2"/>
        <v>0.93963859409019523</v>
      </c>
      <c r="X26" s="199">
        <f t="shared" si="2"/>
        <v>1826.8364687044123</v>
      </c>
      <c r="Y26" s="200">
        <f t="shared" si="2"/>
        <v>0.13093135510662715</v>
      </c>
      <c r="AB26" s="201">
        <f>Y33</f>
        <v>0.19</v>
      </c>
      <c r="AC26" s="202" t="s">
        <v>124</v>
      </c>
      <c r="AD26" s="202"/>
      <c r="AE26" s="202"/>
      <c r="AF26" s="71"/>
    </row>
    <row r="27" spans="2:35" s="34" customFormat="1" ht="12.75" customHeight="1" x14ac:dyDescent="0.2">
      <c r="B27" s="190" t="s">
        <v>125</v>
      </c>
      <c r="C27" s="191"/>
      <c r="D27" s="192">
        <f>AVERAGE(D11:D14)</f>
        <v>14307.505385</v>
      </c>
      <c r="E27" s="192">
        <f>AVERAGE(E11:E23)</f>
        <v>8276.9207399999977</v>
      </c>
      <c r="F27" s="192">
        <f>AVERAGE(F11:F23)</f>
        <v>0</v>
      </c>
      <c r="G27" s="192">
        <f>AVERAGE(G11:G23)</f>
        <v>2713.1510960000001</v>
      </c>
      <c r="H27" s="192">
        <f>AVERAGE(H11:H14)</f>
        <v>13520.074544999999</v>
      </c>
      <c r="I27" s="192">
        <f>AVERAGE(I11:I14)</f>
        <v>27827.57993</v>
      </c>
      <c r="J27" s="192">
        <f>AVERAGE(J11:J14)</f>
        <v>1356.5792275000001</v>
      </c>
      <c r="K27" s="192">
        <f>AVERAGE(K11:K14)</f>
        <v>26334.020645000001</v>
      </c>
      <c r="L27" s="191"/>
      <c r="M27" s="193">
        <f>AVERAGE(M11:M14)</f>
        <v>9.1194999999999991E-3</v>
      </c>
      <c r="N27" s="192">
        <f>AVERAGE(N11:N14)</f>
        <v>0.75</v>
      </c>
      <c r="O27" s="193">
        <f>AVERAGE(O11:O14)</f>
        <v>2.5950000000000001E-2</v>
      </c>
      <c r="P27" s="194"/>
      <c r="Q27" s="195">
        <f>AVERAGE(Q11:Q14)</f>
        <v>0.28834511947771263</v>
      </c>
      <c r="R27" s="196"/>
      <c r="S27" s="197">
        <f t="shared" ref="S27:Y27" si="3">AVERAGE(S11:S14)</f>
        <v>9.0060368719708073E-2</v>
      </c>
      <c r="T27" s="197">
        <f t="shared" si="3"/>
        <v>11.427988815292368</v>
      </c>
      <c r="U27" s="198">
        <f t="shared" si="3"/>
        <v>11.178274616767411</v>
      </c>
      <c r="V27" s="198">
        <f t="shared" si="3"/>
        <v>0.98913456887488871</v>
      </c>
      <c r="W27" s="198">
        <f t="shared" si="3"/>
        <v>0.97872467232168958</v>
      </c>
      <c r="X27" s="199">
        <f t="shared" si="3"/>
        <v>12857.882400419447</v>
      </c>
      <c r="Y27" s="200">
        <f t="shared" si="3"/>
        <v>0.16255036494744698</v>
      </c>
      <c r="AB27" s="201">
        <f>Y31</f>
        <v>0.19</v>
      </c>
      <c r="AC27" s="202" t="s">
        <v>126</v>
      </c>
      <c r="AD27" s="202"/>
      <c r="AE27" s="202"/>
      <c r="AF27" s="203" t="s">
        <v>127</v>
      </c>
    </row>
    <row r="28" spans="2:35" s="34" customFormat="1" ht="12.75" customHeight="1" x14ac:dyDescent="0.2">
      <c r="B28" s="190" t="s">
        <v>128</v>
      </c>
      <c r="C28" s="191"/>
      <c r="D28" s="192">
        <f>MEDIAN(D11:D14)</f>
        <v>14220.246335</v>
      </c>
      <c r="E28" s="192">
        <f>MEDIAN(E11:E23)</f>
        <v>8562.8604599999999</v>
      </c>
      <c r="F28" s="192">
        <f>MEDIAN(F11:F23)</f>
        <v>0</v>
      </c>
      <c r="G28" s="192">
        <f>MEDIAN(G11:G23)</f>
        <v>1269.0250000000001</v>
      </c>
      <c r="H28" s="192">
        <f>MEDIAN(H11:H14)</f>
        <v>10684.383529999999</v>
      </c>
      <c r="I28" s="192">
        <f>MEDIAN(I11:I14)</f>
        <v>24904.629864999999</v>
      </c>
      <c r="J28" s="192">
        <f>MEDIAN(J11:J14)</f>
        <v>1245.4407800000001</v>
      </c>
      <c r="K28" s="192">
        <f>MEDIAN(K11:K14)</f>
        <v>23602.210180000002</v>
      </c>
      <c r="L28" s="191"/>
      <c r="M28" s="193">
        <f>MEDIAN(M11:M14)</f>
        <v>8.8819999999999993E-3</v>
      </c>
      <c r="N28" s="192">
        <f>MEDIAN(N11:N14)</f>
        <v>0.75</v>
      </c>
      <c r="O28" s="193">
        <f>MEDIAN(O11:O14)</f>
        <v>2.5950000000000001E-2</v>
      </c>
      <c r="P28" s="194"/>
      <c r="Q28" s="195">
        <f>MEDIAN(Q11:Q14)</f>
        <v>0.31626684664902061</v>
      </c>
      <c r="R28" s="196"/>
      <c r="S28" s="197">
        <f t="shared" ref="S28:Y28" si="4">MEDIAN(S11:S14)</f>
        <v>0.10018365409937879</v>
      </c>
      <c r="T28" s="197">
        <f t="shared" si="4"/>
        <v>3.0023019788715208</v>
      </c>
      <c r="U28" s="198">
        <f t="shared" si="4"/>
        <v>2.7284068552986716</v>
      </c>
      <c r="V28" s="198">
        <f t="shared" si="4"/>
        <v>0.99354974490657666</v>
      </c>
      <c r="W28" s="198">
        <f t="shared" si="4"/>
        <v>0.98763004759828155</v>
      </c>
      <c r="X28" s="199">
        <f t="shared" si="4"/>
        <v>12943.904311709985</v>
      </c>
      <c r="Y28" s="200">
        <f t="shared" si="4"/>
        <v>0.15513434198408024</v>
      </c>
      <c r="AB28" s="204"/>
      <c r="AC28" s="202"/>
      <c r="AD28" s="202"/>
      <c r="AE28" s="202"/>
      <c r="AF28" s="71"/>
    </row>
    <row r="29" spans="2:35" s="34" customFormat="1" ht="12.75" customHeight="1" x14ac:dyDescent="0.2">
      <c r="B29" s="190" t="s">
        <v>129</v>
      </c>
      <c r="C29" s="191"/>
      <c r="D29" s="192">
        <f>QUARTILE(D11:D14,1)</f>
        <v>6883.2999774999998</v>
      </c>
      <c r="E29" s="192">
        <f>QUARTILE(E11:E23,1)</f>
        <v>553.95600000000002</v>
      </c>
      <c r="F29" s="192">
        <f>QUARTILE(F11:F23,1)</f>
        <v>0</v>
      </c>
      <c r="G29" s="192">
        <f>QUARTILE(G11:G23,1)</f>
        <v>316.10500000000002</v>
      </c>
      <c r="H29" s="192">
        <f>QUARTILE(H11:H14,1)</f>
        <v>7409.6847949999983</v>
      </c>
      <c r="I29" s="192">
        <f>QUARTILE(I11:I14,1)</f>
        <v>15507.053977499998</v>
      </c>
      <c r="J29" s="192">
        <f>QUARTILE(J11:J14,1)</f>
        <v>360.19475</v>
      </c>
      <c r="K29" s="192">
        <f>QUARTILE(K11:K14,1)</f>
        <v>15146.859227500001</v>
      </c>
      <c r="L29" s="191"/>
      <c r="M29" s="193">
        <f>QUARTILE(M11:M14,1)</f>
        <v>0</v>
      </c>
      <c r="N29" s="192">
        <f>QUARTILE(N11:N14,1)</f>
        <v>0.75</v>
      </c>
      <c r="O29" s="193">
        <f>QUARTILE(O11:O14,1)</f>
        <v>2.5950000000000001E-2</v>
      </c>
      <c r="P29" s="194"/>
      <c r="Q29" s="195">
        <f>QUARTILE(Q11:Q14,1)</f>
        <v>0.26533173582585567</v>
      </c>
      <c r="R29" s="196"/>
      <c r="S29" s="197">
        <f t="shared" ref="S29:Y29" si="5">QUARTILE(S11:S14,1)</f>
        <v>7.4808068101717709E-2</v>
      </c>
      <c r="T29" s="197">
        <f t="shared" si="5"/>
        <v>2.141871487058904</v>
      </c>
      <c r="U29" s="198">
        <f t="shared" si="5"/>
        <v>1.8644231290964166</v>
      </c>
      <c r="V29" s="198">
        <f t="shared" si="5"/>
        <v>0.98274480516867579</v>
      </c>
      <c r="W29" s="198">
        <f t="shared" si="5"/>
        <v>0.96653710026114703</v>
      </c>
      <c r="X29" s="199">
        <f t="shared" si="5"/>
        <v>6708.1394063481675</v>
      </c>
      <c r="Y29" s="200">
        <f t="shared" si="5"/>
        <v>0.14466845234995485</v>
      </c>
      <c r="AB29" s="205" t="str">
        <f>IF(ROUND(AB26,3)=ROUND(AB27,3),"","Update Volatility - DLOM")</f>
        <v/>
      </c>
      <c r="AC29" s="206"/>
      <c r="AD29" s="206"/>
      <c r="AE29" s="206"/>
      <c r="AF29" s="76"/>
    </row>
    <row r="30" spans="2:35" s="34" customFormat="1" ht="12.75" customHeight="1" x14ac:dyDescent="0.2">
      <c r="B30" s="190" t="s">
        <v>130</v>
      </c>
      <c r="C30" s="191"/>
      <c r="D30" s="192">
        <f>QUARTILE(D11:D14,3)</f>
        <v>21644.451742500001</v>
      </c>
      <c r="E30" s="192">
        <f>QUARTILE(E11:E23,3)</f>
        <v>10224.737999999999</v>
      </c>
      <c r="F30" s="192">
        <f>QUARTILE(F11:F23,3)</f>
        <v>0</v>
      </c>
      <c r="G30" s="192">
        <f>QUARTILE(G11:G23,3)</f>
        <v>1312.1436000000001</v>
      </c>
      <c r="H30" s="192">
        <f>QUARTILE(H11:H14,3)</f>
        <v>16794.773280000001</v>
      </c>
      <c r="I30" s="192">
        <f>QUARTILE(I11:I14,3)</f>
        <v>37225.155817499995</v>
      </c>
      <c r="J30" s="192">
        <f>QUARTILE(J11:J14,3)</f>
        <v>2241.8252575000001</v>
      </c>
      <c r="K30" s="192">
        <f>QUARTILE(K11:K14,3)</f>
        <v>34789.371597500001</v>
      </c>
      <c r="L30" s="191"/>
      <c r="M30" s="193">
        <f>QUARTILE(M11:M14,3)</f>
        <v>1.8001499999999997E-2</v>
      </c>
      <c r="N30" s="192">
        <f>QUARTILE(N11:N14,3)</f>
        <v>0.75</v>
      </c>
      <c r="O30" s="193">
        <f>QUARTILE(O11:O14,3)</f>
        <v>2.5950000000000001E-2</v>
      </c>
      <c r="P30" s="194"/>
      <c r="Q30" s="195">
        <f>QUARTILE(Q11:Q14,3)</f>
        <v>0.33928023030087756</v>
      </c>
      <c r="R30" s="196"/>
      <c r="S30" s="197">
        <f t="shared" ref="S30:Y30" si="6">QUARTILE(S11:S14,3)</f>
        <v>0.11543595471736914</v>
      </c>
      <c r="T30" s="197">
        <f t="shared" si="6"/>
        <v>12.288419307104984</v>
      </c>
      <c r="U30" s="198">
        <f t="shared" si="6"/>
        <v>12.042258342969664</v>
      </c>
      <c r="V30" s="198">
        <f t="shared" si="6"/>
        <v>0.99993950861278968</v>
      </c>
      <c r="W30" s="198">
        <f t="shared" si="6"/>
        <v>0.99981761965882421</v>
      </c>
      <c r="X30" s="199">
        <f t="shared" si="6"/>
        <v>19093.647305781262</v>
      </c>
      <c r="Y30" s="200">
        <f t="shared" si="6"/>
        <v>0.17301625458157238</v>
      </c>
      <c r="AB30" s="207" t="str">
        <f>IF(K33&lt;&gt;K35,"Check","")</f>
        <v/>
      </c>
      <c r="AC30" s="202"/>
      <c r="AD30" s="202"/>
      <c r="AE30" s="202"/>
      <c r="AF30" s="202"/>
    </row>
    <row r="31" spans="2:35" s="34" customFormat="1" ht="12.75" customHeight="1" x14ac:dyDescent="0.2">
      <c r="B31" s="208" t="s">
        <v>131</v>
      </c>
      <c r="C31" s="209" t="s">
        <v>59</v>
      </c>
      <c r="D31" s="210"/>
      <c r="E31" s="210"/>
      <c r="F31" s="210"/>
      <c r="G31" s="210"/>
      <c r="H31" s="210"/>
      <c r="I31" s="210"/>
      <c r="J31" s="210"/>
      <c r="K31" s="210"/>
      <c r="L31" s="124"/>
      <c r="M31" s="211"/>
      <c r="N31" s="210"/>
      <c r="O31" s="211"/>
      <c r="P31" s="212"/>
      <c r="Q31" s="213"/>
      <c r="R31" s="214"/>
      <c r="S31" s="215"/>
      <c r="T31" s="215"/>
      <c r="U31" s="216"/>
      <c r="V31" s="216"/>
      <c r="W31" s="216"/>
      <c r="X31" s="217"/>
      <c r="Y31" s="218">
        <f>MROUND(AVERAGE(Y25,Y30),0.25%)</f>
        <v>0.19</v>
      </c>
      <c r="Z31" s="156"/>
      <c r="AB31" s="219" t="str">
        <f>IF(AND(AB28=$AF$29,AB30=$AF$29,AB29=$AF$29),"","Check")</f>
        <v/>
      </c>
      <c r="AC31" s="202"/>
      <c r="AD31" s="202"/>
      <c r="AE31" s="202"/>
      <c r="AF31" s="202"/>
    </row>
    <row r="32" spans="2:35" s="34" customFormat="1" ht="12.75" customHeight="1" x14ac:dyDescent="0.2">
      <c r="P32" s="103"/>
      <c r="AB32" s="220"/>
      <c r="AC32" s="202"/>
      <c r="AD32" s="202"/>
      <c r="AE32" s="202"/>
      <c r="AF32" s="202"/>
    </row>
    <row r="33" spans="1:25" s="34" customFormat="1" ht="12.75" customHeight="1" x14ac:dyDescent="0.2">
      <c r="B33" s="221" t="str">
        <f>B2</f>
        <v>Satellite Healthcare - Wellbound Santa Cruz</v>
      </c>
      <c r="C33" s="209" t="s">
        <v>59</v>
      </c>
      <c r="D33" s="124"/>
      <c r="E33" s="124"/>
      <c r="F33" s="124"/>
      <c r="G33" s="124"/>
      <c r="H33" s="222">
        <v>0</v>
      </c>
      <c r="I33" s="223"/>
      <c r="J33" s="222">
        <v>0</v>
      </c>
      <c r="K33" s="379">
        <f>'Discount Summary'!$D$21</f>
        <v>2.5333510052704202</v>
      </c>
      <c r="L33" s="124"/>
      <c r="M33" s="224">
        <f>'DLOM_Quantitative Methods'!D11</f>
        <v>0</v>
      </c>
      <c r="N33" s="210">
        <f>N$7</f>
        <v>0.75</v>
      </c>
      <c r="O33" s="225">
        <f>O$7</f>
        <v>2.5950000000000001E-2</v>
      </c>
      <c r="P33" s="214"/>
      <c r="Q33" s="226">
        <v>0.19</v>
      </c>
      <c r="R33" s="124"/>
      <c r="S33" s="215">
        <f>IF(Q33="n/a","n/a",Q33^2)</f>
        <v>3.61E-2</v>
      </c>
      <c r="T33" s="215">
        <f>IF(OR(K33="n/a",S33="n/a"),"n/a",IF(H33=0,0,IF(M33=0,(LN(K33/H33)+((O33+(S33/2))*N33))/((S33*N33)^0.5),(LN(K33/H33)+((O33-M33+(S33/2))*N33))/((S33*N33)^0.5))))</f>
        <v>0</v>
      </c>
      <c r="U33" s="216">
        <f>IF(T33="n/a","n/a",IF(H33=0,0,T33-(S33*N33)^0.5))</f>
        <v>0</v>
      </c>
      <c r="V33" s="216">
        <f>IF(OR(T33="n/a",S33="n/a"),"n/a",IF(H33=0,0,NORMSDIST(T33)))</f>
        <v>0</v>
      </c>
      <c r="W33" s="216">
        <f>IF(OR(U33="n/a",S33="n/a"),"n/a",IF(H33=0,0,NORMSDIST(U33)))</f>
        <v>0</v>
      </c>
      <c r="X33" s="216">
        <f>IF(OR(K33="n/a",S33="n/a"),"n/a",IF(M33=0,(K33*V33)-((H33*EXP(1)^(-O33*N33))*W33),(K33*(2.718^(-M33*N33))*V33)-(H33*(2.718^(-O33*N33))*W33)))</f>
        <v>0</v>
      </c>
      <c r="Y33" s="227">
        <f>IF(LEN(B33)&gt;0,IF(H33=0,Q33,IF(ISERROR(Q33/((K33/X33)*V33)),"n/a",Q33/((K33/X33)*V33))))</f>
        <v>0.19</v>
      </c>
    </row>
    <row r="34" spans="1:25" s="34" customFormat="1" ht="12.75" customHeight="1" x14ac:dyDescent="0.2">
      <c r="P34" s="103"/>
    </row>
    <row r="35" spans="1:25" s="34" customFormat="1" ht="12.75" hidden="1" customHeight="1" outlineLevel="1" x14ac:dyDescent="0.2">
      <c r="B35" s="221" t="str">
        <f>B33</f>
        <v>Satellite Healthcare - Wellbound Santa Cruz</v>
      </c>
      <c r="C35" s="209" t="s">
        <v>74</v>
      </c>
      <c r="D35" s="124"/>
      <c r="E35" s="124"/>
      <c r="F35" s="124"/>
      <c r="G35" s="124"/>
      <c r="H35" s="228">
        <f>H33</f>
        <v>0</v>
      </c>
      <c r="I35" s="124"/>
      <c r="J35" s="228">
        <f>J33</f>
        <v>0</v>
      </c>
      <c r="K35" s="228">
        <f>K33</f>
        <v>2.5333510052704202</v>
      </c>
      <c r="L35" s="124"/>
      <c r="M35" s="213">
        <f>M33</f>
        <v>0</v>
      </c>
      <c r="N35" s="210">
        <f>N$7</f>
        <v>0.75</v>
      </c>
      <c r="O35" s="225">
        <f>O$7</f>
        <v>2.5950000000000001E-2</v>
      </c>
      <c r="P35" s="214"/>
      <c r="Q35" s="226">
        <v>0.245</v>
      </c>
      <c r="R35" s="124"/>
      <c r="S35" s="215">
        <f>IF(Q35="n/a","n/a",Q35^2)</f>
        <v>6.0024999999999995E-2</v>
      </c>
      <c r="T35" s="215">
        <f>IF(OR(K35="n/a",S35="n/a"),"n/a",IF(H35=0,0,IF(M35=0,(LN(K35/H35)+((O35+(S35/2))*N35))/((S35*N35)^0.5),(LN(K35/H35)+((O35-M35+(S35/2))*N35))/((S35*N35)^0.5))))</f>
        <v>0</v>
      </c>
      <c r="U35" s="216">
        <f>IF(T35="n/a","n/a",IF(H35=0,0,T35-(S35*N35)^0.5))</f>
        <v>0</v>
      </c>
      <c r="V35" s="216">
        <f>IF(OR(T35="n/a",S35="n/a"),"n/a",IF(H35=0,0,NORMSDIST(T35)))</f>
        <v>0</v>
      </c>
      <c r="W35" s="216">
        <f>IF(OR(U35="n/a",S35="n/a"),"n/a",IF(H35=0,0,NORMSDIST(U35)))</f>
        <v>0</v>
      </c>
      <c r="X35" s="216">
        <f>IF(OR(K35="n/a",S35="n/a"),"n/a",IF(M35=0,(K35*V35)-((H35*EXP(1)^(-O35*N35))*W35),(K35*(2.718^(-M35*N35))*V35)-(H35*(2.718^(-O35*N35))*W35)))</f>
        <v>0</v>
      </c>
      <c r="Y35" s="227">
        <f>IF(LEN(B35)&gt;0,IF(H35=0,Q35,IF(ISERROR(Q35/((K35/X35)*V35)),"n/a",Q35/((K35/X35)*V35))))</f>
        <v>0.245</v>
      </c>
    </row>
    <row r="36" spans="1:25" s="34" customFormat="1" ht="12.75" hidden="1" customHeight="1" outlineLevel="1" x14ac:dyDescent="0.2">
      <c r="P36" s="103"/>
    </row>
    <row r="37" spans="1:25" s="34" customFormat="1" ht="12.75" customHeight="1" collapsed="1" x14ac:dyDescent="0.2">
      <c r="B37" s="127" t="s">
        <v>132</v>
      </c>
      <c r="P37" s="103"/>
    </row>
    <row r="38" spans="1:25" s="34" customFormat="1" ht="12.75" customHeight="1" x14ac:dyDescent="0.2">
      <c r="A38" s="128" t="s">
        <v>55</v>
      </c>
      <c r="B38" s="396" t="s">
        <v>133</v>
      </c>
      <c r="C38" s="396"/>
      <c r="D38" s="396"/>
      <c r="E38" s="396"/>
      <c r="F38" s="396"/>
      <c r="G38" s="396"/>
      <c r="H38" s="396"/>
      <c r="I38" s="396"/>
      <c r="J38" s="396"/>
      <c r="K38" s="396"/>
      <c r="L38" s="396"/>
      <c r="M38" s="396"/>
      <c r="N38" s="396"/>
      <c r="O38" s="396"/>
      <c r="P38" s="396"/>
      <c r="Q38" s="396"/>
      <c r="R38" s="396"/>
      <c r="S38" s="396"/>
      <c r="T38" s="396"/>
      <c r="U38" s="396"/>
      <c r="V38" s="396"/>
      <c r="W38" s="396"/>
      <c r="X38" s="396"/>
      <c r="Y38" s="396"/>
    </row>
    <row r="39" spans="1:25" s="34" customFormat="1" ht="13.5" customHeight="1" x14ac:dyDescent="0.2">
      <c r="A39" s="128" t="s">
        <v>59</v>
      </c>
      <c r="B39" s="396" t="s">
        <v>134</v>
      </c>
      <c r="C39" s="396"/>
      <c r="D39" s="396"/>
      <c r="E39" s="396"/>
      <c r="F39" s="396"/>
      <c r="G39" s="396"/>
      <c r="H39" s="396"/>
      <c r="I39" s="396"/>
      <c r="J39" s="396"/>
      <c r="K39" s="396"/>
      <c r="L39" s="396"/>
      <c r="M39" s="396"/>
      <c r="N39" s="396"/>
      <c r="O39" s="396"/>
      <c r="P39" s="396"/>
      <c r="Q39" s="396"/>
      <c r="R39" s="396"/>
      <c r="S39" s="396"/>
      <c r="T39" s="396"/>
      <c r="U39" s="396"/>
      <c r="V39" s="396"/>
      <c r="W39" s="396"/>
      <c r="X39" s="396"/>
      <c r="Y39" s="396"/>
    </row>
    <row r="40" spans="1:25" s="34" customFormat="1" ht="12.75" customHeight="1" x14ac:dyDescent="0.2">
      <c r="A40" s="128"/>
      <c r="P40" s="103"/>
    </row>
    <row r="41" spans="1:25" s="34" customFormat="1" ht="12.75" customHeight="1" x14ac:dyDescent="0.2">
      <c r="B41" s="127" t="s">
        <v>135</v>
      </c>
      <c r="P41" s="103"/>
    </row>
    <row r="42" spans="1:25" s="34" customFormat="1" ht="12.75" customHeight="1" x14ac:dyDescent="0.2">
      <c r="P42" s="103"/>
    </row>
  </sheetData>
  <mergeCells count="2">
    <mergeCell ref="B38:Y38"/>
    <mergeCell ref="B39:Y39"/>
  </mergeCells>
  <conditionalFormatting sqref="B11:B22">
    <cfRule type="cellIs" dxfId="27" priority="2" operator="equal">
      <formula>"(Invalid Identifier)"</formula>
    </cfRule>
  </conditionalFormatting>
  <conditionalFormatting sqref="B4:Y4">
    <cfRule type="cellIs" dxfId="26" priority="1" stopIfTrue="1" operator="equal">
      <formula>"input"</formula>
    </cfRule>
  </conditionalFormatting>
  <pageMargins left="0.5" right="0.5" top="0.5" bottom="0.5" header="0.5" footer="0.5"/>
  <pageSetup scale="85" fitToWidth="0" fitToHeight="0" orientation="landscape" r:id="rId1"/>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42"/>
  <sheetViews>
    <sheetView showGridLines="0" view="pageBreakPreview" topLeftCell="A11" zoomScaleNormal="100" zoomScaleSheetLayoutView="100" workbookViewId="0">
      <selection activeCell="D13" sqref="D13:D14"/>
    </sheetView>
  </sheetViews>
  <sheetFormatPr defaultColWidth="9.140625" defaultRowHeight="12.75" outlineLevelRow="1" outlineLevelCol="1" x14ac:dyDescent="0.2"/>
  <cols>
    <col min="1" max="1" width="2.7109375" style="54" customWidth="1"/>
    <col min="2" max="2" width="37.28515625" style="54" customWidth="1"/>
    <col min="3" max="3" width="2.42578125" style="54" customWidth="1"/>
    <col min="4" max="4" width="10" style="54" customWidth="1"/>
    <col min="5" max="5" width="9.28515625" style="54" hidden="1" customWidth="1" outlineLevel="1"/>
    <col min="6" max="7" width="8.42578125" style="54" hidden="1" customWidth="1" outlineLevel="1"/>
    <col min="8" max="8" width="9" style="54" customWidth="1" collapsed="1"/>
    <col min="9" max="9" width="9.85546875" style="54" customWidth="1"/>
    <col min="10" max="10" width="8.42578125" style="54" customWidth="1"/>
    <col min="11" max="11" width="10" style="54" customWidth="1"/>
    <col min="12" max="12" width="2.42578125" style="54" customWidth="1"/>
    <col min="13" max="13" width="8.7109375" style="54" customWidth="1"/>
    <col min="14" max="15" width="7.5703125" style="54" customWidth="1"/>
    <col min="16" max="16" width="2.42578125" style="229" customWidth="1"/>
    <col min="17" max="17" width="7.5703125" style="54" customWidth="1"/>
    <col min="18" max="18" width="2.42578125" style="54" customWidth="1"/>
    <col min="19" max="19" width="10" style="54" hidden="1" customWidth="1" outlineLevel="1"/>
    <col min="20" max="20" width="8.42578125" style="54" hidden="1" customWidth="1" outlineLevel="1"/>
    <col min="21" max="23" width="7.5703125" style="54" hidden="1" customWidth="1" outlineLevel="1"/>
    <col min="24" max="24" width="10.28515625" style="54" customWidth="1" collapsed="1"/>
    <col min="25" max="25" width="8.140625" style="54" customWidth="1"/>
    <col min="26" max="26" width="2.7109375" style="54" customWidth="1"/>
    <col min="27" max="27" width="15" style="54" bestFit="1" customWidth="1"/>
    <col min="28" max="28" width="10.5703125" style="54" bestFit="1" customWidth="1"/>
    <col min="29" max="29" width="8.140625" style="54" bestFit="1" customWidth="1"/>
    <col min="30" max="30" width="8.7109375" style="54" bestFit="1" customWidth="1"/>
    <col min="31" max="16384" width="9.140625" style="54"/>
  </cols>
  <sheetData>
    <row r="1" spans="2:35" s="34" customFormat="1" ht="10.7" customHeight="1" thickBot="1" x14ac:dyDescent="0.25"/>
    <row r="2" spans="2:35" s="34" customFormat="1" ht="16.5" customHeight="1" thickTop="1" x14ac:dyDescent="0.25">
      <c r="B2" s="35" t="str">
        <f>Outline!B2</f>
        <v>Satellite Healthcare - Wellbound Santa Cruz</v>
      </c>
      <c r="C2" s="35"/>
      <c r="D2" s="35"/>
      <c r="E2" s="35"/>
      <c r="F2" s="35"/>
      <c r="G2" s="35"/>
      <c r="H2" s="35"/>
      <c r="I2" s="35"/>
      <c r="J2" s="35"/>
      <c r="K2" s="35"/>
      <c r="L2" s="35"/>
      <c r="M2" s="35"/>
      <c r="N2" s="35"/>
      <c r="O2" s="35"/>
      <c r="P2" s="35"/>
      <c r="Q2" s="35"/>
      <c r="R2" s="35"/>
      <c r="S2" s="35"/>
      <c r="T2" s="35"/>
      <c r="U2" s="35"/>
      <c r="V2" s="35"/>
      <c r="W2" s="35"/>
      <c r="X2" s="35"/>
      <c r="Y2" s="35"/>
      <c r="AA2" s="96" t="s">
        <v>95</v>
      </c>
      <c r="AB2" s="331">
        <f>'Asset Vol_2'!AB2</f>
        <v>43465</v>
      </c>
    </row>
    <row r="3" spans="2:35" s="34" customFormat="1" ht="15.75" customHeight="1" x14ac:dyDescent="0.25">
      <c r="B3" s="36" t="str">
        <f>Outline!C14</f>
        <v>Workpaper 6</v>
      </c>
      <c r="C3" s="36"/>
      <c r="D3" s="36"/>
      <c r="E3" s="36"/>
      <c r="F3" s="36"/>
      <c r="G3" s="36"/>
      <c r="H3" s="36"/>
      <c r="I3" s="36"/>
      <c r="J3" s="36"/>
      <c r="K3" s="36"/>
      <c r="L3" s="36"/>
      <c r="M3" s="36"/>
      <c r="N3" s="36"/>
      <c r="O3" s="36"/>
      <c r="P3" s="36"/>
      <c r="Q3" s="36"/>
      <c r="R3" s="36"/>
      <c r="S3" s="36"/>
      <c r="T3" s="36"/>
      <c r="U3" s="36"/>
      <c r="V3" s="36"/>
      <c r="W3" s="36"/>
      <c r="X3" s="36"/>
      <c r="Y3" s="36"/>
      <c r="AA3" s="77" t="s">
        <v>96</v>
      </c>
      <c r="AB3" s="327" t="s">
        <v>97</v>
      </c>
    </row>
    <row r="4" spans="2:35" s="34" customFormat="1" ht="16.5" customHeight="1" thickBot="1" x14ac:dyDescent="0.3">
      <c r="B4" s="37" t="str">
        <f>"Asset Volatility - Term of "&amp;TEXT(N7,"0.00")&amp;" Year"</f>
        <v>Asset Volatility - Term of 1.25 Year</v>
      </c>
      <c r="C4" s="37"/>
      <c r="D4" s="37"/>
      <c r="E4" s="37"/>
      <c r="F4" s="37"/>
      <c r="G4" s="37"/>
      <c r="H4" s="37"/>
      <c r="I4" s="37"/>
      <c r="J4" s="37"/>
      <c r="K4" s="37"/>
      <c r="L4" s="37"/>
      <c r="M4" s="37"/>
      <c r="N4" s="37"/>
      <c r="O4" s="37"/>
      <c r="P4" s="37"/>
      <c r="Q4" s="37"/>
      <c r="R4" s="37"/>
      <c r="S4" s="37"/>
      <c r="T4" s="37"/>
      <c r="U4" s="37"/>
      <c r="V4" s="37"/>
      <c r="W4" s="37"/>
      <c r="X4" s="37"/>
      <c r="Y4" s="144" t="s">
        <v>98</v>
      </c>
      <c r="AA4" s="77" t="s">
        <v>99</v>
      </c>
      <c r="AB4" s="328" t="s">
        <v>100</v>
      </c>
    </row>
    <row r="5" spans="2:35" s="34" customFormat="1" ht="12.75" customHeight="1" thickTop="1" x14ac:dyDescent="0.2">
      <c r="B5" s="103"/>
      <c r="P5" s="103"/>
      <c r="AA5" s="77" t="s">
        <v>101</v>
      </c>
      <c r="AB5" s="327" t="s">
        <v>102</v>
      </c>
    </row>
    <row r="6" spans="2:35" s="34" customFormat="1" ht="12.75" customHeight="1" x14ac:dyDescent="0.2">
      <c r="B6" s="103"/>
      <c r="P6" s="103"/>
      <c r="AA6" s="82" t="s">
        <v>103</v>
      </c>
      <c r="AB6" s="329" t="s">
        <v>104</v>
      </c>
    </row>
    <row r="7" spans="2:35" s="34" customFormat="1" ht="12.75" hidden="1" customHeight="1" outlineLevel="1" x14ac:dyDescent="0.2">
      <c r="N7" s="145">
        <f>'DLOM_Quantitative Methods'!E9</f>
        <v>1.25</v>
      </c>
      <c r="O7" s="98">
        <f>'Risk-Free Rates'!F37</f>
        <v>2.5925E-2</v>
      </c>
      <c r="P7" s="103"/>
      <c r="Q7" s="146">
        <f>ROUND(N7,0)</f>
        <v>1</v>
      </c>
    </row>
    <row r="8" spans="2:35" s="34" customFormat="1" ht="25.5" customHeight="1" collapsed="1" x14ac:dyDescent="0.2">
      <c r="D8" s="92" t="s">
        <v>105</v>
      </c>
      <c r="E8" s="93"/>
      <c r="F8" s="93"/>
      <c r="G8" s="93"/>
      <c r="H8" s="93"/>
      <c r="I8" s="93"/>
      <c r="J8" s="93"/>
      <c r="K8" s="94"/>
      <c r="M8" s="92" t="s">
        <v>106</v>
      </c>
      <c r="N8" s="93"/>
      <c r="O8" s="93"/>
      <c r="P8" s="147"/>
      <c r="Q8" s="94"/>
      <c r="S8" s="92" t="s">
        <v>107</v>
      </c>
      <c r="T8" s="93"/>
      <c r="U8" s="93"/>
      <c r="V8" s="93"/>
      <c r="W8" s="93"/>
      <c r="X8" s="386" t="s">
        <v>107</v>
      </c>
      <c r="Y8" s="94"/>
    </row>
    <row r="9" spans="2:35" s="149" customFormat="1" ht="43.5" customHeight="1" x14ac:dyDescent="0.2">
      <c r="B9" s="148" t="s">
        <v>108</v>
      </c>
      <c r="D9" s="150" t="s">
        <v>109</v>
      </c>
      <c r="E9" s="151" t="s">
        <v>45</v>
      </c>
      <c r="F9" s="151" t="s">
        <v>110</v>
      </c>
      <c r="G9" s="151" t="s">
        <v>111</v>
      </c>
      <c r="H9" s="151" t="s">
        <v>112</v>
      </c>
      <c r="I9" s="151" t="s">
        <v>113</v>
      </c>
      <c r="J9" s="151" t="s">
        <v>114</v>
      </c>
      <c r="K9" s="152" t="s">
        <v>115</v>
      </c>
      <c r="L9" s="153"/>
      <c r="M9" s="150" t="s">
        <v>57</v>
      </c>
      <c r="N9" s="151" t="s">
        <v>116</v>
      </c>
      <c r="O9" s="152" t="s">
        <v>56</v>
      </c>
      <c r="P9" s="154"/>
      <c r="Q9" s="155" t="s">
        <v>117</v>
      </c>
      <c r="R9" s="154"/>
      <c r="S9" s="150" t="s">
        <v>118</v>
      </c>
      <c r="T9" s="151" t="s">
        <v>67</v>
      </c>
      <c r="U9" s="151" t="s">
        <v>68</v>
      </c>
      <c r="V9" s="151" t="s">
        <v>119</v>
      </c>
      <c r="W9" s="151" t="s">
        <v>120</v>
      </c>
      <c r="X9" s="150" t="s">
        <v>121</v>
      </c>
      <c r="Y9" s="152" t="s">
        <v>122</v>
      </c>
      <c r="Z9" s="156" t="s">
        <v>55</v>
      </c>
      <c r="AA9" s="157" t="s">
        <v>123</v>
      </c>
      <c r="AB9" s="158"/>
      <c r="AC9" s="158"/>
      <c r="AD9" s="159"/>
    </row>
    <row r="10" spans="2:35" s="34" customFormat="1" ht="12.75" customHeight="1" x14ac:dyDescent="0.2">
      <c r="P10" s="103"/>
    </row>
    <row r="11" spans="2:35" s="34" customFormat="1" ht="12.75" customHeight="1" x14ac:dyDescent="0.2">
      <c r="B11" s="160" t="str">
        <f>_xll.ciqfunctions.udf.CIQ($AA11,"IQ_COMPANY_NAME")</f>
        <v>Fresenius SE &amp; Co. KGaA</v>
      </c>
      <c r="D11" s="161">
        <f>_xll.ciqfunctions.udf.CIQ($AA11, "IQ_MARKETCAP", $AB$2, $AB$5, $AB$6)</f>
        <v>26881.01298</v>
      </c>
      <c r="E11" s="162">
        <f>_xll.ciqfunctions.udf.CIQ($AA11, "IQ_TOTAL_DEBT", IQ_LTM, $AB$2,$AB$4, $AB$3, $AB$5, $AB$6)</f>
        <v>22029.74324</v>
      </c>
      <c r="F11" s="162">
        <f>_xll.ciqfunctions.udf.CIQ($AA11, "IQ_PREF_EQUITY", IQ_LTM, $AB$2, $AB$4, $AB$3, $AB$5, $AB$6)</f>
        <v>0</v>
      </c>
      <c r="G11" s="162">
        <f>_xll.ciqfunctions.udf.CIQ($AA11, "IQ_MINORITY_INTEREST_TOTAL", IQ_LTM, $AB$2, $AB$4, $AB$3, $AB$5, $AB$6)</f>
        <v>10668.060880000001</v>
      </c>
      <c r="H11" s="116">
        <f>SUM(E11:G11)</f>
        <v>32697.804120000001</v>
      </c>
      <c r="I11" s="116">
        <f>SUM(D11:G11)</f>
        <v>59578.8171</v>
      </c>
      <c r="J11" s="163">
        <f>_xll.ciqfunctions.udf.CIQ($AA11, "IQ_CASH_ST_INVEST", IQ_LTM, $AB$2, $AB$4, $AB$3, $AB$5, $AB$6)</f>
        <v>2853.4913499999998</v>
      </c>
      <c r="K11" s="163">
        <f>_xll.ciqfunctions.udf.CIQ($AA11, "IQ_TEV", $AB$2, $AB$5, $AB$6)</f>
        <v>56291.36333</v>
      </c>
      <c r="M11" s="164">
        <f>IFERROR(_xll.ciqfunctions.udf.CIQ($AA11, "IQ_DIVIDEND_YIELD", $AB$2)/100,0)</f>
        <v>1.7763999999999999E-2</v>
      </c>
      <c r="N11" s="116">
        <f t="shared" ref="N11:O15" si="0">N$7</f>
        <v>1.25</v>
      </c>
      <c r="O11" s="165">
        <f t="shared" si="0"/>
        <v>2.5925E-2</v>
      </c>
      <c r="P11" s="166"/>
      <c r="Q11" s="167">
        <f>IFERROR(HLOOKUP($Q$7,'Equity Vol'!$B$8:$K10,ROWS('Equity Vol'!$C$8:$C10),FALSE),"n/a")</f>
        <v>0.37049945727814049</v>
      </c>
      <c r="R11" s="103"/>
      <c r="S11" s="168">
        <f>IFERROR(IF(Q11="n/a","n/a",Q11^2),"n/a")</f>
        <v>0.13726984784339666</v>
      </c>
      <c r="T11" s="168">
        <f>IF(OR(K11="n/a",S11="n/a"),"n/a",IF(H11=0,0,IF(M11=0,(LN(K11/H11)+((O11+(S11/2))*N11))/((S11*N11)^0.5),(LN(K11/H11)+((O11-M11+(S11/2))*N11))/((S11*N11)^0.5))))</f>
        <v>1.5431682370741153</v>
      </c>
      <c r="U11" s="169">
        <f>IF(T11="n/a","n/a",IF(H11=0,0,T11-(S11*N11)^0.5))</f>
        <v>1.1289372510237645</v>
      </c>
      <c r="V11" s="169">
        <f>IF(OR(T11="n/a",S11="n/a"),"n/a",IF(H11=0,0,NORMSDIST(T11)))</f>
        <v>0.93860501910857552</v>
      </c>
      <c r="W11" s="169">
        <f>IF(OR(U11="n/a",S11="n/a"),"n/a",IF(H11=0,0,NORMSDIST(U11)))</f>
        <v>0.87053784744893781</v>
      </c>
      <c r="X11" s="170">
        <f>IF(OR(K11="n/a",S11="n/a"),"n/a",IF(M11=0,(K11*V11)-((H11*EXP(1)^(-O11*N11))*W11),(K11*(2.718^(-M11*N11))*V11)-(H11*(2.718^(-O11*N11))*W11)))</f>
        <v>24118.074366361507</v>
      </c>
      <c r="Y11" s="171">
        <f>IFERROR(IF(LEN(B11)&gt;0,IF(H11=0,Q11,IF(ISERROR(Q11/((K11/X11)*V11)),"n/a",Q11/((K11/X11)*V11)))),"n/a")</f>
        <v>0.16912412660350476</v>
      </c>
      <c r="AA11" s="172" t="str">
        <f>'Asset Vol_2'!AA11</f>
        <v>DB:FRE</v>
      </c>
      <c r="AB11" s="116"/>
      <c r="AC11" s="173"/>
      <c r="AI11" s="174"/>
    </row>
    <row r="12" spans="2:35" s="34" customFormat="1" ht="12.75" customHeight="1" x14ac:dyDescent="0.2">
      <c r="B12" s="160" t="str">
        <f>_xll.ciqfunctions.udf.CIQ($AA12,"IQ_COMPANY_NAME")</f>
        <v>Fresenius Medical Care AG &amp; Co. KGaA</v>
      </c>
      <c r="D12" s="161">
        <f>_xll.ciqfunctions.udf.CIQ($AA12, "IQ_MARKETCAP", $AB$2, $AB$5, $AB$6)</f>
        <v>19898.931329999999</v>
      </c>
      <c r="E12" s="162">
        <f>_xll.ciqfunctions.udf.CIQ($AA12, "IQ_TOTAL_DEBT", IQ_LTM, $AB$2,$AB$4, $AB$3, $AB$5, $AB$6)</f>
        <v>8562.8604599999999</v>
      </c>
      <c r="F12" s="162">
        <f>_xll.ciqfunctions.udf.CIQ($AA12, "IQ_PREF_EQUITY", IQ_LTM, $AB$2, $AB$4, $AB$3, $AB$5, $AB$6)</f>
        <v>0</v>
      </c>
      <c r="G12" s="162">
        <f>_xll.ciqfunctions.udf.CIQ($AA12, "IQ_MINORITY_INTEREST_TOTAL", IQ_LTM, $AB$2, $AB$4, $AB$3, $AB$5, $AB$6)</f>
        <v>1312.1436000000001</v>
      </c>
      <c r="H12" s="116">
        <f>SUM(E12:G12)</f>
        <v>9875.0040599999993</v>
      </c>
      <c r="I12" s="116">
        <f>SUM(D12:G12)</f>
        <v>29773.935389999999</v>
      </c>
      <c r="J12" s="163">
        <f>_xll.ciqfunctions.udf.CIQ($AA12, "IQ_CASH_ST_INVEST", IQ_LTM, $AB$2, $AB$4, $AB$3, $AB$5, $AB$6)</f>
        <v>2037.9365600000001</v>
      </c>
      <c r="K12" s="163">
        <f>_xll.ciqfunctions.udf.CIQ($AA12, "IQ_TEV", $AB$2, $AB$5, $AB$6)</f>
        <v>27622.041020000001</v>
      </c>
      <c r="M12" s="164">
        <f>IFERROR(_xll.ciqfunctions.udf.CIQ($AA12, "IQ_DIVIDEND_YIELD", $AB$2)/100,0)</f>
        <v>1.8713999999999998E-2</v>
      </c>
      <c r="N12" s="116">
        <f t="shared" si="0"/>
        <v>1.25</v>
      </c>
      <c r="O12" s="165">
        <f t="shared" si="0"/>
        <v>2.5925E-2</v>
      </c>
      <c r="P12" s="166"/>
      <c r="Q12" s="167">
        <f>IFERROR(HLOOKUP($Q$7,'Equity Vol'!$B$8:$K11,ROWS('Equity Vol'!$C$8:$C11),FALSE),"n/a")</f>
        <v>0.3288738213084566</v>
      </c>
      <c r="R12" s="103"/>
      <c r="S12" s="168">
        <f>IFERROR(IF(Q12="n/a","n/a",Q12^2),"n/a")</f>
        <v>0.10815799034202664</v>
      </c>
      <c r="T12" s="168">
        <f>IF(OR(K12="n/a",S12="n/a"),"n/a",IF(H12=0,0,IF(M12=0,(LN(K12/H12)+((O12+(S12/2))*N12))/((S12*N12)^0.5),(LN(K12/H12)+((O12-M12+(S12/2))*N12))/((S12*N12)^0.5))))</f>
        <v>3.0058295595195399</v>
      </c>
      <c r="U12" s="169">
        <f>IF(T12="n/a","n/a",IF(H12=0,0,T12-(S12*N12)^0.5))</f>
        <v>2.6381374492866261</v>
      </c>
      <c r="V12" s="169">
        <f>IF(OR(T12="n/a",S12="n/a"),"n/a",IF(H12=0,0,NORMSDIST(T12)))</f>
        <v>0.99867571294296076</v>
      </c>
      <c r="W12" s="169">
        <f>IF(OR(U12="n/a",S12="n/a"),"n/a",IF(H12=0,0,NORMSDIST(U12)))</f>
        <v>0.99583186071146246</v>
      </c>
      <c r="X12" s="170">
        <f>IF(OR(K12="n/a",S12="n/a"),"n/a",IF(M12=0,(K12*V12)-((H12*EXP(1)^(-O12*N12))*W12),(K12*(2.718^(-M12*N12))*V12)-(H12*(2.718^(-O12*N12))*W12)))</f>
        <v>17427.417047596231</v>
      </c>
      <c r="Y12" s="171">
        <f>IFERROR(IF(LEN(B12)&gt;0,IF(H12=0,Q12,IF(ISERROR(Q12/((K12/X12)*V12)),"n/a",Q12/((K12/X12)*V12)))),"n/a")</f>
        <v>0.20776963394992484</v>
      </c>
      <c r="AA12" s="172" t="str">
        <f>'Asset Vol_2'!AA12</f>
        <v>XTRA:FME</v>
      </c>
      <c r="AB12" s="116"/>
      <c r="AC12" s="173"/>
      <c r="AI12" s="174"/>
    </row>
    <row r="13" spans="2:35" s="34" customFormat="1" ht="12.75" customHeight="1" x14ac:dyDescent="0.2">
      <c r="B13" s="160" t="str">
        <f>_xll.ciqfunctions.udf.CIQ($AA13,"IQ_COMPANY_NAME")</f>
        <v>DaVita Inc.</v>
      </c>
      <c r="D13" s="161">
        <f>_xll.ciqfunctions.udf.CIQ($AA13, "IQ_MARKETCAP", $AB$2, $AB$5, $AB$6)</f>
        <v>8541.5613400000002</v>
      </c>
      <c r="E13" s="162">
        <f>_xll.ciqfunctions.udf.CIQ($AA13, "IQ_TOTAL_DEBT", IQ_LTM, $AB$2,$AB$4, $AB$3, $AB$5, $AB$6)</f>
        <v>10224.737999999999</v>
      </c>
      <c r="F13" s="162">
        <f>_xll.ciqfunctions.udf.CIQ($AA13, "IQ_PREF_EQUITY", IQ_LTM, $AB$2, $AB$4, $AB$3, $AB$5, $AB$6)</f>
        <v>0</v>
      </c>
      <c r="G13" s="162">
        <f>_xll.ciqfunctions.udf.CIQ($AA13, "IQ_MINORITY_INTEREST_TOTAL", IQ_LTM, $AB$2, $AB$4, $AB$3, $AB$5, $AB$6)</f>
        <v>1269.0250000000001</v>
      </c>
      <c r="H13" s="116">
        <f>SUM(E13:G13)</f>
        <v>11493.762999999999</v>
      </c>
      <c r="I13" s="116">
        <f>SUM(D13:G13)</f>
        <v>20035.324339999999</v>
      </c>
      <c r="J13" s="163">
        <f>_xll.ciqfunctions.udf.CIQ($AA13, "IQ_CASH_ST_INVEST", IQ_LTM, $AB$2, $AB$4, $AB$3, $AB$5, $AB$6)</f>
        <v>452.94499999999999</v>
      </c>
      <c r="K13" s="163">
        <f>_xll.ciqfunctions.udf.CIQ($AA13, "IQ_TEV", $AB$2, $AB$5, $AB$6)</f>
        <v>19582.37934</v>
      </c>
      <c r="M13" s="164">
        <f>IFERROR(_xll.ciqfunctions.udf.CIQ($AA13, "IQ_DIVIDEND_YIELD", $AB$2)/100,0)</f>
        <v>0</v>
      </c>
      <c r="N13" s="116">
        <f t="shared" si="0"/>
        <v>1.25</v>
      </c>
      <c r="O13" s="165">
        <f t="shared" si="0"/>
        <v>2.5925E-2</v>
      </c>
      <c r="P13" s="166"/>
      <c r="Q13" s="167">
        <f>IFERROR(HLOOKUP($Q$7,'Equity Vol'!$B$8:$K12,ROWS('Equity Vol'!$C$8:$C12),FALSE),"n/a")</f>
        <v>0.30365987198958466</v>
      </c>
      <c r="R13" s="103"/>
      <c r="S13" s="168">
        <f>IFERROR(IF(Q13="n/a","n/a",Q13^2),"n/a")</f>
        <v>9.2209317856730949E-2</v>
      </c>
      <c r="T13" s="168">
        <f>IF(OR(K13="n/a",S13="n/a"),"n/a",IF(H13=0,0,IF(M13=0,(LN(K13/H13)+((O13+(S13/2))*N13))/((S13*N13)^0.5),(LN(K13/H13)+((O13-M13+(S13/2))*N13))/((S13*N13)^0.5))))</f>
        <v>1.8346359539122139</v>
      </c>
      <c r="U13" s="169">
        <f>IF(T13="n/a","n/a",IF(H13=0,0,T13-(S13*N13)^0.5))</f>
        <v>1.4951338960084162</v>
      </c>
      <c r="V13" s="169">
        <f>IF(OR(T13="n/a",S13="n/a"),"n/a",IF(H13=0,0,NORMSDIST(T13)))</f>
        <v>0.96672017614573358</v>
      </c>
      <c r="W13" s="169">
        <f>IF(OR(U13="n/a",S13="n/a"),"n/a",IF(H13=0,0,NORMSDIST(U13)))</f>
        <v>0.93256024940397542</v>
      </c>
      <c r="X13" s="170">
        <f>IF(OR(K13="n/a",S13="n/a"),"n/a",IF(M13=0,(K13*V13)-((H13*EXP(1)^(-O13*N13))*W13),(K13*(2.718^(-M13*N13))*V13)-(H13*(2.718^(-O13*N13))*W13)))</f>
        <v>8553.8373478548474</v>
      </c>
      <c r="Y13" s="171">
        <f>IFERROR(IF(LEN(B13)&gt;0,IF(H13=0,Q13,IF(ISERROR(Q13/((K13/X13)*V13)),"n/a",Q13/((K13/X13)*V13)))),"n/a")</f>
        <v>0.13720885825252943</v>
      </c>
      <c r="AA13" s="172" t="str">
        <f>'Asset Vol_2'!AA13</f>
        <v>NYSE:DVA</v>
      </c>
      <c r="AB13" s="116"/>
      <c r="AC13" s="173"/>
      <c r="AI13" s="174"/>
    </row>
    <row r="14" spans="2:35" s="34" customFormat="1" ht="12.75" customHeight="1" x14ac:dyDescent="0.2">
      <c r="B14" s="160" t="str">
        <f>_xll.ciqfunctions.udf.CIQ($AA14,"IQ_COMPANY_NAME")</f>
        <v>NxStage Medical, Inc.</v>
      </c>
      <c r="D14" s="161">
        <f>_xll.ciqfunctions.udf.CIQ($AA14, "IQ_MARKETCAP", $AB$2, $AB$5, $AB$6)</f>
        <v>1908.5158899999999</v>
      </c>
      <c r="E14" s="162">
        <f>_xll.ciqfunctions.udf.CIQ($AA14, "IQ_TOTAL_DEBT", IQ_LTM, $AB$2,$AB$4, $AB$3, $AB$5, $AB$6)</f>
        <v>13.305999999999999</v>
      </c>
      <c r="F14" s="162">
        <f>_xll.ciqfunctions.udf.CIQ($AA14, "IQ_PREF_EQUITY", IQ_LTM, $AB$2, $AB$4, $AB$3, $AB$5, $AB$6)</f>
        <v>0</v>
      </c>
      <c r="G14" s="162">
        <f>_xll.ciqfunctions.udf.CIQ($AA14, "IQ_MINORITY_INTEREST_TOTAL", IQ_LTM, $AB$2, $AB$4, $AB$3, $AB$5, $AB$6)</f>
        <v>0.42099999999999999</v>
      </c>
      <c r="H14" s="116">
        <f>SUM(E14:G14)</f>
        <v>13.726999999999999</v>
      </c>
      <c r="I14" s="116">
        <f>SUM(D14:G14)</f>
        <v>1922.24289</v>
      </c>
      <c r="J14" s="163">
        <f>_xll.ciqfunctions.udf.CIQ($AA14, "IQ_CASH_ST_INVEST", IQ_LTM, $AB$2, $AB$4, $AB$3, $AB$5, $AB$6)</f>
        <v>81.944000000000003</v>
      </c>
      <c r="K14" s="163">
        <f>_xll.ciqfunctions.udf.CIQ($AA14, "IQ_TEV", $AB$2, $AB$5, $AB$6)</f>
        <v>1840.29889</v>
      </c>
      <c r="M14" s="164">
        <f>IFERROR(_xll.ciqfunctions.udf.CIQ($AA14, "IQ_DIVIDEND_YIELD", $AB$2)/100,0)</f>
        <v>0</v>
      </c>
      <c r="N14" s="116">
        <f t="shared" si="0"/>
        <v>1.25</v>
      </c>
      <c r="O14" s="165">
        <f t="shared" si="0"/>
        <v>2.5925E-2</v>
      </c>
      <c r="P14" s="166"/>
      <c r="Q14" s="167">
        <f>IFERROR(HLOOKUP($Q$7,'Equity Vol'!$B$8:$K13,ROWS('Equity Vol'!$C$8:$C13),FALSE),"n/a")</f>
        <v>0.15034732733466866</v>
      </c>
      <c r="R14" s="103"/>
      <c r="S14" s="168">
        <f>IFERROR(IF(Q14="n/a","n/a",Q14^2),"n/a")</f>
        <v>2.2604318836678006E-2</v>
      </c>
      <c r="T14" s="168">
        <f>IF(OR(K14="n/a",S14="n/a"),"n/a",IF(H14=0,0,IF(M14=0,(LN(K14/H14)+((O14+(S14/2))*N14))/((S14*N14)^0.5),(LN(K14/H14)+((O14-M14+(S14/2))*N14))/((S14*N14)^0.5))))</f>
        <v>29.417287538719044</v>
      </c>
      <c r="U14" s="169">
        <f>IF(T14="n/a","n/a",IF(H14=0,0,T14-(S14*N14)^0.5))</f>
        <v>29.249194116641178</v>
      </c>
      <c r="V14" s="169">
        <f>IF(OR(T14="n/a",S14="n/a"),"n/a",IF(H14=0,0,NORMSDIST(T14)))</f>
        <v>1</v>
      </c>
      <c r="W14" s="169">
        <f>IF(OR(U14="n/a",S14="n/a"),"n/a",IF(H14=0,0,NORMSDIST(U14)))</f>
        <v>1</v>
      </c>
      <c r="X14" s="170">
        <f>IF(OR(K14="n/a",S14="n/a"),"n/a",IF(M14=0,(K14*V14)-((H14*EXP(1)^(-O14*N14))*W14),(K14*(2.718^(-M14*N14))*V14)-(H14*(2.718^(-O14*N14))*W14)))</f>
        <v>1827.0096000186284</v>
      </c>
      <c r="Y14" s="171">
        <f>IFERROR(IF(LEN(B14)&gt;0,IF(H14=0,Q14,IF(ISERROR(Q14/((K14/X14)*V14)),"n/a",Q14/((K14/X14)*V14)))),"n/a")</f>
        <v>0.14926162911372659</v>
      </c>
      <c r="Z14" s="175"/>
      <c r="AA14" s="172" t="str">
        <f>'Asset Vol_2'!AA14</f>
        <v>IQ115544</v>
      </c>
      <c r="AB14" s="116"/>
      <c r="AC14" s="173"/>
      <c r="AI14" s="174"/>
    </row>
    <row r="15" spans="2:35" s="34" customFormat="1" ht="12.75" customHeight="1" x14ac:dyDescent="0.2">
      <c r="B15" s="160" t="str">
        <f>_xll.ciqfunctions.udf.CIQ($AA15,"IQ_COMPANY_NAME")</f>
        <v>American Renal Associates Holdings, Inc.</v>
      </c>
      <c r="D15" s="161">
        <f>_xll.ciqfunctions.udf.CIQ($AA15, "IQ_MARKETCAP", $AB$2, $AB$5, $AB$6)</f>
        <v>374.59658999999999</v>
      </c>
      <c r="E15" s="162">
        <f>_xll.ciqfunctions.udf.CIQ($AA15, "IQ_TOTAL_DEBT", IQ_LTM, $AB$2,$AB$4, $AB$3, $AB$5, $AB$6)</f>
        <v>553.95600000000002</v>
      </c>
      <c r="F15" s="162">
        <f>_xll.ciqfunctions.udf.CIQ($AA15, "IQ_PREF_EQUITY", IQ_LTM, $AB$2, $AB$4, $AB$3, $AB$5, $AB$6)</f>
        <v>0</v>
      </c>
      <c r="G15" s="162">
        <f>_xll.ciqfunctions.udf.CIQ($AA15, "IQ_MINORITY_INTEREST_TOTAL", IQ_LTM, $AB$2, $AB$4, $AB$3, $AB$5, $AB$6)</f>
        <v>316.10500000000002</v>
      </c>
      <c r="H15" s="116">
        <f>SUM(E15:G15)</f>
        <v>870.06100000000004</v>
      </c>
      <c r="I15" s="116">
        <f>SUM(D15:G15)</f>
        <v>1244.65759</v>
      </c>
      <c r="J15" s="163">
        <f>_xll.ciqfunctions.udf.CIQ($AA15, "IQ_CASH_ST_INVEST", IQ_LTM, $AB$2, $AB$4, $AB$3, $AB$5, $AB$6)</f>
        <v>62.899000000000001</v>
      </c>
      <c r="K15" s="163">
        <f>_xll.ciqfunctions.udf.CIQ($AA15, "IQ_TEV", $AB$2, $AB$5, $AB$6)</f>
        <v>1181.7585899999999</v>
      </c>
      <c r="M15" s="164">
        <f>IFERROR(_xll.ciqfunctions.udf.CIQ($AA15, "IQ_DIVIDEND_YIELD", $AB$2)/100,0)</f>
        <v>0</v>
      </c>
      <c r="N15" s="116">
        <f t="shared" si="0"/>
        <v>1.25</v>
      </c>
      <c r="O15" s="165">
        <f t="shared" si="0"/>
        <v>2.5925E-2</v>
      </c>
      <c r="P15" s="166"/>
      <c r="Q15" s="167">
        <f>IFERROR(HLOOKUP($Q$7,'Equity Vol'!$B$8:$K14,ROWS('Equity Vol'!$C$8:$C14),FALSE),"n/a")</f>
        <v>0.50552024995048173</v>
      </c>
      <c r="R15" s="103"/>
      <c r="S15" s="168">
        <f>IFERROR(IF(Q15="n/a","n/a",Q15^2),"n/a")</f>
        <v>0.25555072310999755</v>
      </c>
      <c r="T15" s="168">
        <f>IF(OR(K15="n/a",S15="n/a"),"n/a",IF(H15=0,0,IF(M15=0,(LN(K15/H15)+((O15+(S15/2))*N15))/((S15*N15)^0.5),(LN(K15/H15)+((O15-M15+(S15/2))*N15))/((S15*N15)^0.5))))</f>
        <v>0.88168952999361561</v>
      </c>
      <c r="U15" s="169">
        <f>IF(T15="n/a","n/a",IF(H15=0,0,T15-(S15*N15)^0.5))</f>
        <v>0.31650070854763468</v>
      </c>
      <c r="V15" s="169">
        <f>IF(OR(T15="n/a",S15="n/a"),"n/a",IF(H15=0,0,NORMSDIST(T15)))</f>
        <v>0.81102763777777986</v>
      </c>
      <c r="W15" s="169">
        <f>IF(OR(U15="n/a",S15="n/a"),"n/a",IF(H15=0,0,NORMSDIST(U15)))</f>
        <v>0.62418875627575043</v>
      </c>
      <c r="X15" s="170">
        <f>IF(OR(K15="n/a",S15="n/a"),"n/a",IF(M15=0,(K15*V15)-((H15*EXP(1)^(-O15*N15))*W15),(K15*(2.718^(-M15*N15))*V15)-(H15*(2.718^(-O15*N15))*W15)))</f>
        <v>432.67373731106977</v>
      </c>
      <c r="Y15" s="171">
        <f>IFERROR(IF(LEN(B15)&gt;0,IF(H15=0,Q15,IF(ISERROR(Q15/((K15/X15)*V15)),"n/a",Q15/((K15/X15)*V15)))),"n/a")</f>
        <v>0.22820999954001633</v>
      </c>
      <c r="Z15" s="175"/>
      <c r="AA15" s="172" t="str">
        <f>'Asset Vol_2'!AA15</f>
        <v>NYSE:ARA</v>
      </c>
      <c r="AB15" s="116"/>
      <c r="AC15" s="173"/>
      <c r="AI15" s="174"/>
    </row>
    <row r="16" spans="2:35" s="34" customFormat="1" ht="12.75" hidden="1" customHeight="1" outlineLevel="1" x14ac:dyDescent="0.2">
      <c r="D16" s="116"/>
      <c r="E16" s="116"/>
      <c r="F16" s="116"/>
      <c r="G16" s="116"/>
      <c r="H16" s="116"/>
      <c r="I16" s="116"/>
      <c r="J16" s="116"/>
      <c r="K16" s="116"/>
      <c r="M16" s="165"/>
      <c r="N16" s="116"/>
      <c r="O16" s="165"/>
      <c r="P16" s="166"/>
      <c r="Q16" s="171"/>
      <c r="R16" s="103"/>
      <c r="S16" s="168"/>
      <c r="T16" s="168"/>
      <c r="U16" s="169"/>
      <c r="V16" s="169"/>
      <c r="W16" s="169"/>
      <c r="X16" s="170"/>
      <c r="Y16" s="171"/>
      <c r="AA16" s="172"/>
      <c r="AB16" s="116"/>
      <c r="AC16" s="173"/>
      <c r="AI16" s="174"/>
    </row>
    <row r="17" spans="2:35" s="34" customFormat="1" ht="12.75" hidden="1" customHeight="1" outlineLevel="1" x14ac:dyDescent="0.2">
      <c r="D17" s="116"/>
      <c r="E17" s="116"/>
      <c r="F17" s="116"/>
      <c r="G17" s="116"/>
      <c r="H17" s="116"/>
      <c r="I17" s="116"/>
      <c r="J17" s="116"/>
      <c r="K17" s="116"/>
      <c r="M17" s="165"/>
      <c r="N17" s="116"/>
      <c r="O17" s="165"/>
      <c r="P17" s="166"/>
      <c r="Q17" s="171"/>
      <c r="R17" s="103"/>
      <c r="S17" s="168"/>
      <c r="T17" s="168"/>
      <c r="U17" s="169"/>
      <c r="V17" s="169"/>
      <c r="W17" s="169"/>
      <c r="X17" s="170"/>
      <c r="Y17" s="171"/>
      <c r="AA17" s="172"/>
      <c r="AB17" s="116"/>
      <c r="AC17" s="173"/>
      <c r="AI17" s="174"/>
    </row>
    <row r="18" spans="2:35" s="34" customFormat="1" ht="12.75" hidden="1" customHeight="1" outlineLevel="1" x14ac:dyDescent="0.2">
      <c r="D18" s="116"/>
      <c r="E18" s="116"/>
      <c r="F18" s="116"/>
      <c r="G18" s="116"/>
      <c r="H18" s="116"/>
      <c r="I18" s="116"/>
      <c r="J18" s="116"/>
      <c r="K18" s="116"/>
      <c r="M18" s="165"/>
      <c r="N18" s="116"/>
      <c r="O18" s="165"/>
      <c r="P18" s="166"/>
      <c r="Q18" s="171"/>
      <c r="R18" s="103"/>
      <c r="S18" s="168"/>
      <c r="T18" s="168"/>
      <c r="U18" s="169"/>
      <c r="V18" s="169"/>
      <c r="W18" s="169"/>
      <c r="X18" s="170"/>
      <c r="Y18" s="171"/>
      <c r="AA18" s="172"/>
      <c r="AB18" s="116"/>
      <c r="AC18" s="173"/>
      <c r="AI18" s="174"/>
    </row>
    <row r="19" spans="2:35" s="34" customFormat="1" ht="12.75" hidden="1" customHeight="1" outlineLevel="1" x14ac:dyDescent="0.2">
      <c r="D19" s="116"/>
      <c r="E19" s="116"/>
      <c r="F19" s="116"/>
      <c r="G19" s="116"/>
      <c r="H19" s="116"/>
      <c r="I19" s="116"/>
      <c r="J19" s="116"/>
      <c r="K19" s="116"/>
      <c r="M19" s="165"/>
      <c r="N19" s="116"/>
      <c r="O19" s="165"/>
      <c r="P19" s="166"/>
      <c r="Q19" s="171"/>
      <c r="R19" s="103"/>
      <c r="S19" s="168"/>
      <c r="T19" s="168"/>
      <c r="U19" s="169"/>
      <c r="V19" s="169"/>
      <c r="W19" s="169"/>
      <c r="X19" s="170"/>
      <c r="Y19" s="171"/>
      <c r="AA19" s="172"/>
      <c r="AB19" s="116"/>
      <c r="AC19" s="173"/>
      <c r="AI19" s="174"/>
    </row>
    <row r="20" spans="2:35" s="34" customFormat="1" ht="12.75" hidden="1" customHeight="1" outlineLevel="1" x14ac:dyDescent="0.2">
      <c r="D20" s="116"/>
      <c r="E20" s="116"/>
      <c r="F20" s="116"/>
      <c r="G20" s="116"/>
      <c r="H20" s="116"/>
      <c r="I20" s="116"/>
      <c r="J20" s="116"/>
      <c r="K20" s="116"/>
      <c r="M20" s="165"/>
      <c r="N20" s="116"/>
      <c r="O20" s="165"/>
      <c r="P20" s="166"/>
      <c r="Q20" s="171"/>
      <c r="R20" s="103"/>
      <c r="S20" s="168"/>
      <c r="T20" s="168"/>
      <c r="U20" s="169"/>
      <c r="V20" s="169"/>
      <c r="W20" s="169"/>
      <c r="X20" s="170"/>
      <c r="Y20" s="171"/>
      <c r="AA20" s="172"/>
      <c r="AB20" s="116"/>
      <c r="AC20" s="173"/>
      <c r="AI20" s="174"/>
    </row>
    <row r="21" spans="2:35" s="34" customFormat="1" ht="12.75" hidden="1" customHeight="1" outlineLevel="1" x14ac:dyDescent="0.2">
      <c r="D21" s="116"/>
      <c r="E21" s="116"/>
      <c r="F21" s="116"/>
      <c r="G21" s="116"/>
      <c r="H21" s="116"/>
      <c r="I21" s="116"/>
      <c r="J21" s="116"/>
      <c r="K21" s="116"/>
      <c r="M21" s="165"/>
      <c r="N21" s="116"/>
      <c r="O21" s="165"/>
      <c r="P21" s="166"/>
      <c r="Q21" s="171"/>
      <c r="R21" s="103"/>
      <c r="S21" s="168"/>
      <c r="T21" s="168"/>
      <c r="U21" s="169"/>
      <c r="V21" s="169"/>
      <c r="W21" s="169"/>
      <c r="X21" s="170"/>
      <c r="Y21" s="171"/>
      <c r="AA21" s="172"/>
      <c r="AB21" s="116"/>
      <c r="AC21" s="173"/>
      <c r="AI21" s="174"/>
    </row>
    <row r="22" spans="2:35" s="34" customFormat="1" ht="12.75" hidden="1" customHeight="1" outlineLevel="1" x14ac:dyDescent="0.2">
      <c r="D22" s="116"/>
      <c r="E22" s="116"/>
      <c r="F22" s="116"/>
      <c r="G22" s="116"/>
      <c r="H22" s="116"/>
      <c r="I22" s="116"/>
      <c r="J22" s="116"/>
      <c r="K22" s="116"/>
      <c r="M22" s="165"/>
      <c r="N22" s="116"/>
      <c r="O22" s="165"/>
      <c r="P22" s="166"/>
      <c r="Q22" s="171"/>
      <c r="R22" s="103"/>
      <c r="S22" s="168"/>
      <c r="T22" s="168"/>
      <c r="U22" s="169"/>
      <c r="V22" s="169"/>
      <c r="W22" s="169"/>
      <c r="X22" s="170"/>
      <c r="Y22" s="171"/>
      <c r="AA22" s="172"/>
      <c r="AB22" s="116"/>
      <c r="AC22" s="173"/>
      <c r="AI22" s="174"/>
    </row>
    <row r="23" spans="2:35" s="34" customFormat="1" ht="12.75" hidden="1" customHeight="1" outlineLevel="1" collapsed="1" x14ac:dyDescent="0.2">
      <c r="D23" s="116"/>
      <c r="E23" s="116"/>
      <c r="F23" s="116"/>
      <c r="G23" s="116"/>
      <c r="H23" s="116"/>
      <c r="I23" s="116"/>
      <c r="J23" s="116"/>
      <c r="K23" s="116"/>
      <c r="O23" s="120"/>
      <c r="P23" s="103"/>
      <c r="R23" s="103"/>
      <c r="X23" s="116"/>
    </row>
    <row r="24" spans="2:35" s="34" customFormat="1" ht="12.75" customHeight="1" collapsed="1" x14ac:dyDescent="0.2">
      <c r="D24" s="116"/>
      <c r="E24" s="116"/>
      <c r="F24" s="116"/>
      <c r="G24" s="116"/>
      <c r="H24" s="116"/>
      <c r="I24" s="116"/>
      <c r="J24" s="116"/>
      <c r="K24" s="116"/>
      <c r="O24" s="120"/>
      <c r="P24" s="103"/>
      <c r="X24" s="116"/>
    </row>
    <row r="25" spans="2:35" s="34" customFormat="1" ht="12.75" customHeight="1" x14ac:dyDescent="0.2">
      <c r="B25" s="176" t="s">
        <v>34</v>
      </c>
      <c r="C25" s="177"/>
      <c r="D25" s="178">
        <f>MAX(D11:D14)</f>
        <v>26881.01298</v>
      </c>
      <c r="E25" s="178">
        <f>MAX(E11:E23)</f>
        <v>22029.74324</v>
      </c>
      <c r="F25" s="178">
        <f>MAX(F11:F23)</f>
        <v>0</v>
      </c>
      <c r="G25" s="178">
        <f>MAX(G11:G23)</f>
        <v>10668.060880000001</v>
      </c>
      <c r="H25" s="178">
        <f>MAX(H11:H14)</f>
        <v>32697.804120000001</v>
      </c>
      <c r="I25" s="178">
        <f>MAX(I11:I14)</f>
        <v>59578.8171</v>
      </c>
      <c r="J25" s="178">
        <f>MAX(J11:J14)</f>
        <v>2853.4913499999998</v>
      </c>
      <c r="K25" s="178">
        <f>MAX(K11:K14)</f>
        <v>56291.36333</v>
      </c>
      <c r="L25" s="177"/>
      <c r="M25" s="179">
        <f>MAX(M11:M14)</f>
        <v>1.8713999999999998E-2</v>
      </c>
      <c r="N25" s="178">
        <f>MAX(N11:N14)</f>
        <v>1.25</v>
      </c>
      <c r="O25" s="179">
        <f>MAX(O11:O14)</f>
        <v>2.5925E-2</v>
      </c>
      <c r="P25" s="180"/>
      <c r="Q25" s="181">
        <f>MAX(Q11:Q14)</f>
        <v>0.37049945727814049</v>
      </c>
      <c r="R25" s="182"/>
      <c r="S25" s="183">
        <f t="shared" ref="S25:Y25" si="1">MAX(S11:S14)</f>
        <v>0.13726984784339666</v>
      </c>
      <c r="T25" s="183">
        <f t="shared" si="1"/>
        <v>29.417287538719044</v>
      </c>
      <c r="U25" s="184">
        <f t="shared" si="1"/>
        <v>29.249194116641178</v>
      </c>
      <c r="V25" s="184">
        <f t="shared" si="1"/>
        <v>1</v>
      </c>
      <c r="W25" s="184">
        <f t="shared" si="1"/>
        <v>1</v>
      </c>
      <c r="X25" s="185">
        <f t="shared" si="1"/>
        <v>24118.074366361507</v>
      </c>
      <c r="Y25" s="186">
        <f t="shared" si="1"/>
        <v>0.20776963394992484</v>
      </c>
      <c r="AB25" s="187"/>
      <c r="AC25" s="188"/>
      <c r="AD25" s="188"/>
      <c r="AE25" s="188"/>
      <c r="AF25" s="189"/>
    </row>
    <row r="26" spans="2:35" s="34" customFormat="1" ht="12.75" customHeight="1" x14ac:dyDescent="0.2">
      <c r="B26" s="190" t="s">
        <v>31</v>
      </c>
      <c r="C26" s="191"/>
      <c r="D26" s="192">
        <f>MIN(D11:D14)</f>
        <v>1908.5158899999999</v>
      </c>
      <c r="E26" s="192">
        <f>MIN(E11:E23)</f>
        <v>13.305999999999999</v>
      </c>
      <c r="F26" s="192">
        <f>MIN(F11:F23)</f>
        <v>0</v>
      </c>
      <c r="G26" s="192">
        <f>MIN(G11:G23)</f>
        <v>0.42099999999999999</v>
      </c>
      <c r="H26" s="192">
        <f>MIN(H11:H14)</f>
        <v>13.726999999999999</v>
      </c>
      <c r="I26" s="192">
        <f>MIN(I11:I14)</f>
        <v>1922.24289</v>
      </c>
      <c r="J26" s="192">
        <f>MIN(J11:J14)</f>
        <v>81.944000000000003</v>
      </c>
      <c r="K26" s="192">
        <f>MIN(K11:K14)</f>
        <v>1840.29889</v>
      </c>
      <c r="L26" s="191"/>
      <c r="M26" s="193">
        <f>MIN(M11:M14)</f>
        <v>0</v>
      </c>
      <c r="N26" s="192">
        <f>MIN(N11:N14)</f>
        <v>1.25</v>
      </c>
      <c r="O26" s="193">
        <f>MIN(O11:O14)</f>
        <v>2.5925E-2</v>
      </c>
      <c r="P26" s="194"/>
      <c r="Q26" s="195">
        <f>MIN(Q11:Q14)</f>
        <v>0.15034732733466866</v>
      </c>
      <c r="R26" s="196"/>
      <c r="S26" s="197">
        <f t="shared" ref="S26:Y26" si="2">MIN(S11:S14)</f>
        <v>2.2604318836678006E-2</v>
      </c>
      <c r="T26" s="197">
        <f t="shared" si="2"/>
        <v>1.5431682370741153</v>
      </c>
      <c r="U26" s="198">
        <f t="shared" si="2"/>
        <v>1.1289372510237645</v>
      </c>
      <c r="V26" s="198">
        <f t="shared" si="2"/>
        <v>0.93860501910857552</v>
      </c>
      <c r="W26" s="198">
        <f t="shared" si="2"/>
        <v>0.87053784744893781</v>
      </c>
      <c r="X26" s="199">
        <f t="shared" si="2"/>
        <v>1827.0096000186284</v>
      </c>
      <c r="Y26" s="200">
        <f t="shared" si="2"/>
        <v>0.13720885825252943</v>
      </c>
      <c r="AB26" s="201">
        <f>Y33</f>
        <v>0.193</v>
      </c>
      <c r="AC26" s="202" t="s">
        <v>124</v>
      </c>
      <c r="AD26" s="202"/>
      <c r="AE26" s="202"/>
      <c r="AF26" s="71"/>
    </row>
    <row r="27" spans="2:35" s="34" customFormat="1" ht="12.75" customHeight="1" x14ac:dyDescent="0.2">
      <c r="B27" s="190" t="s">
        <v>125</v>
      </c>
      <c r="C27" s="191"/>
      <c r="D27" s="192">
        <f>AVERAGE(D11:D14)</f>
        <v>14307.505385</v>
      </c>
      <c r="E27" s="192">
        <f>AVERAGE(E11:E23)</f>
        <v>8276.9207399999977</v>
      </c>
      <c r="F27" s="192">
        <f>AVERAGE(F11:F23)</f>
        <v>0</v>
      </c>
      <c r="G27" s="192">
        <f>AVERAGE(G11:G23)</f>
        <v>2713.1510960000001</v>
      </c>
      <c r="H27" s="192">
        <f>AVERAGE(H11:H14)</f>
        <v>13520.074544999999</v>
      </c>
      <c r="I27" s="192">
        <f>AVERAGE(I11:I14)</f>
        <v>27827.57993</v>
      </c>
      <c r="J27" s="192">
        <f>AVERAGE(J11:J14)</f>
        <v>1356.5792275000001</v>
      </c>
      <c r="K27" s="192">
        <f>AVERAGE(K11:K14)</f>
        <v>26334.020645000001</v>
      </c>
      <c r="L27" s="191"/>
      <c r="M27" s="193">
        <f>AVERAGE(M11:M14)</f>
        <v>9.1194999999999991E-3</v>
      </c>
      <c r="N27" s="192">
        <f>AVERAGE(N11:N14)</f>
        <v>1.25</v>
      </c>
      <c r="O27" s="193">
        <f>AVERAGE(O11:O14)</f>
        <v>2.5925E-2</v>
      </c>
      <c r="P27" s="194"/>
      <c r="Q27" s="195">
        <f>AVERAGE(Q11:Q14)</f>
        <v>0.28834511947771263</v>
      </c>
      <c r="R27" s="196"/>
      <c r="S27" s="197">
        <f t="shared" ref="S27:Y27" si="3">AVERAGE(S11:S14)</f>
        <v>9.0060368719708073E-2</v>
      </c>
      <c r="T27" s="197">
        <f t="shared" si="3"/>
        <v>8.9502303223062292</v>
      </c>
      <c r="U27" s="198">
        <f t="shared" si="3"/>
        <v>8.6278506782399962</v>
      </c>
      <c r="V27" s="198">
        <f t="shared" si="3"/>
        <v>0.97600022704931744</v>
      </c>
      <c r="W27" s="198">
        <f t="shared" si="3"/>
        <v>0.94973248939109389</v>
      </c>
      <c r="X27" s="199">
        <f t="shared" si="3"/>
        <v>12981.584590457804</v>
      </c>
      <c r="Y27" s="200">
        <f t="shared" si="3"/>
        <v>0.16584106197992138</v>
      </c>
      <c r="AB27" s="201">
        <f>Y31</f>
        <v>0.1925</v>
      </c>
      <c r="AC27" s="202" t="s">
        <v>126</v>
      </c>
      <c r="AD27" s="202"/>
      <c r="AE27" s="202"/>
      <c r="AF27" s="203" t="s">
        <v>127</v>
      </c>
    </row>
    <row r="28" spans="2:35" s="34" customFormat="1" ht="12.75" customHeight="1" x14ac:dyDescent="0.2">
      <c r="B28" s="190" t="s">
        <v>128</v>
      </c>
      <c r="C28" s="191"/>
      <c r="D28" s="192">
        <f>MEDIAN(D11:D14)</f>
        <v>14220.246335</v>
      </c>
      <c r="E28" s="192">
        <f>MEDIAN(E11:E23)</f>
        <v>8562.8604599999999</v>
      </c>
      <c r="F28" s="192">
        <f>MEDIAN(F11:F23)</f>
        <v>0</v>
      </c>
      <c r="G28" s="192">
        <f>MEDIAN(G11:G23)</f>
        <v>1269.0250000000001</v>
      </c>
      <c r="H28" s="192">
        <f>MEDIAN(H11:H14)</f>
        <v>10684.383529999999</v>
      </c>
      <c r="I28" s="192">
        <f>MEDIAN(I11:I14)</f>
        <v>24904.629864999999</v>
      </c>
      <c r="J28" s="192">
        <f>MEDIAN(J11:J14)</f>
        <v>1245.4407800000001</v>
      </c>
      <c r="K28" s="192">
        <f>MEDIAN(K11:K14)</f>
        <v>23602.210180000002</v>
      </c>
      <c r="L28" s="191"/>
      <c r="M28" s="193">
        <f>MEDIAN(M11:M14)</f>
        <v>8.8819999999999993E-3</v>
      </c>
      <c r="N28" s="192">
        <f>MEDIAN(N11:N14)</f>
        <v>1.25</v>
      </c>
      <c r="O28" s="193">
        <f>MEDIAN(O11:O14)</f>
        <v>2.5925E-2</v>
      </c>
      <c r="P28" s="194"/>
      <c r="Q28" s="195">
        <f>MEDIAN(Q11:Q14)</f>
        <v>0.31626684664902061</v>
      </c>
      <c r="R28" s="196"/>
      <c r="S28" s="197">
        <f t="shared" ref="S28:Y28" si="4">MEDIAN(S11:S14)</f>
        <v>0.10018365409937879</v>
      </c>
      <c r="T28" s="197">
        <f t="shared" si="4"/>
        <v>2.420232756715877</v>
      </c>
      <c r="U28" s="198">
        <f t="shared" si="4"/>
        <v>2.066635672647521</v>
      </c>
      <c r="V28" s="198">
        <f t="shared" si="4"/>
        <v>0.98269794454434711</v>
      </c>
      <c r="W28" s="198">
        <f t="shared" si="4"/>
        <v>0.96419605505771888</v>
      </c>
      <c r="X28" s="199">
        <f t="shared" si="4"/>
        <v>12990.627197725538</v>
      </c>
      <c r="Y28" s="200">
        <f t="shared" si="4"/>
        <v>0.15919287785861569</v>
      </c>
      <c r="AB28" s="204"/>
      <c r="AC28" s="202"/>
      <c r="AD28" s="202"/>
      <c r="AE28" s="202"/>
      <c r="AF28" s="71"/>
    </row>
    <row r="29" spans="2:35" s="34" customFormat="1" ht="12.75" customHeight="1" x14ac:dyDescent="0.2">
      <c r="B29" s="190" t="s">
        <v>129</v>
      </c>
      <c r="C29" s="191"/>
      <c r="D29" s="192">
        <f>QUARTILE(D11:D14,1)</f>
        <v>6883.2999774999998</v>
      </c>
      <c r="E29" s="192">
        <f>QUARTILE(E11:E23,1)</f>
        <v>553.95600000000002</v>
      </c>
      <c r="F29" s="192">
        <f>QUARTILE(F11:F23,1)</f>
        <v>0</v>
      </c>
      <c r="G29" s="192">
        <f>QUARTILE(G11:G23,1)</f>
        <v>316.10500000000002</v>
      </c>
      <c r="H29" s="192">
        <f>QUARTILE(H11:H14,1)</f>
        <v>7409.6847949999983</v>
      </c>
      <c r="I29" s="192">
        <f>QUARTILE(I11:I14,1)</f>
        <v>15507.053977499998</v>
      </c>
      <c r="J29" s="192">
        <f>QUARTILE(J11:J14,1)</f>
        <v>360.19475</v>
      </c>
      <c r="K29" s="192">
        <f>QUARTILE(K11:K14,1)</f>
        <v>15146.859227500001</v>
      </c>
      <c r="L29" s="191"/>
      <c r="M29" s="193">
        <f>QUARTILE(M11:M14,1)</f>
        <v>0</v>
      </c>
      <c r="N29" s="192">
        <f>QUARTILE(N11:N14,1)</f>
        <v>1.25</v>
      </c>
      <c r="O29" s="193">
        <f>QUARTILE(O11:O14,1)</f>
        <v>2.5925E-2</v>
      </c>
      <c r="P29" s="194"/>
      <c r="Q29" s="195">
        <f>QUARTILE(Q11:Q14,1)</f>
        <v>0.26533173582585567</v>
      </c>
      <c r="R29" s="196"/>
      <c r="S29" s="197">
        <f t="shared" ref="S29:Y29" si="5">QUARTILE(S11:S14,1)</f>
        <v>7.4808068101717709E-2</v>
      </c>
      <c r="T29" s="197">
        <f t="shared" si="5"/>
        <v>1.7617690247026894</v>
      </c>
      <c r="U29" s="198">
        <f t="shared" si="5"/>
        <v>1.4035847347622532</v>
      </c>
      <c r="V29" s="198">
        <f t="shared" si="5"/>
        <v>0.95969138688644406</v>
      </c>
      <c r="W29" s="198">
        <f t="shared" si="5"/>
        <v>0.91705464891521604</v>
      </c>
      <c r="X29" s="199">
        <f t="shared" si="5"/>
        <v>6872.1304108957929</v>
      </c>
      <c r="Y29" s="200">
        <f t="shared" si="5"/>
        <v>0.1462484363984273</v>
      </c>
      <c r="AB29" s="205" t="str">
        <f>IF(ROUND(AB26,3)=ROUND(AB27,3),"","Update Volatility - DLOM")</f>
        <v/>
      </c>
      <c r="AC29" s="206"/>
      <c r="AD29" s="206"/>
      <c r="AE29" s="206"/>
      <c r="AF29" s="76"/>
    </row>
    <row r="30" spans="2:35" s="34" customFormat="1" ht="12.75" customHeight="1" x14ac:dyDescent="0.2">
      <c r="B30" s="190" t="s">
        <v>130</v>
      </c>
      <c r="C30" s="191"/>
      <c r="D30" s="192">
        <f>QUARTILE(D11:D14,3)</f>
        <v>21644.451742500001</v>
      </c>
      <c r="E30" s="192">
        <f>QUARTILE(E11:E23,3)</f>
        <v>10224.737999999999</v>
      </c>
      <c r="F30" s="192">
        <f>QUARTILE(F11:F23,3)</f>
        <v>0</v>
      </c>
      <c r="G30" s="192">
        <f>QUARTILE(G11:G23,3)</f>
        <v>1312.1436000000001</v>
      </c>
      <c r="H30" s="192">
        <f>QUARTILE(H11:H14,3)</f>
        <v>16794.773280000001</v>
      </c>
      <c r="I30" s="192">
        <f>QUARTILE(I11:I14,3)</f>
        <v>37225.155817499995</v>
      </c>
      <c r="J30" s="192">
        <f>QUARTILE(J11:J14,3)</f>
        <v>2241.8252575000001</v>
      </c>
      <c r="K30" s="192">
        <f>QUARTILE(K11:K14,3)</f>
        <v>34789.371597500001</v>
      </c>
      <c r="L30" s="191"/>
      <c r="M30" s="193">
        <f>QUARTILE(M11:M14,3)</f>
        <v>1.8001499999999997E-2</v>
      </c>
      <c r="N30" s="192">
        <f>QUARTILE(N11:N14,3)</f>
        <v>1.25</v>
      </c>
      <c r="O30" s="193">
        <f>QUARTILE(O11:O14,3)</f>
        <v>2.5925E-2</v>
      </c>
      <c r="P30" s="194"/>
      <c r="Q30" s="195">
        <f>QUARTILE(Q11:Q14,3)</f>
        <v>0.33928023030087756</v>
      </c>
      <c r="R30" s="196"/>
      <c r="S30" s="197">
        <f t="shared" ref="S30:Y30" si="6">QUARTILE(S11:S14,3)</f>
        <v>0.11543595471736914</v>
      </c>
      <c r="T30" s="197">
        <f t="shared" si="6"/>
        <v>9.6086940543194164</v>
      </c>
      <c r="U30" s="198">
        <f t="shared" si="6"/>
        <v>9.2909016161252644</v>
      </c>
      <c r="V30" s="198">
        <f t="shared" si="6"/>
        <v>0.9990067847072206</v>
      </c>
      <c r="W30" s="198">
        <f t="shared" si="6"/>
        <v>0.99687389553359684</v>
      </c>
      <c r="X30" s="199">
        <f t="shared" si="6"/>
        <v>19100.081377287548</v>
      </c>
      <c r="Y30" s="200">
        <f t="shared" si="6"/>
        <v>0.17878550344010979</v>
      </c>
      <c r="AB30" s="207" t="str">
        <f>IF(K33&lt;&gt;K35,"Check","")</f>
        <v/>
      </c>
      <c r="AC30" s="202"/>
      <c r="AD30" s="202"/>
      <c r="AE30" s="202"/>
      <c r="AF30" s="202"/>
    </row>
    <row r="31" spans="2:35" s="34" customFormat="1" ht="12.75" customHeight="1" x14ac:dyDescent="0.2">
      <c r="B31" s="208" t="s">
        <v>131</v>
      </c>
      <c r="C31" s="209" t="s">
        <v>59</v>
      </c>
      <c r="D31" s="210"/>
      <c r="E31" s="210"/>
      <c r="F31" s="210"/>
      <c r="G31" s="210"/>
      <c r="H31" s="210"/>
      <c r="I31" s="210"/>
      <c r="J31" s="210"/>
      <c r="K31" s="210"/>
      <c r="L31" s="124"/>
      <c r="M31" s="211"/>
      <c r="N31" s="210"/>
      <c r="O31" s="211"/>
      <c r="P31" s="212"/>
      <c r="Q31" s="213"/>
      <c r="R31" s="214"/>
      <c r="S31" s="215"/>
      <c r="T31" s="215"/>
      <c r="U31" s="216"/>
      <c r="V31" s="216"/>
      <c r="W31" s="216"/>
      <c r="X31" s="217"/>
      <c r="Y31" s="218">
        <f>MROUND(AVERAGE(Y25,Y30),0.25%)</f>
        <v>0.1925</v>
      </c>
      <c r="Z31" s="156"/>
      <c r="AB31" s="219" t="str">
        <f>IF(AND(AB28=$AF$29,AB30=$AF$29,AB29=$AF$29),"","Check")</f>
        <v/>
      </c>
      <c r="AC31" s="202"/>
      <c r="AD31" s="202"/>
      <c r="AE31" s="202"/>
      <c r="AF31" s="202"/>
    </row>
    <row r="32" spans="2:35" s="34" customFormat="1" ht="12.75" customHeight="1" x14ac:dyDescent="0.2">
      <c r="P32" s="103"/>
      <c r="AB32" s="220"/>
      <c r="AC32" s="202"/>
      <c r="AD32" s="202"/>
      <c r="AE32" s="202"/>
      <c r="AF32" s="202"/>
    </row>
    <row r="33" spans="1:25" s="34" customFormat="1" ht="12.75" customHeight="1" x14ac:dyDescent="0.2">
      <c r="B33" s="221" t="str">
        <f>B2</f>
        <v>Satellite Healthcare - Wellbound Santa Cruz</v>
      </c>
      <c r="C33" s="209" t="s">
        <v>59</v>
      </c>
      <c r="D33" s="124"/>
      <c r="E33" s="124"/>
      <c r="F33" s="124"/>
      <c r="G33" s="124"/>
      <c r="H33" s="222">
        <v>0</v>
      </c>
      <c r="I33" s="223"/>
      <c r="J33" s="222">
        <v>0</v>
      </c>
      <c r="K33" s="379">
        <f>'Discount Summary'!$D$21</f>
        <v>2.5333510052704202</v>
      </c>
      <c r="L33" s="124"/>
      <c r="M33" s="224">
        <f>'DLOM_Quantitative Methods'!E11</f>
        <v>0</v>
      </c>
      <c r="N33" s="210">
        <f>N$7</f>
        <v>1.25</v>
      </c>
      <c r="O33" s="225">
        <f>O$7</f>
        <v>2.5925E-2</v>
      </c>
      <c r="P33" s="214"/>
      <c r="Q33" s="226">
        <v>0.193</v>
      </c>
      <c r="R33" s="124"/>
      <c r="S33" s="215">
        <f>IF(Q33="n/a","n/a",Q33^2)</f>
        <v>3.7249000000000004E-2</v>
      </c>
      <c r="T33" s="215">
        <f>IF(OR(K33="n/a",S33="n/a"),"n/a",IF(H33=0,0,IF(M33=0,(LN(K33/H33)+((O33+(S33/2))*N33))/((S33*N33)^0.5),(LN(K33/H33)+((O33-M33+(S33/2))*N33))/((S33*N33)^0.5))))</f>
        <v>0</v>
      </c>
      <c r="U33" s="216">
        <f>IF(T33="n/a","n/a",IF(H33=0,0,T33-(S33*N33)^0.5))</f>
        <v>0</v>
      </c>
      <c r="V33" s="216">
        <f>IF(OR(T33="n/a",S33="n/a"),"n/a",IF(H33=0,0,NORMSDIST(T33)))</f>
        <v>0</v>
      </c>
      <c r="W33" s="216">
        <f>IF(OR(U33="n/a",S33="n/a"),"n/a",IF(H33=0,0,NORMSDIST(U33)))</f>
        <v>0</v>
      </c>
      <c r="X33" s="216">
        <f>IF(OR(K33="n/a",S33="n/a"),"n/a",IF(M33=0,(K33*V33)-((H33*EXP(1)^(-O33*N33))*W33),(K33*(2.718^(-M33*N33))*V33)-(H33*(2.718^(-O33*N33))*W33)))</f>
        <v>0</v>
      </c>
      <c r="Y33" s="227">
        <f>IF(LEN(B33)&gt;0,IF(H33=0,Q33,IF(ISERROR(Q33/((K33/X33)*V33)),"n/a",Q33/((K33/X33)*V33))))</f>
        <v>0.193</v>
      </c>
    </row>
    <row r="34" spans="1:25" s="34" customFormat="1" ht="12.75" customHeight="1" x14ac:dyDescent="0.2">
      <c r="P34" s="103"/>
    </row>
    <row r="35" spans="1:25" s="34" customFormat="1" ht="12.75" hidden="1" customHeight="1" outlineLevel="1" x14ac:dyDescent="0.2">
      <c r="B35" s="221" t="str">
        <f>B33</f>
        <v>Satellite Healthcare - Wellbound Santa Cruz</v>
      </c>
      <c r="C35" s="209" t="s">
        <v>74</v>
      </c>
      <c r="D35" s="124"/>
      <c r="E35" s="124"/>
      <c r="F35" s="124"/>
      <c r="G35" s="124"/>
      <c r="H35" s="228">
        <f>H33</f>
        <v>0</v>
      </c>
      <c r="I35" s="124"/>
      <c r="J35" s="228">
        <f>J33</f>
        <v>0</v>
      </c>
      <c r="K35" s="228">
        <f>K33</f>
        <v>2.5333510052704202</v>
      </c>
      <c r="L35" s="124"/>
      <c r="M35" s="213">
        <f>M33</f>
        <v>0</v>
      </c>
      <c r="N35" s="210">
        <f>N$7</f>
        <v>1.25</v>
      </c>
      <c r="O35" s="225">
        <f>O$7</f>
        <v>2.5925E-2</v>
      </c>
      <c r="P35" s="214"/>
      <c r="Q35" s="226">
        <v>0.27300000000000002</v>
      </c>
      <c r="R35" s="124"/>
      <c r="S35" s="215">
        <f>IF(Q35="n/a","n/a",Q35^2)</f>
        <v>7.4529000000000012E-2</v>
      </c>
      <c r="T35" s="215">
        <f>IF(OR(K35="n/a",S35="n/a"),"n/a",IF(H35=0,0,IF(M35=0,(LN(K35/H35)+((O35+(S35/2))*N35))/((S35*N35)^0.5),(LN(K35/H35)+((O35-M35+(S35/2))*N35))/((S35*N35)^0.5))))</f>
        <v>0</v>
      </c>
      <c r="U35" s="216">
        <f>IF(T35="n/a","n/a",IF(H35=0,0,T35-(S35*N35)^0.5))</f>
        <v>0</v>
      </c>
      <c r="V35" s="216">
        <f>IF(OR(T35="n/a",S35="n/a"),"n/a",IF(H35=0,0,NORMSDIST(T35)))</f>
        <v>0</v>
      </c>
      <c r="W35" s="216">
        <f>IF(OR(U35="n/a",S35="n/a"),"n/a",IF(H35=0,0,NORMSDIST(U35)))</f>
        <v>0</v>
      </c>
      <c r="X35" s="216">
        <f>IF(OR(K35="n/a",S35="n/a"),"n/a",IF(M35=0,(K35*V35)-((H35*EXP(1)^(-O35*N35))*W35),(K35*(2.718^(-M35*N35))*V35)-(H35*(2.718^(-O35*N35))*W35)))</f>
        <v>0</v>
      </c>
      <c r="Y35" s="227">
        <f>IF(LEN(B35)&gt;0,IF(H35=0,Q35,IF(ISERROR(Q35/((K35/X35)*V35)),"n/a",Q35/((K35/X35)*V35))))</f>
        <v>0.27300000000000002</v>
      </c>
    </row>
    <row r="36" spans="1:25" s="34" customFormat="1" ht="12.75" hidden="1" customHeight="1" outlineLevel="1" x14ac:dyDescent="0.2">
      <c r="P36" s="103"/>
    </row>
    <row r="37" spans="1:25" s="34" customFormat="1" ht="12.75" customHeight="1" collapsed="1" x14ac:dyDescent="0.2">
      <c r="B37" s="127" t="s">
        <v>132</v>
      </c>
      <c r="P37" s="103"/>
    </row>
    <row r="38" spans="1:25" s="34" customFormat="1" ht="12.75" customHeight="1" x14ac:dyDescent="0.2">
      <c r="A38" s="128" t="s">
        <v>55</v>
      </c>
      <c r="B38" s="396" t="s">
        <v>133</v>
      </c>
      <c r="C38" s="396"/>
      <c r="D38" s="396"/>
      <c r="E38" s="396"/>
      <c r="F38" s="396"/>
      <c r="G38" s="396"/>
      <c r="H38" s="396"/>
      <c r="I38" s="396"/>
      <c r="J38" s="396"/>
      <c r="K38" s="396"/>
      <c r="L38" s="396"/>
      <c r="M38" s="396"/>
      <c r="N38" s="396"/>
      <c r="O38" s="396"/>
      <c r="P38" s="396"/>
      <c r="Q38" s="396"/>
      <c r="R38" s="396"/>
      <c r="S38" s="396"/>
      <c r="T38" s="396"/>
      <c r="U38" s="396"/>
      <c r="V38" s="396"/>
      <c r="W38" s="396"/>
      <c r="X38" s="396"/>
      <c r="Y38" s="396"/>
    </row>
    <row r="39" spans="1:25" s="34" customFormat="1" ht="13.5" customHeight="1" x14ac:dyDescent="0.2">
      <c r="A39" s="128" t="s">
        <v>59</v>
      </c>
      <c r="B39" s="396" t="s">
        <v>134</v>
      </c>
      <c r="C39" s="396"/>
      <c r="D39" s="396"/>
      <c r="E39" s="396"/>
      <c r="F39" s="396"/>
      <c r="G39" s="396"/>
      <c r="H39" s="396"/>
      <c r="I39" s="396"/>
      <c r="J39" s="396"/>
      <c r="K39" s="396"/>
      <c r="L39" s="396"/>
      <c r="M39" s="396"/>
      <c r="N39" s="396"/>
      <c r="O39" s="396"/>
      <c r="P39" s="396"/>
      <c r="Q39" s="396"/>
      <c r="R39" s="396"/>
      <c r="S39" s="396"/>
      <c r="T39" s="396"/>
      <c r="U39" s="396"/>
      <c r="V39" s="396"/>
      <c r="W39" s="396"/>
      <c r="X39" s="396"/>
      <c r="Y39" s="396"/>
    </row>
    <row r="40" spans="1:25" s="34" customFormat="1" ht="12.75" customHeight="1" x14ac:dyDescent="0.2">
      <c r="A40" s="128"/>
      <c r="P40" s="103"/>
    </row>
    <row r="41" spans="1:25" s="34" customFormat="1" ht="12.75" customHeight="1" x14ac:dyDescent="0.2">
      <c r="B41" s="127" t="s">
        <v>135</v>
      </c>
      <c r="P41" s="103"/>
    </row>
    <row r="42" spans="1:25" s="34" customFormat="1" ht="12.75" customHeight="1" x14ac:dyDescent="0.2">
      <c r="P42" s="103"/>
    </row>
  </sheetData>
  <mergeCells count="2">
    <mergeCell ref="B38:Y38"/>
    <mergeCell ref="B39:Y39"/>
  </mergeCells>
  <conditionalFormatting sqref="B16:B22">
    <cfRule type="cellIs" dxfId="25" priority="4" operator="equal">
      <formula>"(Invalid Identifier)"</formula>
    </cfRule>
  </conditionalFormatting>
  <conditionalFormatting sqref="C4:Y4">
    <cfRule type="cellIs" dxfId="24" priority="3" stopIfTrue="1" operator="equal">
      <formula>"input"</formula>
    </cfRule>
  </conditionalFormatting>
  <conditionalFormatting sqref="B4">
    <cfRule type="cellIs" dxfId="23" priority="2" stopIfTrue="1" operator="equal">
      <formula>"input"</formula>
    </cfRule>
  </conditionalFormatting>
  <conditionalFormatting sqref="B11:B15">
    <cfRule type="cellIs" dxfId="22" priority="1" operator="equal">
      <formula>"(Invalid Identifier)"</formula>
    </cfRule>
  </conditionalFormatting>
  <pageMargins left="0.5" right="0.5" top="0.5" bottom="0.5" header="0.5" footer="0.5"/>
  <pageSetup scale="85" fitToWidth="0" fitToHeight="0" orientation="landscape"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Title</vt:lpstr>
      <vt:lpstr>Outline</vt:lpstr>
      <vt:lpstr>Discount Summary</vt:lpstr>
      <vt:lpstr>9 Factor Discount Analysis</vt:lpstr>
      <vt:lpstr>DLOM_Quantitative Methods</vt:lpstr>
      <vt:lpstr>DLOM Restricted Stock Studies</vt:lpstr>
      <vt:lpstr>Asset Vol_2</vt:lpstr>
      <vt:lpstr>Asset Vol_3</vt:lpstr>
      <vt:lpstr>Asset Vol_4</vt:lpstr>
      <vt:lpstr>Control Premium Summary</vt:lpstr>
      <vt:lpstr>Risk-Free Rates</vt:lpstr>
      <vt:lpstr>Equity Vol</vt:lpstr>
      <vt:lpstr>DO NOT INCLUDE&gt;&gt;</vt:lpstr>
      <vt:lpstr>Equity Volatility - Output</vt:lpstr>
      <vt:lpstr>'9 Factor Discount Analysis'!Print_Area</vt:lpstr>
      <vt:lpstr>'Asset Vol_2'!Print_Area</vt:lpstr>
      <vt:lpstr>'Asset Vol_3'!Print_Area</vt:lpstr>
      <vt:lpstr>'Asset Vol_4'!Print_Area</vt:lpstr>
      <vt:lpstr>'Control Premium Summary'!Print_Area</vt:lpstr>
      <vt:lpstr>'Discount Summary'!Print_Area</vt:lpstr>
      <vt:lpstr>'DLOM Restricted Stock Studies'!Print_Area</vt:lpstr>
      <vt:lpstr>'DLOM_Quantitative Methods'!Print_Area</vt:lpstr>
      <vt:lpstr>'Equity Vol'!Print_Area</vt:lpstr>
      <vt:lpstr>'Equity Volatility - Output'!Print_Area</vt:lpstr>
      <vt:lpstr>Outline!Print_Area</vt:lpstr>
      <vt:lpstr>'Risk-Free Rates'!Print_Area</vt:lpstr>
      <vt:lpstr>Title!Print_Area</vt:lpstr>
      <vt:lpstr>'9 Factor Discount Analysis'!Print_Titles</vt:lpstr>
      <vt:lpstr>'Asset Vol_2'!Print_Titles</vt:lpstr>
      <vt:lpstr>'Asset Vol_3'!Print_Titles</vt:lpstr>
      <vt:lpstr>'Asset Vol_4'!Print_Titles</vt:lpstr>
      <vt:lpstr>'Control Premium Summary'!Print_Titles</vt:lpstr>
      <vt:lpstr>'Discount Summary'!Print_Titles</vt:lpstr>
      <vt:lpstr>'DLOM Restricted Stock Studies'!Print_Titles</vt:lpstr>
      <vt:lpstr>'DLOM_Quantitative Methods'!Print_Titles</vt:lpstr>
      <vt:lpstr>'Equity Vol'!Print_Titles</vt:lpstr>
      <vt:lpstr>Outline!Print_Titles</vt:lpstr>
      <vt:lpstr>'Risk-Free Rates'!Print_Titles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CIQ RNA</dc:creator>
  <cp:lastModifiedBy>Kayvon Namvar</cp:lastModifiedBy>
  <cp:lastPrinted>2019-05-02T22:06:46Z</cp:lastPrinted>
  <dcterms:created xsi:type="dcterms:W3CDTF">2018-11-01T08:09:57Z</dcterms:created>
  <dcterms:modified xsi:type="dcterms:W3CDTF">2019-05-02T22:07:38Z</dcterms:modified>
</cp:coreProperties>
</file>