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O:\Valuation\RNA Advisors\Satellite Health\WB Santa Cruz\BEV VD 12.31.2018\6 - Analysis\"/>
    </mc:Choice>
  </mc:AlternateContent>
  <xr:revisionPtr revIDLastSave="0" documentId="13_ncr:1_{498713DE-742E-40FF-93E5-F33E530D59BE}" xr6:coauthVersionLast="41" xr6:coauthVersionMax="41" xr10:uidLastSave="{00000000-0000-0000-0000-000000000000}"/>
  <bookViews>
    <workbookView xWindow="-120" yWindow="-120" windowWidth="20730" windowHeight="11160" firstSheet="1" activeTab="1" xr2:uid="{00000000-000D-0000-FFFF-FFFF00000000}"/>
  </bookViews>
  <sheets>
    <sheet name="_CIQHiddenCacheSheet" sheetId="28" state="veryHidden" r:id="rId1"/>
    <sheet name="Title" sheetId="1" r:id="rId2"/>
    <sheet name="Outline" sheetId="2" r:id="rId3"/>
    <sheet name="Discount Summary" sheetId="3" r:id="rId4"/>
    <sheet name="9 Factor Discount Analysis" sheetId="4" r:id="rId5"/>
    <sheet name="DLOM_Quantitative Methods" sheetId="5" r:id="rId6"/>
    <sheet name="DLOM Restricted Stock Studies" sheetId="6" r:id="rId7"/>
    <sheet name="Asset Vol_2" sheetId="7" r:id="rId8"/>
    <sheet name="Asset Vol_3" sheetId="8" r:id="rId9"/>
    <sheet name="Asset Vol_4" sheetId="9" r:id="rId10"/>
    <sheet name="Control Premium Summary" sheetId="10" r:id="rId11"/>
    <sheet name="Risk-Free Rates" sheetId="11" r:id="rId12"/>
    <sheet name="Equity Vol" sheetId="12" r:id="rId13"/>
    <sheet name="DO NOT INCLUDE&gt;&gt;" sheetId="17" r:id="rId14"/>
    <sheet name="Equity Volatility - Output" sheetId="13"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 localSheetId="4" hidden="1">#REF!</definedName>
    <definedName name="_" localSheetId="8" hidden="1">#REF!</definedName>
    <definedName name="_" localSheetId="9" hidden="1">#REF!</definedName>
    <definedName name="_" localSheetId="10" hidden="1">#REF!</definedName>
    <definedName name="_" localSheetId="3" hidden="1">#REF!</definedName>
    <definedName name="_" hidden="1">#REF!</definedName>
    <definedName name="__123Graph_A" hidden="1">'[1]Sheet1 (2)'!$H$20:$O$20</definedName>
    <definedName name="__123Graph_B" hidden="1">'[1]Sheet1 (2)'!$H$15:$O$15</definedName>
    <definedName name="__123Graph_X" hidden="1">'[1]Sheet1 (2)'!$H$3:$P$3</definedName>
    <definedName name="__FDS_HYPERLINK_TOGGLE_STATE__" hidden="1">"ON"</definedName>
    <definedName name="__IntlFixup" hidden="1">TRUE</definedName>
    <definedName name="__IntlFixupTable" localSheetId="4" hidden="1">#REF!</definedName>
    <definedName name="__IntlFixupTable" localSheetId="8" hidden="1">#REF!</definedName>
    <definedName name="__IntlFixupTable" localSheetId="9" hidden="1">#REF!</definedName>
    <definedName name="__IntlFixupTable" localSheetId="10" hidden="1">#REF!</definedName>
    <definedName name="__IntlFixupTable" localSheetId="3" hidden="1">#REF!</definedName>
    <definedName name="__IntlFixupTable" hidden="1">#REF!</definedName>
    <definedName name="_1__123Graph_ACHART_1" localSheetId="10" hidden="1">[2]Africa!$B$19:$V$19</definedName>
    <definedName name="_1__123Graph_ACHART_1" hidden="1">[3]Africa!$B$19:$V$19</definedName>
    <definedName name="_10__123Graph_ACHART_18" localSheetId="10" hidden="1">[2]Ocean!$B$28:$V$28</definedName>
    <definedName name="_10__123Graph_ACHART_18" hidden="1">[3]Ocean!$B$28:$V$28</definedName>
    <definedName name="_11__123Graph_ACHART_19" localSheetId="10" hidden="1">'[2]S Amer'!$B$19:$V$19</definedName>
    <definedName name="_11__123Graph_ACHART_19" hidden="1">'[3]S Amer'!$B$19:$V$19</definedName>
    <definedName name="_112_0_0Cwvu.GREY_A" localSheetId="4" hidden="1">[4]TargIS!#REF!</definedName>
    <definedName name="_112_0_0Cwvu.GREY_A" localSheetId="8" hidden="1">[4]TargIS!#REF!</definedName>
    <definedName name="_112_0_0Cwvu.GREY_A" localSheetId="9" hidden="1">[4]TargIS!#REF!</definedName>
    <definedName name="_112_0_0Cwvu.GREY_A" localSheetId="3" hidden="1">[4]TargIS!#REF!</definedName>
    <definedName name="_112_0_0Cwvu.GREY_A" hidden="1">[4]TargIS!#REF!</definedName>
    <definedName name="_112_0_0Cwvu.grey_B" localSheetId="4" hidden="1">[4]TargIS!#REF!</definedName>
    <definedName name="_112_0_0Cwvu.grey_B" localSheetId="8" hidden="1">[4]TargIS!#REF!</definedName>
    <definedName name="_112_0_0Cwvu.grey_B" localSheetId="9" hidden="1">[4]TargIS!#REF!</definedName>
    <definedName name="_112_0_0Cwvu.grey_B" localSheetId="3" hidden="1">[4]TargIS!#REF!</definedName>
    <definedName name="_112_0_0Cwvu.grey_B" hidden="1">[4]TargIS!#REF!</definedName>
    <definedName name="_12__123Graph_ACHART_2" localSheetId="10" hidden="1">[2]Africa!$B$14:$V$14</definedName>
    <definedName name="_12__123Graph_ACHART_2" hidden="1">[3]Africa!$B$14:$V$14</definedName>
    <definedName name="_13__123Graph_ACHART_20" localSheetId="10" hidden="1">'[2]S Amer'!$B$14:$V$14</definedName>
    <definedName name="_13__123Graph_ACHART_20" hidden="1">'[3]S Amer'!$B$14:$V$14</definedName>
    <definedName name="_14__123Graph_ACHART_21" localSheetId="10" hidden="1">'[2]S Amer'!$B$28:$V$28</definedName>
    <definedName name="_14__123Graph_ACHART_21" hidden="1">'[3]S Amer'!$B$28:$V$28</definedName>
    <definedName name="_15__123Graph_ACHART_22" localSheetId="10" hidden="1">'[2]W Eur'!$B$19:$V$19</definedName>
    <definedName name="_15__123Graph_ACHART_22" hidden="1">'[3]W Eur'!$B$19:$V$19</definedName>
    <definedName name="_16__123Graph_ACHART_23" localSheetId="10" hidden="1">'[2]W Eur'!$B$14:$V$14</definedName>
    <definedName name="_16__123Graph_ACHART_23" hidden="1">'[3]W Eur'!$B$14:$V$14</definedName>
    <definedName name="_17__123Graph_ACHART_24" localSheetId="10" hidden="1">'[2]W Eur'!$B$28:$V$28</definedName>
    <definedName name="_17__123Graph_ACHART_24" hidden="1">'[3]W Eur'!$B$28:$V$28</definedName>
    <definedName name="_18__123Graph_ACHART_3" localSheetId="10" hidden="1">[2]Africa!$B$28:$V$28</definedName>
    <definedName name="_18__123Graph_ACHART_3" hidden="1">[3]Africa!$B$28:$V$28</definedName>
    <definedName name="_19__123Graph_ACHART_4" localSheetId="10" hidden="1">'[2]C Amer'!$B$19:$V$19</definedName>
    <definedName name="_19__123Graph_ACHART_4" hidden="1">'[3]C Amer'!$B$19:$V$19</definedName>
    <definedName name="_2__123Graph_ACHART_10" localSheetId="10" hidden="1">'[2]E Eur'!$B$14:$V$14</definedName>
    <definedName name="_2__123Graph_ACHART_10" hidden="1">'[3]E Eur'!$B$14:$V$14</definedName>
    <definedName name="_20__123Graph_ACHART_5" localSheetId="10" hidden="1">'[2]C Amer'!$B$14:$V$14</definedName>
    <definedName name="_20__123Graph_ACHART_5" hidden="1">'[3]C Amer'!$B$14:$V$14</definedName>
    <definedName name="_21__123Graph_ACHART_6" localSheetId="10" hidden="1">'[2]C Amer'!$B$28:$V$28</definedName>
    <definedName name="_21__123Graph_ACHART_6" hidden="1">'[3]C Amer'!$B$28:$V$28</definedName>
    <definedName name="_22__123Graph_A_Chart_1A" hidden="1">'[5]Stock Price'!$B$4:$B$265</definedName>
    <definedName name="_22__123Graph_ACHART_7" localSheetId="10" hidden="1">'[2]E Asia'!$B$19:$V$19</definedName>
    <definedName name="_22__123Graph_ACHART_7" hidden="1">'[3]E Asia'!$B$19:$V$19</definedName>
    <definedName name="_23__123Graph_AChart_1" hidden="1">[6]Total!$D$322:$D$325</definedName>
    <definedName name="_23__123Graph_ACHART_8" localSheetId="10" hidden="1">'[2]E Asia'!$B$14:$V$14</definedName>
    <definedName name="_23__123Graph_ACHART_8" hidden="1">'[3]E Asia'!$B$14:$V$14</definedName>
    <definedName name="_24__123Graph_AChart_2" hidden="1">'[7]sales vol.'!$K$398:$K$401</definedName>
    <definedName name="_24__123Graph_ACHART_9" localSheetId="10" hidden="1">'[2]E Eur'!$B$19:$V$19</definedName>
    <definedName name="_24__123Graph_ACHART_9" hidden="1">'[3]E Eur'!$B$19:$V$19</definedName>
    <definedName name="_25__123Graph_AChart_3" hidden="1">'[7]sales vol.'!$K$211:$K$214</definedName>
    <definedName name="_25__123Graph_BCHART_1" localSheetId="10" hidden="1">[2]Africa!$B$21:$V$21</definedName>
    <definedName name="_25__123Graph_BCHART_1" hidden="1">[3]Africa!$B$21:$V$21</definedName>
    <definedName name="_26__123Graph_AChart_4" hidden="1">'[7]sales vol.'!$J$1121:$J$1122</definedName>
    <definedName name="_26__123Graph_BCHART_10" localSheetId="10" hidden="1">'[2]E Eur'!$B$51:$V$51</definedName>
    <definedName name="_26__123Graph_BCHART_10" hidden="1">'[3]E Eur'!$B$51:$V$51</definedName>
    <definedName name="_27__123Graph_AChart_5" hidden="1">'[7]sales vol.'!$J$1632:$J$1635</definedName>
    <definedName name="_27__123Graph_BCHART_13" localSheetId="10" hidden="1">[2]Mideast!$B$21:$V$21</definedName>
    <definedName name="_27__123Graph_BCHART_13" hidden="1">[3]Mideast!$B$21:$V$21</definedName>
    <definedName name="_28__123Graph_AChart_6" hidden="1">'[7]sales vol.'!$J$2248:$J$2251</definedName>
    <definedName name="_28__123Graph_BCHART_14" localSheetId="10" hidden="1">[2]Mideast!$B$51:$V$51</definedName>
    <definedName name="_28__123Graph_BCHART_14" hidden="1">[3]Mideast!$B$51:$V$51</definedName>
    <definedName name="_29__123Graph_B_Chart_1A" hidden="1">'[5]Stock Price'!$C$4:$C$265</definedName>
    <definedName name="_29__123Graph_BCHART_16" localSheetId="10" hidden="1">[2]Ocean!$B$21:$V$21</definedName>
    <definedName name="_29__123Graph_BCHART_16" hidden="1">[3]Ocean!$B$21:$V$21</definedName>
    <definedName name="_3__123Graph_ACHART_11" localSheetId="10" hidden="1">'[2]E Eur'!$B$28:$V$28</definedName>
    <definedName name="_3__123Graph_ACHART_11" hidden="1">'[3]E Eur'!$B$28:$V$28</definedName>
    <definedName name="_30__123Graph_BCHART_17" localSheetId="10" hidden="1">[2]Ocean!$B$51:$V$51</definedName>
    <definedName name="_30__123Graph_BCHART_17" hidden="1">[3]Ocean!$B$51:$V$51</definedName>
    <definedName name="_30__123Graph_C_Chart_1A" hidden="1">'[5]Stock Price'!$D$4:$D$265</definedName>
    <definedName name="_31__123Graph_BCHART_19" localSheetId="10" hidden="1">'[2]S Amer'!$B$21:$V$21</definedName>
    <definedName name="_31__123Graph_BCHART_19" hidden="1">'[3]S Amer'!$B$21:$V$21</definedName>
    <definedName name="_31__123Graph_D_Chart_1A" hidden="1">'[5]Stock Price'!$E$4:$E$265</definedName>
    <definedName name="_32__123Graph_BCHART_2" localSheetId="10" hidden="1">[2]Africa!$B$51:$V$51</definedName>
    <definedName name="_32__123Graph_BCHART_2" hidden="1">[3]Africa!$B$51:$V$51</definedName>
    <definedName name="_32__123Graph_E_Chart_1A" hidden="1">'[5]Stock Price'!$F$4:$F$265</definedName>
    <definedName name="_33__123Graph_BCHART_20" localSheetId="10" hidden="1">'[2]S Amer'!$B$51:$V$51</definedName>
    <definedName name="_33__123Graph_BCHART_20" hidden="1">'[3]S Amer'!$B$51:$V$51</definedName>
    <definedName name="_33__123Graph_F_Chart_1A" hidden="1">'[5]Stock Price'!$G$4:$G$265</definedName>
    <definedName name="_34__123Graph_BCHART_22" localSheetId="10" hidden="1">'[2]W Eur'!$B$21:$V$21</definedName>
    <definedName name="_34__123Graph_BCHART_22" hidden="1">'[3]W Eur'!$B$21:$V$21</definedName>
    <definedName name="_34__123Graph_X_Chart_1A" hidden="1">'[5]Stock Price'!$A$4:$A$265</definedName>
    <definedName name="_35__123Graph_BCHART_23" localSheetId="10" hidden="1">'[2]W Eur'!$B$51:$V$51</definedName>
    <definedName name="_35__123Graph_BCHART_23" hidden="1">'[3]W Eur'!$B$51:$V$51</definedName>
    <definedName name="_35__123Graph_XChart_1" hidden="1">[6]Total!$C$322:$C$325</definedName>
    <definedName name="_36__123Graph_BCHART_4" localSheetId="10" hidden="1">'[2]C Amer'!$B$21:$V$21</definedName>
    <definedName name="_36__123Graph_BCHART_4" hidden="1">'[3]C Amer'!$B$21:$V$21</definedName>
    <definedName name="_36__123Graph_XChart_2" hidden="1">'[7]sales vol.'!$J$398:$J$401</definedName>
    <definedName name="_37__123Graph_BCHART_5" localSheetId="10" hidden="1">'[2]C Amer'!$B$51:$V$51</definedName>
    <definedName name="_37__123Graph_BCHART_5" hidden="1">'[3]C Amer'!$B$51:$V$51</definedName>
    <definedName name="_37__123Graph_XChart_3" hidden="1">'[7]sales vol.'!$J$211:$J$214</definedName>
    <definedName name="_38__123Graph_BCHART_7" localSheetId="10" hidden="1">'[2]E Asia'!$B$21:$V$21</definedName>
    <definedName name="_38__123Graph_BCHART_7" hidden="1">'[3]E Asia'!$B$21:$V$21</definedName>
    <definedName name="_38__123Graph_XChart_4" hidden="1">'[7]sales vol.'!$I$1121:$I$1122</definedName>
    <definedName name="_39__123Graph_BCHART_8" localSheetId="10" hidden="1">'[2]E Asia'!$B$51:$V$51</definedName>
    <definedName name="_39__123Graph_BCHART_8" hidden="1">'[3]E Asia'!$B$51:$V$51</definedName>
    <definedName name="_39__123Graph_XChart_5" hidden="1">'[7]sales vol.'!$I$1632:$I$1635</definedName>
    <definedName name="_4__123Graph_ACHART_12" localSheetId="10" hidden="1">'[2]E Asia'!$B$28:$V$28</definedName>
    <definedName name="_4__123Graph_ACHART_12" hidden="1">'[3]E Asia'!$B$28:$V$28</definedName>
    <definedName name="_40__123Graph_BCHART_9" localSheetId="10" hidden="1">'[2]E Eur'!$B$21:$V$21</definedName>
    <definedName name="_40__123Graph_BCHART_9" hidden="1">'[3]E Eur'!$B$21:$V$21</definedName>
    <definedName name="_40__123Graph_XChart_6" hidden="1">'[7]sales vol.'!$I$2248:$I$2251</definedName>
    <definedName name="_41__123Graph_CCHART_10" localSheetId="10" hidden="1">'[2]E Eur'!$B$13:$V$13</definedName>
    <definedName name="_41__123Graph_CCHART_10" hidden="1">'[3]E Eur'!$B$13:$V$13</definedName>
    <definedName name="_42__123Graph_CCHART_14" localSheetId="10" hidden="1">[2]Mideast!$B$13:$V$13</definedName>
    <definedName name="_42__123Graph_CCHART_14" hidden="1">[3]Mideast!$B$13:$V$13</definedName>
    <definedName name="_43__123Graph_CCHART_17" localSheetId="10" hidden="1">[2]Ocean!$B$13:$V$13</definedName>
    <definedName name="_43__123Graph_CCHART_17" hidden="1">[3]Ocean!$B$13:$V$13</definedName>
    <definedName name="_44__123Graph_CCHART_2" localSheetId="10" hidden="1">[2]Africa!$B$13:$V$13</definedName>
    <definedName name="_44__123Graph_CCHART_2" hidden="1">[3]Africa!$B$13:$V$13</definedName>
    <definedName name="_45__123Graph_CCHART_20" localSheetId="10" hidden="1">'[2]S Amer'!$B$13:$V$13</definedName>
    <definedName name="_45__123Graph_CCHART_20" hidden="1">'[3]S Amer'!$B$13:$V$13</definedName>
    <definedName name="_46__123Graph_CCHART_23" localSheetId="10" hidden="1">'[2]W Eur'!$B$13:$V$13</definedName>
    <definedName name="_46__123Graph_CCHART_23" hidden="1">'[3]W Eur'!$B$13:$V$13</definedName>
    <definedName name="_47__123Graph_CCHART_5" localSheetId="10" hidden="1">'[2]C Amer'!$B$13:$V$13</definedName>
    <definedName name="_47__123Graph_CCHART_5" hidden="1">'[3]C Amer'!$B$13:$V$13</definedName>
    <definedName name="_48__123Graph_CCHART_8" localSheetId="10" hidden="1">'[2]E Asia'!$B$13:$V$13</definedName>
    <definedName name="_48__123Graph_CCHART_8" hidden="1">'[3]E Asia'!$B$13:$V$13</definedName>
    <definedName name="_49__123Graph_XCHART_10" localSheetId="10" hidden="1">'[2]E Eur'!$B$8:$V$8</definedName>
    <definedName name="_49__123Graph_XCHART_10" hidden="1">'[3]E Eur'!$B$8:$V$8</definedName>
    <definedName name="_5__123Graph_ACHART_13" localSheetId="10" hidden="1">[2]Mideast!$B$19:$V$19</definedName>
    <definedName name="_5__123Graph_ACHART_13" hidden="1">[3]Mideast!$B$19:$V$19</definedName>
    <definedName name="_50__123Graph_XCHART_11" localSheetId="10" hidden="1">'[2]E Eur'!$B$8:$V$8</definedName>
    <definedName name="_50__123Graph_XCHART_11" hidden="1">'[3]E Eur'!$B$8:$V$8</definedName>
    <definedName name="_51__123Graph_XCHART_14" localSheetId="10" hidden="1">[2]Mideast!$B$8:$V$8</definedName>
    <definedName name="_51__123Graph_XCHART_14" hidden="1">[3]Mideast!$B$8:$V$8</definedName>
    <definedName name="_52__123Graph_XCHART_15" localSheetId="10" hidden="1">[2]Mideast!$B$8:$V$8</definedName>
    <definedName name="_52__123Graph_XCHART_15" hidden="1">[3]Mideast!$B$8:$V$8</definedName>
    <definedName name="_53__123Graph_XCHART_17" localSheetId="10" hidden="1">[2]Ocean!$B$8:$V$8</definedName>
    <definedName name="_53__123Graph_XCHART_17" hidden="1">[3]Ocean!$B$8:$V$8</definedName>
    <definedName name="_54__123Graph_XCHART_18" localSheetId="10" hidden="1">[2]Ocean!$B$8:$V$8</definedName>
    <definedName name="_54__123Graph_XCHART_18" hidden="1">[3]Ocean!$B$8:$V$8</definedName>
    <definedName name="_55__123Graph_XCHART_2" localSheetId="10" hidden="1">[2]Africa!$B$8:$V$8</definedName>
    <definedName name="_55__123Graph_XCHART_2" hidden="1">[3]Africa!$B$8:$V$8</definedName>
    <definedName name="_56__123Graph_XCHART_20" localSheetId="10" hidden="1">'[2]S Amer'!$B$8:$V$8</definedName>
    <definedName name="_56__123Graph_XCHART_20" hidden="1">'[3]S Amer'!$B$8:$V$8</definedName>
    <definedName name="_57__123Graph_XCHART_21" localSheetId="10" hidden="1">'[2]S Amer'!$B$8:$V$8</definedName>
    <definedName name="_57__123Graph_XCHART_21" hidden="1">'[3]S Amer'!$B$8:$V$8</definedName>
    <definedName name="_58__123Graph_XCHART_23" localSheetId="10" hidden="1">'[2]W Eur'!$B$8:$V$8</definedName>
    <definedName name="_58__123Graph_XCHART_23" hidden="1">'[3]W Eur'!$B$8:$V$8</definedName>
    <definedName name="_59__123Graph_XCHART_24" localSheetId="10" hidden="1">'[2]W Eur'!$B$8:$V$8</definedName>
    <definedName name="_59__123Graph_XCHART_24" hidden="1">'[3]W Eur'!$B$8:$V$8</definedName>
    <definedName name="_6__123Graph_ACHART_14" localSheetId="10" hidden="1">[2]Mideast!$B$14:$V$14</definedName>
    <definedName name="_6__123Graph_ACHART_14" hidden="1">[3]Mideast!$B$14:$V$14</definedName>
    <definedName name="_60__123Graph_XCHART_3" localSheetId="10" hidden="1">[2]Africa!$B$8:$V$8</definedName>
    <definedName name="_60__123Graph_XCHART_3" hidden="1">[3]Africa!$B$8:$V$8</definedName>
    <definedName name="_61__123Graph_XCHART_5" localSheetId="10" hidden="1">'[2]C Amer'!$B$8:$V$8</definedName>
    <definedName name="_61__123Graph_XCHART_5" hidden="1">'[3]C Amer'!$B$8:$V$8</definedName>
    <definedName name="_62__123Graph_XCHART_6" localSheetId="10" hidden="1">'[2]C Amer'!$B$8:$V$8</definedName>
    <definedName name="_62__123Graph_XCHART_6" hidden="1">'[3]C Amer'!$B$8:$V$8</definedName>
    <definedName name="_63__123Graph_XCHART_8" localSheetId="10" hidden="1">'[2]E Asia'!$B$8:$V$8</definedName>
    <definedName name="_63__123Graph_XCHART_8" hidden="1">'[3]E Asia'!$B$8:$V$8</definedName>
    <definedName name="_64_0_0Cwvu.GREY_A" localSheetId="4" hidden="1">[4]TargIS!#REF!</definedName>
    <definedName name="_64_0_0Cwvu.GREY_A" localSheetId="8" hidden="1">[4]TargIS!#REF!</definedName>
    <definedName name="_64_0_0Cwvu.GREY_A" localSheetId="9" hidden="1">[4]TargIS!#REF!</definedName>
    <definedName name="_64_0_0Cwvu.GREY_A" localSheetId="10" hidden="1">[4]TargIS!#REF!</definedName>
    <definedName name="_64_0_0Cwvu.GREY_A" localSheetId="3" hidden="1">[4]TargIS!#REF!</definedName>
    <definedName name="_64_0_0Cwvu.GREY_A" hidden="1">[4]TargIS!#REF!</definedName>
    <definedName name="_7__123Graph_ACHART_15" localSheetId="10" hidden="1">[2]Mideast!$B$28:$V$28</definedName>
    <definedName name="_7__123Graph_ACHART_15" hidden="1">[3]Mideast!$B$28:$V$28</definedName>
    <definedName name="_8__123Graph_ACHART_16" localSheetId="10" hidden="1">[2]Ocean!$B$19:$V$19</definedName>
    <definedName name="_8__123Graph_ACHART_16" hidden="1">[3]Ocean!$B$19:$V$19</definedName>
    <definedName name="_9__123Graph_ACHART_17" localSheetId="10" hidden="1">[2]Ocean!$B$14:$V$14</definedName>
    <definedName name="_9__123Graph_ACHART_17" hidden="1">[3]Ocean!$B$14:$V$14</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46a18ed9dffd4cd6880b56437874ece9.edm" localSheetId="4" hidden="1">#REF!</definedName>
    <definedName name="_bdm.46a18ed9dffd4cd6880b56437874ece9.edm" localSheetId="8" hidden="1">#REF!</definedName>
    <definedName name="_bdm.46a18ed9dffd4cd6880b56437874ece9.edm" localSheetId="9" hidden="1">#REF!</definedName>
    <definedName name="_bdm.46a18ed9dffd4cd6880b56437874ece9.edm" localSheetId="10" hidden="1">#REF!</definedName>
    <definedName name="_bdm.46a18ed9dffd4cd6880b56437874ece9.edm" localSheetId="3" hidden="1">#REF!</definedName>
    <definedName name="_bdm.46a18ed9dffd4cd6880b56437874ece9.edm" hidden="1">#REF!</definedName>
    <definedName name="_bdm.d437fcb6dd254b7a8c2aff490de850e3.edm" localSheetId="4" hidden="1">#REF!</definedName>
    <definedName name="_bdm.d437fcb6dd254b7a8c2aff490de850e3.edm" localSheetId="8" hidden="1">#REF!</definedName>
    <definedName name="_bdm.d437fcb6dd254b7a8c2aff490de850e3.edm" localSheetId="9" hidden="1">#REF!</definedName>
    <definedName name="_bdm.d437fcb6dd254b7a8c2aff490de850e3.edm" localSheetId="10" hidden="1">#REF!</definedName>
    <definedName name="_bdm.d437fcb6dd254b7a8c2aff490de850e3.edm" localSheetId="3" hidden="1">#REF!</definedName>
    <definedName name="_bdm.d437fcb6dd254b7a8c2aff490de850e3.edm" hidden="1">#REF!</definedName>
    <definedName name="_bdm.d97762a431bc47a188ab7c2f84c57d3e.edm" localSheetId="4" hidden="1">#REF!</definedName>
    <definedName name="_bdm.d97762a431bc47a188ab7c2f84c57d3e.edm" localSheetId="8" hidden="1">#REF!</definedName>
    <definedName name="_bdm.d97762a431bc47a188ab7c2f84c57d3e.edm" localSheetId="9" hidden="1">#REF!</definedName>
    <definedName name="_bdm.d97762a431bc47a188ab7c2f84c57d3e.edm" localSheetId="10" hidden="1">#REF!</definedName>
    <definedName name="_bdm.d97762a431bc47a188ab7c2f84c57d3e.edm" localSheetId="3" hidden="1">#REF!</definedName>
    <definedName name="_bdm.d97762a431bc47a188ab7c2f84c57d3e.edm" hidden="1">#REF!</definedName>
    <definedName name="_bdm.D97763A431BC47A188AB7C2F84C57D3E.edm" localSheetId="4" hidden="1">#REF!</definedName>
    <definedName name="_bdm.D97763A431BC47A188AB7C2F84C57D3E.edm" localSheetId="8" hidden="1">#REF!</definedName>
    <definedName name="_bdm.D97763A431BC47A188AB7C2F84C57D3E.edm" localSheetId="9" hidden="1">#REF!</definedName>
    <definedName name="_bdm.D97763A431BC47A188AB7C2F84C57D3E.edm" localSheetId="10" hidden="1">#REF!</definedName>
    <definedName name="_bdm.D97763A431BC47A188AB7C2F84C57D3E.edm" localSheetId="3" hidden="1">#REF!</definedName>
    <definedName name="_bdm.D97763A431BC47A188AB7C2F84C57D3E.edm" hidden="1">#REF!</definedName>
    <definedName name="_bdm.FBC8F4734CD44B95848F689416B40C4F.edm" localSheetId="4" hidden="1">#REF!</definedName>
    <definedName name="_bdm.FBC8F4734CD44B95848F689416B40C4F.edm" localSheetId="8" hidden="1">#REF!</definedName>
    <definedName name="_bdm.FBC8F4734CD44B95848F689416B40C4F.edm" localSheetId="9" hidden="1">#REF!</definedName>
    <definedName name="_bdm.FBC8F4734CD44B95848F689416B40C4F.edm" localSheetId="10" hidden="1">#REF!</definedName>
    <definedName name="_bdm.FBC8F4734CD44B95848F689416B40C4F.edm" localSheetId="3" hidden="1">#REF!</definedName>
    <definedName name="_bdm.FBC8F4734CD44B95848F689416B40C4F.edm" hidden="1">#REF!</definedName>
    <definedName name="_Dist_Values" localSheetId="4" hidden="1">#REF!</definedName>
    <definedName name="_Dist_Values" localSheetId="8" hidden="1">#REF!</definedName>
    <definedName name="_Dist_Values" localSheetId="9" hidden="1">#REF!</definedName>
    <definedName name="_Dist_Values" localSheetId="10" hidden="1">#REF!</definedName>
    <definedName name="_Dist_Values" localSheetId="3" hidden="1">#REF!</definedName>
    <definedName name="_Dist_Values" hidden="1">#REF!</definedName>
    <definedName name="_Dist_Values2" localSheetId="4" hidden="1">#REF!</definedName>
    <definedName name="_Dist_Values2" localSheetId="8" hidden="1">#REF!</definedName>
    <definedName name="_Dist_Values2" localSheetId="9" hidden="1">#REF!</definedName>
    <definedName name="_Dist_Values2" localSheetId="3" hidden="1">#REF!</definedName>
    <definedName name="_Dist_Values2" hidden="1">#REF!</definedName>
    <definedName name="_Fill" localSheetId="4" hidden="1">#REF!</definedName>
    <definedName name="_Fill" localSheetId="8" hidden="1">#REF!</definedName>
    <definedName name="_Fill" localSheetId="9" hidden="1">#REF!</definedName>
    <definedName name="_Fill" localSheetId="10" hidden="1">#REF!</definedName>
    <definedName name="_Fill" localSheetId="3" hidden="1">#REF!</definedName>
    <definedName name="_Fill" hidden="1">#REF!</definedName>
    <definedName name="_Fill2" localSheetId="4" hidden="1">#REF!</definedName>
    <definedName name="_Fill2" localSheetId="8" hidden="1">#REF!</definedName>
    <definedName name="_Fill2" localSheetId="9" hidden="1">#REF!</definedName>
    <definedName name="_Fill2" localSheetId="3" hidden="1">#REF!</definedName>
    <definedName name="_Fill2" hidden="1">#REF!</definedName>
    <definedName name="_I2" localSheetId="4" hidden="1">{"PVGraph2",#N/A,FALSE,"PV Data"}</definedName>
    <definedName name="_I2" localSheetId="7" hidden="1">{"PVGraph2",#N/A,FALSE,"PV Data"}</definedName>
    <definedName name="_I2" localSheetId="8" hidden="1">{"PVGraph2",#N/A,FALSE,"PV Data"}</definedName>
    <definedName name="_I2" localSheetId="9" hidden="1">{"PVGraph2",#N/A,FALSE,"PV Data"}</definedName>
    <definedName name="_I2" localSheetId="10" hidden="1">{"PVGraph2",#N/A,FALSE,"PV Data"}</definedName>
    <definedName name="_I2" localSheetId="3" hidden="1">{"PVGraph2",#N/A,FALSE,"PV Data"}</definedName>
    <definedName name="_I2" localSheetId="6" hidden="1">{"PVGraph2",#N/A,FALSE,"PV Data"}</definedName>
    <definedName name="_I2" localSheetId="5" hidden="1">{"PVGraph2",#N/A,FALSE,"PV Data"}</definedName>
    <definedName name="_I2" localSheetId="11" hidden="1">{"PVGraph2",#N/A,FALSE,"PV Data"}</definedName>
    <definedName name="_I2" hidden="1">{"PVGraph2",#N/A,FALSE,"PV Data"}</definedName>
    <definedName name="_I3" localSheetId="4" hidden="1">{"PVGraph2",#N/A,FALSE,"PV Data"}</definedName>
    <definedName name="_I3" localSheetId="7" hidden="1">{"PVGraph2",#N/A,FALSE,"PV Data"}</definedName>
    <definedName name="_I3" localSheetId="8" hidden="1">{"PVGraph2",#N/A,FALSE,"PV Data"}</definedName>
    <definedName name="_I3" localSheetId="9" hidden="1">{"PVGraph2",#N/A,FALSE,"PV Data"}</definedName>
    <definedName name="_I3" localSheetId="10" hidden="1">{"PVGraph2",#N/A,FALSE,"PV Data"}</definedName>
    <definedName name="_I3" localSheetId="3" hidden="1">{"PVGraph2",#N/A,FALSE,"PV Data"}</definedName>
    <definedName name="_I3" localSheetId="6" hidden="1">{"PVGraph2",#N/A,FALSE,"PV Data"}</definedName>
    <definedName name="_I3" localSheetId="5" hidden="1">{"PVGraph2",#N/A,FALSE,"PV Data"}</definedName>
    <definedName name="_I3" localSheetId="11" hidden="1">{"PVGraph2",#N/A,FALSE,"PV Data"}</definedName>
    <definedName name="_I3" hidden="1">{"PVGraph2",#N/A,FALSE,"PV Data"}</definedName>
    <definedName name="_Key1" localSheetId="4" hidden="1">#REF!</definedName>
    <definedName name="_Key1" localSheetId="8" hidden="1">#REF!</definedName>
    <definedName name="_Key1" localSheetId="9" hidden="1">#REF!</definedName>
    <definedName name="_Key1" localSheetId="10" hidden="1">#REF!</definedName>
    <definedName name="_Key1" localSheetId="3" hidden="1">#REF!</definedName>
    <definedName name="_Key1" hidden="1">#REF!</definedName>
    <definedName name="_Key2" localSheetId="4" hidden="1">#REF!</definedName>
    <definedName name="_Key2" localSheetId="8" hidden="1">#REF!</definedName>
    <definedName name="_Key2" localSheetId="9" hidden="1">#REF!</definedName>
    <definedName name="_Key2" localSheetId="10" hidden="1">#REF!</definedName>
    <definedName name="_Key2" localSheetId="3" hidden="1">#REF!</definedName>
    <definedName name="_Key2" hidden="1">#REF!</definedName>
    <definedName name="_m" localSheetId="4" hidden="1">#REF!</definedName>
    <definedName name="_m" localSheetId="8" hidden="1">#REF!</definedName>
    <definedName name="_m" localSheetId="9" hidden="1">#REF!</definedName>
    <definedName name="_m" localSheetId="10" hidden="1">#REF!</definedName>
    <definedName name="_m" localSheetId="3" hidden="1">#REF!</definedName>
    <definedName name="_m" hidden="1">#REF!</definedName>
    <definedName name="_Order1" localSheetId="10" hidden="1">0</definedName>
    <definedName name="_Order1" hidden="1">255</definedName>
    <definedName name="_Order2" hidden="1">255</definedName>
    <definedName name="_s1" hidden="1">'[7]sales vol.'!$J$34:$J$37</definedName>
    <definedName name="_s2" hidden="1">'[7]sales vol.'!$J$398:$J$401</definedName>
    <definedName name="_s3" hidden="1">'[7]sales vol.'!$J$211:$J$214</definedName>
    <definedName name="_s4" hidden="1">'[7]sales vol.'!$I$1121:$I$1122</definedName>
    <definedName name="_s5" hidden="1">'[7]sales vol.'!$I$1632:$I$1635</definedName>
    <definedName name="_s6" hidden="1">'[7]sales vol.'!$I$2248:$I$2251</definedName>
    <definedName name="_Sort" localSheetId="4" hidden="1">#REF!</definedName>
    <definedName name="_Sort" localSheetId="8" hidden="1">#REF!</definedName>
    <definedName name="_Sort" localSheetId="9" hidden="1">#REF!</definedName>
    <definedName name="_Sort" localSheetId="10" hidden="1">#REF!</definedName>
    <definedName name="_Sort" localSheetId="3" hidden="1">#REF!</definedName>
    <definedName name="_Sort" hidden="1">#REF!</definedName>
    <definedName name="_Table1_In1" localSheetId="4" hidden="1">#REF!</definedName>
    <definedName name="_Table1_In1" localSheetId="8" hidden="1">#REF!</definedName>
    <definedName name="_Table1_In1" localSheetId="9" hidden="1">#REF!</definedName>
    <definedName name="_Table1_In1" localSheetId="10" hidden="1">#REF!</definedName>
    <definedName name="_Table1_In1" localSheetId="3" hidden="1">#REF!</definedName>
    <definedName name="_Table1_In1" hidden="1">#REF!</definedName>
    <definedName name="_Table1_In2" localSheetId="4" hidden="1">#REF!</definedName>
    <definedName name="_Table1_In2" localSheetId="8" hidden="1">#REF!</definedName>
    <definedName name="_Table1_In2" localSheetId="9" hidden="1">#REF!</definedName>
    <definedName name="_Table1_In2" localSheetId="3" hidden="1">#REF!</definedName>
    <definedName name="_Table1_In2" hidden="1">#REF!</definedName>
    <definedName name="_Table1_Out" localSheetId="4" hidden="1">#REF!</definedName>
    <definedName name="_Table1_Out" localSheetId="8" hidden="1">#REF!</definedName>
    <definedName name="_Table1_Out" localSheetId="9" hidden="1">#REF!</definedName>
    <definedName name="_Table1_Out" localSheetId="10" hidden="1">#REF!</definedName>
    <definedName name="_Table1_Out" localSheetId="3" hidden="1">#REF!</definedName>
    <definedName name="_Table1_Out" hidden="1">#REF!</definedName>
    <definedName name="_Table1_Out2" localSheetId="4" hidden="1">#REF!</definedName>
    <definedName name="_Table1_Out2" localSheetId="8" hidden="1">#REF!</definedName>
    <definedName name="_Table1_Out2" localSheetId="9" hidden="1">#REF!</definedName>
    <definedName name="_Table1_Out2" localSheetId="3" hidden="1">#REF!</definedName>
    <definedName name="_Table1_Out2" hidden="1">#REF!</definedName>
    <definedName name="_Table2_In1" localSheetId="4" hidden="1">#REF!</definedName>
    <definedName name="_Table2_In1" localSheetId="8" hidden="1">#REF!</definedName>
    <definedName name="_Table2_In1" localSheetId="9" hidden="1">#REF!</definedName>
    <definedName name="_Table2_In1" localSheetId="10" hidden="1">#REF!</definedName>
    <definedName name="_Table2_In1" localSheetId="3" hidden="1">#REF!</definedName>
    <definedName name="_Table2_In1" hidden="1">#REF!</definedName>
    <definedName name="_Table2_In2" localSheetId="4" hidden="1">#REF!</definedName>
    <definedName name="_Table2_In2" localSheetId="8" hidden="1">#REF!</definedName>
    <definedName name="_Table2_In2" localSheetId="9" hidden="1">#REF!</definedName>
    <definedName name="_Table2_In2" localSheetId="10" hidden="1">#REF!</definedName>
    <definedName name="_Table2_In2" localSheetId="3" hidden="1">#REF!</definedName>
    <definedName name="_Table2_In2" hidden="1">#REF!</definedName>
    <definedName name="_Table2_In3" localSheetId="4" hidden="1">#REF!</definedName>
    <definedName name="_Table2_In3" localSheetId="8" hidden="1">#REF!</definedName>
    <definedName name="_Table2_In3" localSheetId="9" hidden="1">#REF!</definedName>
    <definedName name="_Table2_In3" localSheetId="3" hidden="1">#REF!</definedName>
    <definedName name="_Table2_In3" hidden="1">#REF!</definedName>
    <definedName name="_Table2_Out" localSheetId="4" hidden="1">#REF!</definedName>
    <definedName name="_Table2_Out" localSheetId="8" hidden="1">#REF!</definedName>
    <definedName name="_Table2_Out" localSheetId="9" hidden="1">#REF!</definedName>
    <definedName name="_Table2_Out" localSheetId="10" hidden="1">#REF!</definedName>
    <definedName name="_Table2_Out" localSheetId="3" hidden="1">#REF!</definedName>
    <definedName name="_Table2_Out" hidden="1">#REF!</definedName>
    <definedName name="_Table2_Out2" localSheetId="4" hidden="1">#REF!</definedName>
    <definedName name="_Table2_Out2" localSheetId="8" hidden="1">#REF!</definedName>
    <definedName name="_Table2_Out2" localSheetId="9" hidden="1">#REF!</definedName>
    <definedName name="_Table2_Out2" localSheetId="3" hidden="1">#REF!</definedName>
    <definedName name="_Table2_Out2" hidden="1">#REF!</definedName>
    <definedName name="_w1" localSheetId="4" hidden="1">{"PVGraph2",#N/A,FALSE,"PV Data"}</definedName>
    <definedName name="_w1" localSheetId="7" hidden="1">{"PVGraph2",#N/A,FALSE,"PV Data"}</definedName>
    <definedName name="_w1" localSheetId="8" hidden="1">{"PVGraph2",#N/A,FALSE,"PV Data"}</definedName>
    <definedName name="_w1" localSheetId="9" hidden="1">{"PVGraph2",#N/A,FALSE,"PV Data"}</definedName>
    <definedName name="_w1" localSheetId="10" hidden="1">{"PVGraph2",#N/A,FALSE,"PV Data"}</definedName>
    <definedName name="_w1" localSheetId="3" hidden="1">{"PVGraph2",#N/A,FALSE,"PV Data"}</definedName>
    <definedName name="_w1" localSheetId="6" hidden="1">{"PVGraph2",#N/A,FALSE,"PV Data"}</definedName>
    <definedName name="_w1" localSheetId="5" hidden="1">{"PVGraph2",#N/A,FALSE,"PV Data"}</definedName>
    <definedName name="_w1" localSheetId="11" hidden="1">{"PVGraph2",#N/A,FALSE,"PV Data"}</definedName>
    <definedName name="_w1" hidden="1">{"PVGraph2",#N/A,FALSE,"PV Data"}</definedName>
    <definedName name="_w2" localSheetId="4" hidden="1">{"PVGraph2",#N/A,FALSE,"PV Data"}</definedName>
    <definedName name="_w2" localSheetId="7" hidden="1">{"PVGraph2",#N/A,FALSE,"PV Data"}</definedName>
    <definedName name="_w2" localSheetId="8" hidden="1">{"PVGraph2",#N/A,FALSE,"PV Data"}</definedName>
    <definedName name="_w2" localSheetId="9" hidden="1">{"PVGraph2",#N/A,FALSE,"PV Data"}</definedName>
    <definedName name="_w2" localSheetId="10" hidden="1">{"PVGraph2",#N/A,FALSE,"PV Data"}</definedName>
    <definedName name="_w2" localSheetId="3" hidden="1">{"PVGraph2",#N/A,FALSE,"PV Data"}</definedName>
    <definedName name="_w2" localSheetId="6" hidden="1">{"PVGraph2",#N/A,FALSE,"PV Data"}</definedName>
    <definedName name="_w2" localSheetId="5" hidden="1">{"PVGraph2",#N/A,FALSE,"PV Data"}</definedName>
    <definedName name="_w2" localSheetId="11" hidden="1">{"PVGraph2",#N/A,FALSE,"PV Data"}</definedName>
    <definedName name="_w2" hidden="1">{"PVGraph2",#N/A,FALSE,"PV Data"}</definedName>
    <definedName name="_w3" localSheetId="4" hidden="1">{"PVGraph2",#N/A,FALSE,"PV Data"}</definedName>
    <definedName name="_w3" localSheetId="7" hidden="1">{"PVGraph2",#N/A,FALSE,"PV Data"}</definedName>
    <definedName name="_w3" localSheetId="8" hidden="1">{"PVGraph2",#N/A,FALSE,"PV Data"}</definedName>
    <definedName name="_w3" localSheetId="9" hidden="1">{"PVGraph2",#N/A,FALSE,"PV Data"}</definedName>
    <definedName name="_w3" localSheetId="10" hidden="1">{"PVGraph2",#N/A,FALSE,"PV Data"}</definedName>
    <definedName name="_w3" localSheetId="3" hidden="1">{"PVGraph2",#N/A,FALSE,"PV Data"}</definedName>
    <definedName name="_w3" localSheetId="6" hidden="1">{"PVGraph2",#N/A,FALSE,"PV Data"}</definedName>
    <definedName name="_w3" localSheetId="5" hidden="1">{"PVGraph2",#N/A,FALSE,"PV Data"}</definedName>
    <definedName name="_w3" localSheetId="11" hidden="1">{"PVGraph2",#N/A,FALSE,"PV Data"}</definedName>
    <definedName name="_w3" hidden="1">{"PVGraph2",#N/A,FALSE,"PV Data"}</definedName>
    <definedName name="_y2" localSheetId="4" hidden="1">{"PVGraph2",#N/A,FALSE,"PV Data"}</definedName>
    <definedName name="_y2" localSheetId="7" hidden="1">{"PVGraph2",#N/A,FALSE,"PV Data"}</definedName>
    <definedName name="_y2" localSheetId="8" hidden="1">{"PVGraph2",#N/A,FALSE,"PV Data"}</definedName>
    <definedName name="_y2" localSheetId="9" hidden="1">{"PVGraph2",#N/A,FALSE,"PV Data"}</definedName>
    <definedName name="_y2" localSheetId="10" hidden="1">{"PVGraph2",#N/A,FALSE,"PV Data"}</definedName>
    <definedName name="_y2" localSheetId="3" hidden="1">{"PVGraph2",#N/A,FALSE,"PV Data"}</definedName>
    <definedName name="_y2" localSheetId="6" hidden="1">{"PVGraph2",#N/A,FALSE,"PV Data"}</definedName>
    <definedName name="_y2" localSheetId="5" hidden="1">{"PVGraph2",#N/A,FALSE,"PV Data"}</definedName>
    <definedName name="_y2" localSheetId="11" hidden="1">{"PVGraph2",#N/A,FALSE,"PV Data"}</definedName>
    <definedName name="_y2" hidden="1">{"PVGraph2",#N/A,FALSE,"PV Data"}</definedName>
    <definedName name="a" localSheetId="10" hidden="1">{#N/A,#N/A,FALSE,"IS";#N/A,#N/A,FALSE,"BS";#N/A,#N/A,FALSE,"RMA";#N/A,#N/A,FALSE,"INCOME";#N/A,#N/A,FALSE,"DCF";#N/A,#N/A,FALSE,"MARKET"}</definedName>
    <definedName name="a" hidden="1">{#N/A,#N/A,FALSE,"IS";#N/A,#N/A,FALSE,"BS";#N/A,#N/A,FALSE,"RMA";#N/A,#N/A,FALSE,"INCOME";#N/A,#N/A,FALSE,"DCF";#N/A,#N/A,FALSE,"MARKET"}</definedName>
    <definedName name="ABC" localSheetId="4" hidden="1">#REF!</definedName>
    <definedName name="ABC" localSheetId="8" hidden="1">#REF!</definedName>
    <definedName name="ABC" localSheetId="9" hidden="1">#REF!</definedName>
    <definedName name="ABC" localSheetId="10" hidden="1">#REF!</definedName>
    <definedName name="ABC" localSheetId="3" hidden="1">#REF!</definedName>
    <definedName name="ABC" hidden="1">#REF!</definedName>
    <definedName name="ABS" localSheetId="4" hidden="1">#REF!</definedName>
    <definedName name="ABS" localSheetId="8" hidden="1">#REF!</definedName>
    <definedName name="ABS" localSheetId="9" hidden="1">#REF!</definedName>
    <definedName name="ABS" localSheetId="10" hidden="1">#REF!</definedName>
    <definedName name="ABS" localSheetId="3" hidden="1">#REF!</definedName>
    <definedName name="ABS" hidden="1">#REF!</definedName>
    <definedName name="AccessDatabase" hidden="1">"I:\DEPT8900\OEL\FY01\Reports\Budget Comparison\Comparitive Budget TEST.mdb"</definedName>
    <definedName name="adsf" localSheetId="4" hidden="1">#REF!</definedName>
    <definedName name="adsf" localSheetId="8" hidden="1">#REF!</definedName>
    <definedName name="adsf" localSheetId="9" hidden="1">#REF!</definedName>
    <definedName name="adsf" localSheetId="10" hidden="1">#REF!</definedName>
    <definedName name="adsf" localSheetId="3" hidden="1">#REF!</definedName>
    <definedName name="adsf" hidden="1">#REF!</definedName>
    <definedName name="Alignment" hidden="1">"a1"</definedName>
    <definedName name="anscount" hidden="1">6</definedName>
    <definedName name="as" localSheetId="10" hidden="1">{"ModelPage1",#N/A,TRUE,"Model";"ModelSum_Debt",#N/A,TRUE,"Model"}</definedName>
    <definedName name="as" hidden="1">{"ModelPage1",#N/A,TRUE,"Model";"ModelSum_Debt",#N/A,TRUE,"Model"}</definedName>
    <definedName name="AS2DocOpenMode" hidden="1">"AS2DocumentEdit"</definedName>
    <definedName name="AS2HasNoAutoHeaderFooter" hidden="1">" "</definedName>
    <definedName name="AS2NamedRange" hidden="1">6</definedName>
    <definedName name="AS2ReportLS" hidden="1">1</definedName>
    <definedName name="AS2SyncStepLS" hidden="1">0</definedName>
    <definedName name="AS2VersionLS" hidden="1">300</definedName>
    <definedName name="asd" localSheetId="10" hidden="1">{"DCF","UPSIDE CASE",FALSE,"Sheet1";"DCF","BASE CASE",FALSE,"Sheet1";"DCF","DOWNSIDE CASE",FALSE,"Sheet1"}</definedName>
    <definedName name="asdfasdfdddd" localSheetId="10" hidden="1">{"DCF","UPSIDE CASE",FALSE,"Sheet1";"DCF","BASE CASE",FALSE,"Sheet1";"DCF","DOWNSIDE CASE",FALSE,"Sheet1"}</definedName>
    <definedName name="asdfasdfdddd" hidden="1">{"DCF","UPSIDE CASE",FALSE,"Sheet1";"DCF","BASE CASE",FALSE,"Sheet1";"DCF","DOWNSIDE CASE",FALSE,"Sheet1"}</definedName>
    <definedName name="avegmultiple" localSheetId="4" hidden="1">#REF!</definedName>
    <definedName name="avegmultiple" localSheetId="8" hidden="1">#REF!</definedName>
    <definedName name="avegmultiple" localSheetId="9" hidden="1">#REF!</definedName>
    <definedName name="avegmultiple" localSheetId="10" hidden="1">#REF!</definedName>
    <definedName name="avegmultiple" localSheetId="3" hidden="1">#REF!</definedName>
    <definedName name="avegmultiple" hidden="1">#REF!</definedName>
    <definedName name="bei" localSheetId="10" hidden="1">{#N/A,#N/A,FALSE,"softdraw";#N/A,#N/A,FALSE,"linereclass";"northpint loan",#N/A,FALSE,"LOAN"}</definedName>
    <definedName name="bei" hidden="1">{#N/A,#N/A,FALSE,"softdraw";#N/A,#N/A,FALSE,"linereclass";"northpint loan",#N/A,FALSE,"LOAN"}</definedName>
    <definedName name="BG_Del" hidden="1">15</definedName>
    <definedName name="BG_Ins" hidden="1">4</definedName>
    <definedName name="BG_Mod" hidden="1">6</definedName>
    <definedName name="BLPH1" localSheetId="4" hidden="1">#REF!</definedName>
    <definedName name="BLPH1" localSheetId="8" hidden="1">#REF!</definedName>
    <definedName name="BLPH1" localSheetId="9" hidden="1">#REF!</definedName>
    <definedName name="BLPH1" localSheetId="10" hidden="1">#REF!</definedName>
    <definedName name="BLPH1" localSheetId="3" hidden="1">#REF!</definedName>
    <definedName name="BLPH1" hidden="1">#REF!</definedName>
    <definedName name="BLPH10" localSheetId="4" hidden="1">#REF!</definedName>
    <definedName name="BLPH10" localSheetId="8" hidden="1">#REF!</definedName>
    <definedName name="BLPH10" localSheetId="9" hidden="1">#REF!</definedName>
    <definedName name="BLPH10" localSheetId="10" hidden="1">#REF!</definedName>
    <definedName name="BLPH10" localSheetId="3" hidden="1">#REF!</definedName>
    <definedName name="BLPH10" hidden="1">#REF!</definedName>
    <definedName name="BLPH11" localSheetId="4" hidden="1">#REF!</definedName>
    <definedName name="BLPH11" localSheetId="8" hidden="1">#REF!</definedName>
    <definedName name="BLPH11" localSheetId="9" hidden="1">#REF!</definedName>
    <definedName name="BLPH11" localSheetId="10" hidden="1">#REF!</definedName>
    <definedName name="BLPH11" localSheetId="3" hidden="1">#REF!</definedName>
    <definedName name="BLPH11" hidden="1">#REF!</definedName>
    <definedName name="BLPH12" localSheetId="4" hidden="1">#REF!</definedName>
    <definedName name="BLPH12" localSheetId="8" hidden="1">#REF!</definedName>
    <definedName name="BLPH12" localSheetId="9" hidden="1">#REF!</definedName>
    <definedName name="BLPH12" localSheetId="10" hidden="1">#REF!</definedName>
    <definedName name="BLPH12" localSheetId="3" hidden="1">#REF!</definedName>
    <definedName name="BLPH12" hidden="1">#REF!</definedName>
    <definedName name="BLPH13" localSheetId="4" hidden="1">#REF!</definedName>
    <definedName name="BLPH13" localSheetId="8" hidden="1">#REF!</definedName>
    <definedName name="BLPH13" localSheetId="9" hidden="1">#REF!</definedName>
    <definedName name="BLPH13" localSheetId="10" hidden="1">#REF!</definedName>
    <definedName name="BLPH13" localSheetId="3" hidden="1">#REF!</definedName>
    <definedName name="BLPH13" hidden="1">#REF!</definedName>
    <definedName name="BLPH14" localSheetId="4" hidden="1">#REF!</definedName>
    <definedName name="BLPH14" localSheetId="8" hidden="1">#REF!</definedName>
    <definedName name="BLPH14" localSheetId="9" hidden="1">#REF!</definedName>
    <definedName name="BLPH14" localSheetId="10" hidden="1">#REF!</definedName>
    <definedName name="BLPH14" localSheetId="3" hidden="1">#REF!</definedName>
    <definedName name="BLPH14" hidden="1">#REF!</definedName>
    <definedName name="BLPH15" localSheetId="4" hidden="1">#REF!</definedName>
    <definedName name="BLPH15" localSheetId="8" hidden="1">#REF!</definedName>
    <definedName name="BLPH15" localSheetId="9" hidden="1">#REF!</definedName>
    <definedName name="BLPH15" localSheetId="10" hidden="1">#REF!</definedName>
    <definedName name="BLPH15" localSheetId="3" hidden="1">#REF!</definedName>
    <definedName name="BLPH15" hidden="1">#REF!</definedName>
    <definedName name="BLPH16" localSheetId="4" hidden="1">#REF!</definedName>
    <definedName name="BLPH16" localSheetId="8" hidden="1">#REF!</definedName>
    <definedName name="BLPH16" localSheetId="9" hidden="1">#REF!</definedName>
    <definedName name="BLPH16" localSheetId="10" hidden="1">#REF!</definedName>
    <definedName name="BLPH16" localSheetId="3" hidden="1">#REF!</definedName>
    <definedName name="BLPH16" hidden="1">#REF!</definedName>
    <definedName name="BLPH2" localSheetId="4" hidden="1">#REF!</definedName>
    <definedName name="BLPH2" localSheetId="8" hidden="1">#REF!</definedName>
    <definedName name="BLPH2" localSheetId="9" hidden="1">#REF!</definedName>
    <definedName name="BLPH2" localSheetId="10" hidden="1">#REF!</definedName>
    <definedName name="BLPH2" localSheetId="3" hidden="1">#REF!</definedName>
    <definedName name="BLPH2" hidden="1">#REF!</definedName>
    <definedName name="BLPH3" localSheetId="4" hidden="1">#REF!</definedName>
    <definedName name="BLPH3" localSheetId="8" hidden="1">#REF!</definedName>
    <definedName name="BLPH3" localSheetId="9" hidden="1">#REF!</definedName>
    <definedName name="BLPH3" localSheetId="10" hidden="1">#REF!</definedName>
    <definedName name="BLPH3" localSheetId="3" hidden="1">#REF!</definedName>
    <definedName name="BLPH3" hidden="1">#REF!</definedName>
    <definedName name="BLPH4" localSheetId="4" hidden="1">#REF!</definedName>
    <definedName name="BLPH4" localSheetId="8" hidden="1">#REF!</definedName>
    <definedName name="BLPH4" localSheetId="9" hidden="1">#REF!</definedName>
    <definedName name="BLPH4" localSheetId="10" hidden="1">#REF!</definedName>
    <definedName name="BLPH4" localSheetId="3" hidden="1">#REF!</definedName>
    <definedName name="BLPH4" hidden="1">#REF!</definedName>
    <definedName name="BLPH5" localSheetId="4" hidden="1">#REF!</definedName>
    <definedName name="BLPH5" localSheetId="8" hidden="1">#REF!</definedName>
    <definedName name="BLPH5" localSheetId="9" hidden="1">#REF!</definedName>
    <definedName name="BLPH5" localSheetId="10" hidden="1">#REF!</definedName>
    <definedName name="BLPH5" localSheetId="3" hidden="1">#REF!</definedName>
    <definedName name="BLPH5" hidden="1">#REF!</definedName>
    <definedName name="BLPH6" localSheetId="4" hidden="1">#REF!</definedName>
    <definedName name="BLPH6" localSheetId="8" hidden="1">#REF!</definedName>
    <definedName name="BLPH6" localSheetId="9" hidden="1">#REF!</definedName>
    <definedName name="BLPH6" localSheetId="10" hidden="1">#REF!</definedName>
    <definedName name="BLPH6" localSheetId="3" hidden="1">#REF!</definedName>
    <definedName name="BLPH6" hidden="1">#REF!</definedName>
    <definedName name="BLPH7" localSheetId="4" hidden="1">#REF!</definedName>
    <definedName name="BLPH7" localSheetId="8" hidden="1">#REF!</definedName>
    <definedName name="BLPH7" localSheetId="9" hidden="1">#REF!</definedName>
    <definedName name="BLPH7" localSheetId="10" hidden="1">#REF!</definedName>
    <definedName name="BLPH7" localSheetId="3" hidden="1">#REF!</definedName>
    <definedName name="BLPH7" hidden="1">#REF!</definedName>
    <definedName name="BLPH8" localSheetId="4" hidden="1">#REF!</definedName>
    <definedName name="BLPH8" localSheetId="8" hidden="1">#REF!</definedName>
    <definedName name="BLPH8" localSheetId="9" hidden="1">#REF!</definedName>
    <definedName name="BLPH8" localSheetId="10" hidden="1">#REF!</definedName>
    <definedName name="BLPH8" localSheetId="3" hidden="1">#REF!</definedName>
    <definedName name="BLPH8" hidden="1">#REF!</definedName>
    <definedName name="BLPH9" localSheetId="4" hidden="1">#REF!</definedName>
    <definedName name="BLPH9" localSheetId="8" hidden="1">#REF!</definedName>
    <definedName name="BLPH9" localSheetId="9" hidden="1">#REF!</definedName>
    <definedName name="BLPH9" localSheetId="10" hidden="1">#REF!</definedName>
    <definedName name="BLPH9" localSheetId="3" hidden="1">#REF!</definedName>
    <definedName name="BLPH9" hidden="1">#REF!</definedName>
    <definedName name="BNE_MESSAGES_HIDDEN" localSheetId="4" hidden="1">#REF!</definedName>
    <definedName name="BNE_MESSAGES_HIDDEN" localSheetId="8" hidden="1">#REF!</definedName>
    <definedName name="BNE_MESSAGES_HIDDEN" localSheetId="9" hidden="1">#REF!</definedName>
    <definedName name="BNE_MESSAGES_HIDDEN" localSheetId="10" hidden="1">#REF!</definedName>
    <definedName name="BNE_MESSAGES_HIDDEN" localSheetId="3" hidden="1">#REF!</definedName>
    <definedName name="BNE_MESSAGES_HIDDEN" hidden="1">#REF!</definedName>
    <definedName name="Bridge_mo" localSheetId="10" hidden="1">{#N/A,#N/A,FALSE,"Model";#N/A,#N/A,FALSE,"Gen Pts &amp; Rts 2000";#N/A,#N/A,FALSE,"AcqsAss";#N/A,#N/A,FALSE,"Acqs &amp; De Novos"}</definedName>
    <definedName name="Bridge_mo" hidden="1">{#N/A,#N/A,FALSE,"Model";#N/A,#N/A,FALSE,"Gen Pts &amp; Rts 2000";#N/A,#N/A,FALSE,"AcqsAss";#N/A,#N/A,FALSE,"Acqs &amp; De Novos"}</definedName>
    <definedName name="bridge_month" localSheetId="10" hidden="1">{#N/A,#N/A,FALSE,"Model";#N/A,#N/A,FALSE,"Gen Pts &amp; Rts 2000";#N/A,#N/A,FALSE,"AcqsAss";#N/A,#N/A,FALSE,"Acqs &amp; De Novos"}</definedName>
    <definedName name="bridge_month" hidden="1">{#N/A,#N/A,FALSE,"Model";#N/A,#N/A,FALSE,"Gen Pts &amp; Rts 2000";#N/A,#N/A,FALSE,"AcqsAss";#N/A,#N/A,FALSE,"Acqs &amp; De Novos"}</definedName>
    <definedName name="bridge_qtr" localSheetId="10" hidden="1">{#N/A,#N/A,FALSE,"Model";#N/A,#N/A,FALSE,"Gen Pts &amp; Rts 2000";#N/A,#N/A,FALSE,"AcqsAss";#N/A,#N/A,FALSE,"Acqs &amp; De Novos"}</definedName>
    <definedName name="bridge_qtr" hidden="1">{#N/A,#N/A,FALSE,"Model";#N/A,#N/A,FALSE,"Gen Pts &amp; Rts 2000";#N/A,#N/A,FALSE,"AcqsAss";#N/A,#N/A,FALSE,"Acqs &amp; De Novos"}</definedName>
    <definedName name="bridger_qtr" localSheetId="10" hidden="1">{#N/A,#N/A,FALSE,"Model";#N/A,#N/A,FALSE,"Gen Pts &amp; Rts 2000";#N/A,#N/A,FALSE,"AcqsAss";#N/A,#N/A,FALSE,"Acqs &amp; De Novos"}</definedName>
    <definedName name="bridger_qtr" hidden="1">{#N/A,#N/A,FALSE,"Model";#N/A,#N/A,FALSE,"Gen Pts &amp; Rts 2000";#N/A,#N/A,FALSE,"AcqsAss";#N/A,#N/A,FALSE,"Acqs &amp; De Novos"}</definedName>
    <definedName name="build" localSheetId="10" hidden="1">{#N/A,#N/A,FALSE,"softdraw";#N/A,#N/A,FALSE,"linereclass";"northpint loan",#N/A,FALSE,"LOAN"}</definedName>
    <definedName name="build" hidden="1">{#N/A,#N/A,FALSE,"softdraw";#N/A,#N/A,FALSE,"linereclass";"northpint loan",#N/A,FALSE,"LOAN"}</definedName>
    <definedName name="CBWorkbookPriority" hidden="1">-1959504492</definedName>
    <definedName name="CIQWBGuid" localSheetId="4" hidden="1">"4c317e69-d429-41e3-b46a-b4c398e620fd"</definedName>
    <definedName name="CIQWBGuid" localSheetId="7" hidden="1">"4c317e69-d429-41e3-b46a-b4c398e620fd"</definedName>
    <definedName name="CIQWBGuid" localSheetId="8" hidden="1">"4c317e69-d429-41e3-b46a-b4c398e620fd"</definedName>
    <definedName name="CIQWBGuid" localSheetId="9" hidden="1">"4c317e69-d429-41e3-b46a-b4c398e620fd"</definedName>
    <definedName name="CIQWBGuid" localSheetId="10" hidden="1">"4c317e69-d429-41e3-b46a-b4c398e620fd"</definedName>
    <definedName name="CIQWBGuid" localSheetId="3" hidden="1">"4c317e69-d429-41e3-b46a-b4c398e620fd"</definedName>
    <definedName name="CIQWBGuid" localSheetId="6" hidden="1">"4c317e69-d429-41e3-b46a-b4c398e620fd"</definedName>
    <definedName name="CIQWBGuid" localSheetId="5" hidden="1">"4c317e69-d429-41e3-b46a-b4c398e620fd"</definedName>
    <definedName name="CIQWBGuid" localSheetId="11" hidden="1">"4c317e69-d429-41e3-b46a-b4c398e620fd"</definedName>
    <definedName name="CIQWBGuid" hidden="1">"11f7eb92-933d-479e-9d77-16f4a3395159"</definedName>
    <definedName name="CIQWBGuid2" hidden="1">"f85ff77f-824d-4f3f-a631-cc3a67ab4a20"</definedName>
    <definedName name="ClientMatter" hidden="1">"b1"</definedName>
    <definedName name="COBRA" localSheetId="10" hidden="1">{#N/A,#N/A,FALSE,"softdraw";#N/A,#N/A,FALSE,"linereclass";"northpint loan",#N/A,FALSE,"LOAN"}</definedName>
    <definedName name="COBRA" hidden="1">{#N/A,#N/A,FALSE,"softdraw";#N/A,#N/A,FALSE,"linereclass";"northpint loan",#N/A,FALSE,"LOAN"}</definedName>
    <definedName name="COBRA1" localSheetId="10" hidden="1">{#N/A,#N/A,FALSE,"softdraw";#N/A,#N/A,FALSE,"linereclass";"northpint loan",#N/A,FALSE,"LOAN"}</definedName>
    <definedName name="COBRA1" hidden="1">{#N/A,#N/A,FALSE,"softdraw";#N/A,#N/A,FALSE,"linereclass";"northpint loan",#N/A,FALSE,"LOAN"}</definedName>
    <definedName name="Company_Name" hidden="1">[8]Settings!$C$56</definedName>
    <definedName name="compnam" localSheetId="4" hidden="1">[9]KeyMultInputs!#REF!</definedName>
    <definedName name="compnam" localSheetId="8" hidden="1">[9]KeyMultInputs!#REF!</definedName>
    <definedName name="compnam" localSheetId="9" hidden="1">[9]KeyMultInputs!#REF!</definedName>
    <definedName name="compnam" localSheetId="10" hidden="1">[9]KeyMultInputs!#REF!</definedName>
    <definedName name="compnam" localSheetId="3" hidden="1">[9]KeyMultInputs!#REF!</definedName>
    <definedName name="compnam" hidden="1">[9]KeyMultInputs!#REF!</definedName>
    <definedName name="copy" localSheetId="10" hidden="1">{#N/A,#N/A,FALSE,"Title Page";#N/A,#N/A,FALSE,"Conclusions";#N/A,#N/A,FALSE,"Assum.";#N/A,#N/A,FALSE,"Sun  DCF-WC-Dep";#N/A,#N/A,FALSE,"MarketValue";#N/A,#N/A,FALSE,"BalSheet";#N/A,#N/A,FALSE,"WACC";#N/A,#N/A,FALSE,"PC+ Info.";#N/A,#N/A,FALSE,"PC+Info_2"}</definedName>
    <definedName name="copy" hidden="1">{#N/A,#N/A,FALSE,"Title Page";#N/A,#N/A,FALSE,"Conclusions";#N/A,#N/A,FALSE,"Assum.";#N/A,#N/A,FALSE,"Sun  DCF-WC-Dep";#N/A,#N/A,FALSE,"MarketValue";#N/A,#N/A,FALSE,"BalSheet";#N/A,#N/A,FALSE,"WACC";#N/A,#N/A,FALSE,"PC+ Info.";#N/A,#N/A,FALSE,"PC+Info_2"}</definedName>
    <definedName name="CVM_m" localSheetId="10" hidden="1">{"PVGraph2",#N/A,FALSE,"PV Data"}</definedName>
    <definedName name="CVM_m" hidden="1">{"PVGraph2",#N/A,FALSE,"PV Data"}</definedName>
    <definedName name="DA_2164615669000001165" localSheetId="4" hidden="1">'[10]2 Monthly Expense Actuals'!#REF!</definedName>
    <definedName name="DA_2164615669000001165" localSheetId="8" hidden="1">'[10]2 Monthly Expense Actuals'!#REF!</definedName>
    <definedName name="DA_2164615669000001165" localSheetId="9" hidden="1">'[10]2 Monthly Expense Actuals'!#REF!</definedName>
    <definedName name="DA_2164615669000001165" localSheetId="10" hidden="1">'[10]2 Monthly Expense Actuals'!#REF!</definedName>
    <definedName name="DA_2164615669000001165" localSheetId="3" hidden="1">'[10]2 Monthly Expense Actuals'!#REF!</definedName>
    <definedName name="DA_2164615669000001165" hidden="1">'[10]2 Monthly Expense Actuals'!#REF!</definedName>
    <definedName name="Data.Dump" localSheetId="4" hidden="1">OFFSET([11]!Data.Top.Left,1,0)</definedName>
    <definedName name="Data.Dump" localSheetId="8" hidden="1">OFFSET([11]!Data.Top.Left,1,0)</definedName>
    <definedName name="Data.Dump" localSheetId="9" hidden="1">OFFSET([11]!Data.Top.Left,1,0)</definedName>
    <definedName name="Data.Dump" localSheetId="10" hidden="1">OFFSET([0]!Data.Top.Left,1,0)</definedName>
    <definedName name="Data.Dump" localSheetId="3" hidden="1">OFFSET([11]!Data.Top.Left,1,0)</definedName>
    <definedName name="Data.Dump" hidden="1">OFFSET([11]!Data.Top.Left,1,0)</definedName>
    <definedName name="dd" localSheetId="10" hidden="1">{#N/A,#N/A,FALSE,"Bakersfield PCs";#N/A,#N/A,FALSE,"Bremer PCs";#N/A,#N/A,FALSE,"Bakersfield Notebooks"}</definedName>
    <definedName name="dd" hidden="1">{#N/A,#N/A,FALSE,"Bakersfield PCs";#N/A,#N/A,FALSE,"Bremer PCs";#N/A,#N/A,FALSE,"Bakersfield Notebooks"}</definedName>
    <definedName name="dddddddddddddddd" localSheetId="4" hidden="1">Main.SAPF4Help()</definedName>
    <definedName name="dddddddddddddddd" localSheetId="8" hidden="1">Main.SAPF4Help()</definedName>
    <definedName name="dddddddddddddddd" localSheetId="9" hidden="1">Main.SAPF4Help()</definedName>
    <definedName name="dddddddddddddddd" localSheetId="10" hidden="1">Main.SAPF4Help()</definedName>
    <definedName name="dddddddddddddddd" localSheetId="3" hidden="1">Main.SAPF4Help()</definedName>
    <definedName name="dddddddddddddddd" hidden="1">Main.SAPF4Help()</definedName>
    <definedName name="del" localSheetId="10" hidden="1">{#N/A,#N/A,FALSE,"Cov";#N/A,#N/A,FALSE,"sum";#N/A,#N/A,FALSE,"baladj";#N/A,#N/A,FALSE,"bs";#N/A,#N/A,FALSE,"is";#N/A,#N/A,FALSE,"pis";#N/A,#N/A,FALSE,"pis";#N/A,#N/A,FALSE,"cf";#N/A,#N/A,FALSE,"balhist";#N/A,#N/A,FALSE,"wc";#N/A,#N/A,FALSE,"ltd";#N/A,#N/A,FALSE,"cover";#N/A,#N/A,FALSE,"fa";#N/A,#N/A,FALSE,"tax";#N/A,#N/A,FALSE,"irr";#N/A,#N/A,FALSE,"in";#N/A,#N/A,FALSE,"DCF Cov";#N/A,#N/A,FALSE,"dcf"}</definedName>
    <definedName name="del" hidden="1">{#N/A,#N/A,FALSE,"Cov";#N/A,#N/A,FALSE,"sum";#N/A,#N/A,FALSE,"baladj";#N/A,#N/A,FALSE,"bs";#N/A,#N/A,FALSE,"is";#N/A,#N/A,FALSE,"pis";#N/A,#N/A,FALSE,"pis";#N/A,#N/A,FALSE,"cf";#N/A,#N/A,FALSE,"balhist";#N/A,#N/A,FALSE,"wc";#N/A,#N/A,FALSE,"ltd";#N/A,#N/A,FALSE,"cover";#N/A,#N/A,FALSE,"fa";#N/A,#N/A,FALSE,"tax";#N/A,#N/A,FALSE,"irr";#N/A,#N/A,FALSE,"in";#N/A,#N/A,FALSE,"DCF Cov";#N/A,#N/A,FALSE,"dcf"}</definedName>
    <definedName name="dele" localSheetId="10" hidden="1">{#N/A,#N/A,FALSE,"Cov";#N/A,#N/A,FALSE,"sum";#N/A,#N/A,FALSE,"baladj";#N/A,#N/A,FALSE,"bs";#N/A,#N/A,FALSE,"is";#N/A,#N/A,FALSE,"pis";#N/A,#N/A,FALSE,"cf";#N/A,#N/A,FALSE,"balhist";#N/A,#N/A,FALSE,"wc";#N/A,#N/A,FALSE,"ltd";#N/A,#N/A,FALSE,"cover";#N/A,#N/A,FALSE,"fa";#N/A,#N/A,FALSE,"tax";#N/A,#N/A,FALSE,"irr";#N/A,#N/A,FALSE,"in"}</definedName>
    <definedName name="dele" hidden="1">{#N/A,#N/A,FALSE,"Cov";#N/A,#N/A,FALSE,"sum";#N/A,#N/A,FALSE,"baladj";#N/A,#N/A,FALSE,"bs";#N/A,#N/A,FALSE,"is";#N/A,#N/A,FALSE,"pis";#N/A,#N/A,FALSE,"cf";#N/A,#N/A,FALSE,"balhist";#N/A,#N/A,FALSE,"wc";#N/A,#N/A,FALSE,"ltd";#N/A,#N/A,FALSE,"cover";#N/A,#N/A,FALSE,"fa";#N/A,#N/A,FALSE,"tax";#N/A,#N/A,FALSE,"irr";#N/A,#N/A,FALSE,"in"}</definedName>
    <definedName name="delete" localSheetId="10" hidden="1">{#N/A,#N/A,FALSE,"DCF Cov";#N/A,#N/A,FALSE,"dcf"}</definedName>
    <definedName name="delete" hidden="1">{#N/A,#N/A,FALSE,"DCF Cov";#N/A,#N/A,FALSE,"dcf"}</definedName>
    <definedName name="DocumentName" hidden="1">"b1"</definedName>
    <definedName name="DocumentNum" hidden="1">"a1"</definedName>
    <definedName name="dse" localSheetId="10" hidden="1">{#N/A,#N/A,FALSE,"Model";#N/A,#N/A,FALSE,"Gen Pts &amp; Rts 2000";#N/A,#N/A,FALSE,"AcqsAss";#N/A,#N/A,FALSE,"Acqs &amp; De Novos"}</definedName>
    <definedName name="dse" hidden="1">{#N/A,#N/A,FALSE,"Model";#N/A,#N/A,FALSE,"Gen Pts &amp; Rts 2000";#N/A,#N/A,FALSE,"AcqsAss";#N/A,#N/A,FALSE,"Acqs &amp; De Novos"}</definedName>
    <definedName name="ef." localSheetId="10" hidden="1">{#N/A,"A",FALSE,"DCF"}</definedName>
    <definedName name="ef." hidden="1">{#N/A,"A",FALSE,"DCF"}</definedName>
    <definedName name="Error_Amount" hidden="1">"'Error_Checks'!B10"</definedName>
    <definedName name="Error_Check" hidden="1">"ABS(Error_Amount)&gt;Error_Threshold"</definedName>
    <definedName name="Error_Threshold" hidden="1">0.05</definedName>
    <definedName name="ev.Calculation" hidden="1">-4105</definedName>
    <definedName name="ev.Initialized" hidden="1">FALSE</definedName>
    <definedName name="ExactAddinReports" hidden="1">1</definedName>
    <definedName name="ExbMult_Total" localSheetId="4" hidden="1">#REF!</definedName>
    <definedName name="ExbMult_Total" localSheetId="8" hidden="1">#REF!</definedName>
    <definedName name="ExbMult_Total" localSheetId="9" hidden="1">#REF!</definedName>
    <definedName name="ExbMult_Total" localSheetId="10" hidden="1">#REF!</definedName>
    <definedName name="ExbMult_Total" localSheetId="3" hidden="1">#REF!</definedName>
    <definedName name="ExbMult_Total" hidden="1">#REF!</definedName>
    <definedName name="finres" localSheetId="4" hidden="1">#REF!</definedName>
    <definedName name="finres" localSheetId="8" hidden="1">#REF!</definedName>
    <definedName name="finres" localSheetId="9" hidden="1">#REF!</definedName>
    <definedName name="finres" localSheetId="10" hidden="1">#REF!</definedName>
    <definedName name="finres" localSheetId="3" hidden="1">#REF!</definedName>
    <definedName name="finres" hidden="1">#REF!</definedName>
    <definedName name="fw" localSheetId="10" hidden="1">{#N/A,#N/A,FALSE,"Model";#N/A,#N/A,FALSE,"Gen Pts &amp; Rts 2000";#N/A,#N/A,FALSE,"AcqsAss";#N/A,#N/A,FALSE,"Acqs &amp; De Novos"}</definedName>
    <definedName name="fw" hidden="1">{#N/A,#N/A,FALSE,"Model";#N/A,#N/A,FALSE,"Gen Pts &amp; Rts 2000";#N/A,#N/A,FALSE,"AcqsAss";#N/A,#N/A,FALSE,"Acqs &amp; De Novos"}</definedName>
    <definedName name="gin" localSheetId="4" hidden="1">#REF!</definedName>
    <definedName name="gin" localSheetId="8" hidden="1">#REF!</definedName>
    <definedName name="gin" localSheetId="9" hidden="1">#REF!</definedName>
    <definedName name="gin" localSheetId="10" hidden="1">#REF!</definedName>
    <definedName name="gin" localSheetId="3" hidden="1">#REF!</definedName>
    <definedName name="gin" hidden="1">#REF!</definedName>
    <definedName name="hh" localSheetId="10" hidden="1">{#N/A,#N/A,FALSE,"Bakersfield PCs";#N/A,#N/A,FALSE,"Bremer PCs";#N/A,#N/A,FALSE,"Bakersfield Notebooks"}</definedName>
    <definedName name="hh" hidden="1">{#N/A,#N/A,FALSE,"Bakersfield PCs";#N/A,#N/A,FALSE,"Bremer PCs";#N/A,#N/A,FALSE,"Bakersfield Notebooks"}</definedName>
    <definedName name="hhhh" localSheetId="10" hidden="1">{#N/A,#N/A,FALSE,"Bakersfield PCs";#N/A,#N/A,FALSE,"Bremer PCs";#N/A,#N/A,FALSE,"Bakersfield Notebooks"}</definedName>
    <definedName name="hhhh" hidden="1">{#N/A,#N/A,FALSE,"Bakersfield PCs";#N/A,#N/A,FALSE,"Bremer PCs";#N/A,#N/A,FALSE,"Bakersfield Notebooks"}</definedName>
    <definedName name="hhhhh" localSheetId="10" hidden="1">{#N/A,#N/A,FALSE,"Bakersfield PCs";#N/A,#N/A,FALSE,"Bremer PCs";#N/A,#N/A,FALSE,"Bakersfield Notebooks"}</definedName>
    <definedName name="hhhhh" hidden="1">{#N/A,#N/A,FALSE,"Bakersfield PCs";#N/A,#N/A,FALSE,"Bremer PCs";#N/A,#N/A,FALSE,"Bakersfield Notebooks"}</definedName>
    <definedName name="hhhw" localSheetId="10" hidden="1">{#N/A,#N/A,FALSE,"Bakersfield PCs";#N/A,#N/A,FALSE,"Bremer PCs";#N/A,#N/A,FALSE,"Bakersfield Notebooks"}</definedName>
    <definedName name="hhhw" hidden="1">{#N/A,#N/A,FALSE,"Bakersfield PCs";#N/A,#N/A,FALSE,"Bremer PCs";#N/A,#N/A,FALSE,"Bakersfield Notebooks"}</definedName>
    <definedName name="hn.ExtDb" hidden="1">FALSE</definedName>
    <definedName name="hn.ModelType" hidden="1">"DEAL"</definedName>
    <definedName name="hn.ModelVersion" hidden="1">1</definedName>
    <definedName name="hn.NoUpload" hidden="1">0</definedName>
    <definedName name="HTML_CodePage" hidden="1">1252</definedName>
    <definedName name="HTML_Control" localSheetId="10"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PathFileMac" hidden="1">"Macintosh HD:HomePageStuff:New_Home_Page:datafile:ctryprem.html"</definedName>
    <definedName name="HTML_Title" hidden="1">"leverage"</definedName>
    <definedName name="HTML1_1" localSheetId="10" hidden="1">"[BC死亡者数.xls]BCpts!$A$2:$I$51"</definedName>
    <definedName name="HTML1_1" hidden="1">"[FCFF3]Sheet1!$A$1:$L$34"</definedName>
    <definedName name="HTML1_10" hidden="1">""</definedName>
    <definedName name="HTML1_11" hidden="1">1</definedName>
    <definedName name="HTML1_12" localSheetId="10" hidden="1">"O:\CTAT\Z-mate\厚生省\BC-death.htm"</definedName>
    <definedName name="HTML1_12" hidden="1">"Aswath:Adobe SiteMill™ 1.0.2:MyHomePage:FCFF3.html"</definedName>
    <definedName name="HTML1_2" hidden="1">1</definedName>
    <definedName name="HTML1_3" localSheetId="10" hidden="1">"BC死亡者数.xls"</definedName>
    <definedName name="HTML1_3" hidden="1">"FCFF3"</definedName>
    <definedName name="HTML1_4" localSheetId="10" hidden="1">"BCpts"</definedName>
    <definedName name="HTML1_4" hidden="1">"Three-Stage FCFF Model"</definedName>
    <definedName name="HTML1_5" hidden="1">""</definedName>
    <definedName name="HTML1_6" hidden="1">-4146</definedName>
    <definedName name="HTML1_7" hidden="1">-4146</definedName>
    <definedName name="HTML1_8" localSheetId="10" hidden="1">"98/06/04"</definedName>
    <definedName name="HTML1_8" hidden="1">"10/22/96"</definedName>
    <definedName name="HTML1_9" localSheetId="10" hidden="1">"j631091"</definedName>
    <definedName name="HTML1_9" hidden="1">"Aswath Damodaran"</definedName>
    <definedName name="HTMLCount" hidden="1">1</definedName>
    <definedName name="iiii" localSheetId="10" hidden="1">{#N/A,#N/A,FALSE,"Bakersfield PCs";#N/A,#N/A,FALSE,"Bremer PCs";#N/A,#N/A,FALSE,"Bakersfield Notebooks"}</definedName>
    <definedName name="iiii" hidden="1">{#N/A,#N/A,FALSE,"Bakersfield PCs";#N/A,#N/A,FALSE,"Bremer PCs";#N/A,#N/A,FALSE,"Bakersfield Notebooks"}</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"c7"</definedName>
    <definedName name="IQ_ACCUMULATED_PENSION_OBLIGATION" hidden="1">"c2108"</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"c39"</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"c1471"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FAX" hidden="1">"c2100"</definedName>
    <definedName name="IQ_BOARD_MEMBER_OFFICE" hidden="1">"c2098"</definedName>
    <definedName name="IQ_BOARD_MEMBER_PHONE" hidden="1">"c2099"</definedName>
    <definedName name="IQ_BOARD_MEMBER_TITLE" hidden="1">"c97"</definedName>
    <definedName name="IQ_BONDRATING_FITCH" hidden="1">"c223"</definedName>
    <definedName name="IQ_BONDRATING_FITCH_DATE" hidden="1">"c241"</definedName>
    <definedName name="IQ_BONDRATING_SP" hidden="1">"c224"</definedName>
    <definedName name="IQ_BONDRATING_SP_DATE" hidden="1">"c242"</definedName>
    <definedName name="IQ_BOOK_VALUE" hidden="1">"IQ_BOOK_VALUE"</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OVER_SHARES" hidden="1">"c100"</definedName>
    <definedName name="IQ_BV_SHARE" hidden="1">"c100"</definedName>
    <definedName name="IQ_BV_STDDEV_EST_REUT" hidden="1">"c5408"</definedName>
    <definedName name="IQ_BV_STDDEV_EST_THOM" hidden="1">"c5152"</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_REUT" hidden="1">"c6800"</definedName>
    <definedName name="IQ_CAL_Y" hidden="1">"c102"</definedName>
    <definedName name="IQ_CAL_Y_EST_REUT" hidden="1">"c6801"</definedName>
    <definedName name="IQ_CALC_TYPE_BS" hidden="1">"c3086"</definedName>
    <definedName name="IQ_CALC_TYPE_CF" hidden="1">"c3085"</definedName>
    <definedName name="IQ_CALC_TYPE_IS" hidden="1">"c3084"</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CONVERSION" hidden="1">"c117"</definedName>
    <definedName name="IQ_CASH_DIVIDENDS_NET_INCOME_FDIC" hidden="1">"c6738"</definedName>
    <definedName name="IQ_CASH_DUE_BANKS" hidden="1">"c118"</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"c124"</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DET_EST_REUT_CURRENCY_CURRENCY_REUT" hidden="1">"c12526"</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RATE" hidden="1">"c2192"</definedName>
    <definedName name="IQ_CONVERT" hidden="1">"c2536"</definedName>
    <definedName name="IQ_CONVERT_DEBT" hidden="1">"c224"</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"c315"</definedName>
    <definedName name="IQ_DEFERRED_TAXES" hidden="1">"c147"</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S_FDIC" hidden="1">"c6523"</definedName>
    <definedName name="IQ_DESCRIPTION_LONG" hidden="1">"c322"</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"c2106"</definedName>
    <definedName name="IQ_DIV_RECORD_DATE" hidden="1">"c2105"</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 hidden="1">"c2801"</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ST" hidden="1">"c1681"</definedName>
    <definedName name="IQ_EBIT_EXCL_SBC" hidden="1">"c3082"</definedName>
    <definedName name="IQ_EBIT_GROWTH_1" hidden="1">"c157"</definedName>
    <definedName name="IQ_EBIT_GROWTH_2" hidden="1">"c161"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"c360"</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ROWTH_1" hidden="1">"c156"</definedName>
    <definedName name="IQ_EBITDA_GROWTH_2" hidden="1">"c160"</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O_EST" hidden="1">"c267"</definedName>
    <definedName name="IQ_EBITDA_NUM_EST" hidden="1">"c374"</definedName>
    <definedName name="IQ_EBITDA_NUM_EST_REUT" hidden="1">"c3644"</definedName>
    <definedName name="IQ_EBITDA_OVER_TOTAL_IE" hidden="1">"c373"</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"c84"</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EST_REUT" hidden="1">"c5453"</definedName>
    <definedName name="IQ_EPS_GW_DET_EST_REUT_CURRENCY_CURRENCY_REUT" hidden="1">"c12533"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_EST" hidden="1">"c271"</definedName>
    <definedName name="IQ_EPS_NORM" hidden="1">"c1902"</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 hidden="1">"c402"</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TDDEV_EST" hidden="1">"c403"</definedName>
    <definedName name="IQ_EPS_STDDEV_EST_REUT" hidden="1">"c5452"</definedName>
    <definedName name="IQ_EQUITY_AFFIL" hidden="1">"c552"</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"c739"</definedName>
    <definedName name="IQ_ESOP_DEBT" hidden="1">"c1597"</definedName>
    <definedName name="IQ_EST_ACT_BV_REUT" hidden="1">"c5409"</definedName>
    <definedName name="IQ_EST_ACT_BV_THOM" hidden="1">"c5153"</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GW_REUT" hidden="1">"c5395"</definedName>
    <definedName name="IQ_EST_ACT_EPS_NORM_REUT" hidden="1">"c5332"</definedName>
    <definedName name="IQ_EST_ACT_EPS_PRIMARY" hidden="1">"c2232"</definedName>
    <definedName name="IQ_EST_ACT_EPS_REPORTED" hidden="1">"c1750"</definedName>
    <definedName name="IQ_EST_ACT_EPS_REPORTED_REUT" hidden="1">"c5402"</definedName>
    <definedName name="IQ_EST_ACT_FFO" hidden="1">"c1666"</definedName>
    <definedName name="IQ_EST_ACT_FFO_REUT" hidden="1">"c3843"</definedName>
    <definedName name="IQ_EST_ACT_FFO_THOM" hidden="1">"c4005"</definedName>
    <definedName name="IQ_EST_ACT_NAV" hidden="1">"c1757"</definedName>
    <definedName name="IQ_EST_ACT_NI" hidden="1">"c1722"</definedName>
    <definedName name="IQ_EST_ACT_NI_GW" hidden="1">"c1729"</definedName>
    <definedName name="IQ_EST_ACT_NI_GW_THOM" hidden="1">"c5139"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BV_DIFF_CIQ" hidden="1">"c4765"</definedName>
    <definedName name="IQ_EST_BV_DIFF_REUT" hidden="1">"c5433"</definedName>
    <definedName name="IQ_EST_BV_DIFF_THOM" hidden="1">"c5204"</definedName>
    <definedName name="IQ_EST_BV_SURPRISE_PERCENT_CIQ" hidden="1">"c4766"</definedName>
    <definedName name="IQ_EST_BV_SURPRISE_PERCENT_REUT" hidden="1">"c5434"</definedName>
    <definedName name="IQ_EST_BV_SURPRISE_PERCENT_THOM" hidden="1">"c5205"</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_REUT" hidden="1">"c5411"</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DIFF_REUT" hidden="1">"c3890"</definedName>
    <definedName name="IQ_EST_FFO_DIFF_THOM" hidden="1">"c5186"</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FFO_SURPRISE_PERCENT_REUT" hidden="1">"c3891"</definedName>
    <definedName name="IQ_EST_FFO_SURPRISE_PERCENT_THOM" hidden="1">"c5187"</definedName>
    <definedName name="IQ_EST_NAV_DIFF" hidden="1">"c1895"</definedName>
    <definedName name="IQ_EST_NAV_SURPRISE_PERCENT" hidden="1">"c1896"</definedName>
    <definedName name="IQ_EST_NI_DIFF" hidden="1">"c1885"</definedName>
    <definedName name="IQ_EST_NI_GW_DIFF" hidden="1">"c1887"</definedName>
    <definedName name="IQ_EST_NI_GW_DIFF_THOM" hidden="1">"c5200"</definedName>
    <definedName name="IQ_EST_NI_GW_SURPRISE_PERCENT" hidden="1">"c1888"</definedName>
    <definedName name="IQ_EST_NI_GW_SURPRISE_PERCENT_THOM" hidden="1">"c5201"</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BUY_CIQ" hidden="1">"c3700"</definedName>
    <definedName name="IQ_EST_NUM_BUY_REUT" hidden="1">"c3869"</definedName>
    <definedName name="IQ_EST_NUM_BUY_THOM" hidden="1">"c5165"</definedName>
    <definedName name="IQ_EST_NUM_HOLD" hidden="1">"c1761"</definedName>
    <definedName name="IQ_EST_NUM_HOLD_CIQ" hidden="1">"c3702"</definedName>
    <definedName name="IQ_EST_NUM_HOLD_REUT" hidden="1">"c3871"</definedName>
    <definedName name="IQ_EST_NUM_HOLD_THOM" hidden="1">"c5167"</definedName>
    <definedName name="IQ_EST_NUM_NO_OPINION" hidden="1">"c1758"</definedName>
    <definedName name="IQ_EST_NUM_OUTPERFORM" hidden="1">"c1760"</definedName>
    <definedName name="IQ_EST_NUM_OUTPERFORM_CIQ" hidden="1">"c3701"</definedName>
    <definedName name="IQ_EST_NUM_OUTPERFORM_REUT" hidden="1">"c3870"</definedName>
    <definedName name="IQ_EST_NUM_OUTPERFORM_THOM" hidden="1">"c5166"</definedName>
    <definedName name="IQ_EST_NUM_SELL" hidden="1">"c1763"</definedName>
    <definedName name="IQ_EST_NUM_SELL_CIQ" hidden="1">"c3704"</definedName>
    <definedName name="IQ_EST_NUM_SELL_REUT" hidden="1">"c3873"</definedName>
    <definedName name="IQ_EST_NUM_SELL_THOM" hidden="1">"c5169"</definedName>
    <definedName name="IQ_EST_NUM_UNDERPERFORM" hidden="1">"c1762"</definedName>
    <definedName name="IQ_EST_NUM_UNDERPERFORM_CIQ" hidden="1">"c3703"</definedName>
    <definedName name="IQ_EST_NUM_UNDERPERFORM_REUT" hidden="1">"c3872"</definedName>
    <definedName name="IQ_EST_NUM_UNDERPERFORM_THOM" hidden="1">"c5168"</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UT_ACT_CAPEX" hidden="1">"c3975"</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_OVER_REVENUE_EST" hidden="1">"c165"</definedName>
    <definedName name="IQ_EV_OVER_REVENUE_EST_1" hidden="1">"c166"</definedName>
    <definedName name="IQ_EXCHANGE" hidden="1">"c405"</definedName>
    <definedName name="IQ_EXERCISE_PRICE" hidden="1">"c406"</definedName>
    <definedName name="IQ_EXERCISED" hidden="1">"c406"</definedName>
    <definedName name="IQ_EXP_RETURN_PENSION_DOMESTIC" hidden="1">"c407"</definedName>
    <definedName name="IQ_EXP_RETURN_PENSION_FOREIGN" hidden="1">"c408"</definedName>
    <definedName name="IQ_EXPENSE_CODE_" hidden="1">"ajsdasd"</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"c3668"</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CURRENCY_REUT" hidden="1">"c12536"</definedName>
    <definedName name="IQ_FFO_EST_DET_EST_DATE" hidden="1">"c12212"</definedName>
    <definedName name="IQ_FFO_EST_DET_EST_DATE_CIQ" hidden="1">"c12267"</definedName>
    <definedName name="IQ_FFO_EST_DET_EST_DATE_REUT" hidden="1">"c12295"</definedName>
    <definedName name="IQ_FFO_EST_DET_EST_INCL" hidden="1">"c12349"</definedName>
    <definedName name="IQ_FFO_EST_DET_EST_INCL_CIQ" hidden="1">"c12395"</definedName>
    <definedName name="IQ_FFO_EST_DET_EST_INCL_REUT" hidden="1">"c12419"</definedName>
    <definedName name="IQ_FFO_EST_DET_EST_ORIGIN" hidden="1">"c12722"</definedName>
    <definedName name="IQ_FFO_EST_DET_EST_ORIGIN_CIQ" hidden="1">"c12720"</definedName>
    <definedName name="IQ_FFO_EST_DET_EST_ORIGIN_REUT" hidden="1">"c12724"</definedName>
    <definedName name="IQ_FFO_EST_DET_EST_REUT" hidden="1">"c12153"</definedName>
    <definedName name="IQ_FFO_EST_REUT" hidden="1">"c3837"</definedName>
    <definedName name="IQ_FFO_EST_THOM" hidden="1">"c3999"</definedName>
    <definedName name="IQ_FFO_HIGH_EST" hidden="1">"c419"</definedName>
    <definedName name="IQ_FFO_HIGH_EST_CIQ" hidden="1">"c3670"</definedName>
    <definedName name="IQ_FFO_HIGH_EST_REUT" hidden="1">"c3839"</definedName>
    <definedName name="IQ_FFO_HIGH_EST_THOM" hidden="1">"c4001"</definedName>
    <definedName name="IQ_FFO_LOW_EST" hidden="1">"c420"</definedName>
    <definedName name="IQ_FFO_LOW_EST_CIQ" hidden="1">"c3671"</definedName>
    <definedName name="IQ_FFO_LOW_EST_REUT" hidden="1">"c3840"</definedName>
    <definedName name="IQ_FFO_LOW_EST_THOM" hidden="1">"c4002"</definedName>
    <definedName name="IQ_FFO_MEDIAN_EST" hidden="1">"c1665"</definedName>
    <definedName name="IQ_FFO_MEDIAN_EST_CIQ" hidden="1">"c3669"</definedName>
    <definedName name="IQ_FFO_MEDIAN_EST_REUT" hidden="1">"c3838"</definedName>
    <definedName name="IQ_FFO_MEDIAN_EST_THOM" hidden="1">"c4000"</definedName>
    <definedName name="IQ_FFO_NO_EST" hidden="1">"c276"</definedName>
    <definedName name="IQ_FFO_NUM_EST" hidden="1">"c421"</definedName>
    <definedName name="IQ_FFO_NUM_EST_CIQ" hidden="1">"c3672"</definedName>
    <definedName name="IQ_FFO_NUM_EST_REUT" hidden="1">"c3841"</definedName>
    <definedName name="IQ_FFO_NUM_EST_THOM" hidden="1">"c4003"</definedName>
    <definedName name="IQ_FFO_PAYOUT_RATIO" hidden="1">"c3492"</definedName>
    <definedName name="IQ_FFO_STDDEV_EST" hidden="1">"c422"</definedName>
    <definedName name="IQ_FFO_STDDEV_EST_CIQ" hidden="1">"c3673"</definedName>
    <definedName name="IQ_FFO_STDDEV_EST_REUT" hidden="1">"c3842"</definedName>
    <definedName name="IQ_FFO_STDDEV_EST_THOM" hidden="1">"c4004"</definedName>
    <definedName name="IQ_FH">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_REUT" hidden="1">"c6798"</definedName>
    <definedName name="IQ_FISCAL_Y" hidden="1">"c441"</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SPOT_FDIC" hidden="1">"c6356"</definedName>
    <definedName name="IQ_FY">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"c511"</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_TARGET_PRICE_REUT" hidden="1">"c5317"</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PROVIDED_DIVIDEND" hidden="1">"c19252"</definedName>
    <definedName name="IQ_INDEXCONSTITUENT_CLOSEPRICE" hidden="1">"c19241"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"c907"</definedName>
    <definedName name="IQ_INTEL_EPS_EST" hidden="1">"c24729"</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"c619"</definedName>
    <definedName name="IQ_INTEREST_INVEST_INC" hidden="1">"c619"</definedName>
    <definedName name="IQ_INTEREST_LT_DEBT" hidden="1">"c2086"</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"c751"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ISTING_CURRENCY" hidden="1">"c2127"</definedName>
    <definedName name="IQ_LL" hidden="1">"c656"</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DATE" hidden="1">"IQ_LTM_DATE"</definedName>
    <definedName name="IQ_LTM_REVENUE_OVER_EMPLOYEES" hidden="1">"c1304"</definedName>
    <definedName name="IQ_LTMMONTH" hidden="1">120000</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REPAIR" hidden="1">"c2087"</definedName>
    <definedName name="IQ_MARKET_CAP_LFCF" hidden="1">"c2209"</definedName>
    <definedName name="IQ_MARKETCAP" hidden="1">"c712"</definedName>
    <definedName name="IQ_MARKETING" hidden="1">"c2239"</definedName>
    <definedName name="IQ_MARKTCAP" hidden="1">"c258"</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localSheetId="4" hidden="1">42472.9587847222</definedName>
    <definedName name="IQ_NAMES_REVISION_DATE_" localSheetId="7" hidden="1">42472.9587847222</definedName>
    <definedName name="IQ_NAMES_REVISION_DATE_" localSheetId="8" hidden="1">42472.9587847222</definedName>
    <definedName name="IQ_NAMES_REVISION_DATE_" localSheetId="9" hidden="1">42472.9587847222</definedName>
    <definedName name="IQ_NAMES_REVISION_DATE_" localSheetId="6" hidden="1">42472.9587847222</definedName>
    <definedName name="IQ_NAMES_REVISION_DATE_" localSheetId="11" hidden="1">42472.9587847222</definedName>
    <definedName name="IQ_NAMES_REVISION_DATE_" hidden="1">43539.3235069444</definedName>
    <definedName name="IQ_NAMES_REVISION_DATE__1" hidden="1">41449.5435763889</definedName>
    <definedName name="IQ_NAMES_REVISION_DATE_1" hidden="1">42469.6971527778</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"c781"</definedName>
    <definedName name="IQ_NET_INC_10K" hidden="1">"IQ_NET_INC_10K"</definedName>
    <definedName name="IQ_NET_INC_10Q" hidden="1">"IQ_NET_INC_10Q"</definedName>
    <definedName name="IQ_NET_INC_10Q1" hidden="1">"IQ_NET_INC_10Q1"</definedName>
    <definedName name="IQ_NET_INC_BEFORE" hidden="1">"c344"</definedName>
    <definedName name="IQ_NET_INC_CF" hidden="1">"c793"</definedName>
    <definedName name="IQ_NET_INC_GROWTH_1" hidden="1">"c158"</definedName>
    <definedName name="IQ_NET_INC_GROWTH_2" hidden="1">"c162"</definedName>
    <definedName name="IQ_NET_INC_MARGIN" hidden="1">"c794"</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EST_THOM" hidden="1">"c5133"</definedName>
    <definedName name="IQ_NI_GW_HIGH_EST" hidden="1">"c1725"</definedName>
    <definedName name="IQ_NI_GW_HIGH_EST_THOM" hidden="1">"c5135"</definedName>
    <definedName name="IQ_NI_GW_LOW_EST" hidden="1">"c1726"</definedName>
    <definedName name="IQ_NI_GW_LOW_EST_THOM" hidden="1">"c5136"</definedName>
    <definedName name="IQ_NI_GW_MEDIAN_EST" hidden="1">"c1724"</definedName>
    <definedName name="IQ_NI_GW_MEDIAN_EST_THOM" hidden="1">"c5134"</definedName>
    <definedName name="IQ_NI_GW_NUM_EST" hidden="1">"c1727"</definedName>
    <definedName name="IQ_NI_GW_NUM_EST_THOM" hidden="1">"c5137"</definedName>
    <definedName name="IQ_NI_GW_STDDEV_EST" hidden="1">"c1728"</definedName>
    <definedName name="IQ_NI_GW_STDDEV_EST_THOM" hidden="1">"c5138"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OFFIC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"c362"</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"c868"</definedName>
    <definedName name="IQ_OTHER_CURRENT_LIAB" hidden="1">"c877"</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CENT_INSURED_FDIC" hidden="1">"c6374"</definedName>
    <definedName name="IQ_PERIODDATE" hidden="1">"c1034"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ICE_OVER_BVPS" hidden="1">"c1026"</definedName>
    <definedName name="IQ_PRICE_OVER_EPS_EST" hidden="1">"c174"</definedName>
    <definedName name="IQ_PRICE_OVER_EPS_EST_1" hidden="1">"c175"</definedName>
    <definedName name="IQ_PRICE_OVER_LTM_EPS" hidden="1">"c1029"</definedName>
    <definedName name="IQ_PRICE_TARGET" hidden="1">"c82"</definedName>
    <definedName name="IQ_PRICE_TARGET_REUT" hidden="1">"c3631"</definedName>
    <definedName name="IQ_PRICEDATE" hidden="1">"c1069"</definedName>
    <definedName name="IQ_PRICEDATETIME" hidden="1">"IQ_PRICEDATETIME"</definedName>
    <definedName name="IQ_PRICING_DATE" hidden="1">"c1613"</definedName>
    <definedName name="IQ_PRIMARY_EPS_TYPE_THOM" hidden="1">"c5297"</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"c1092"</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"c1122"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EST_REUT" hidden="1">"c3634"</definedName>
    <definedName name="IQ_REVENUE_GROWTH_1" hidden="1">"c155"</definedName>
    <definedName name="IQ_REVENUE_GROWTH_2" hidden="1">"c159"</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O_EST" hidden="1">"c263"</definedName>
    <definedName name="IQ_REVENUE_NUM_EST" hidden="1">"c1129"</definedName>
    <definedName name="IQ_REVENUE_NUM_EST_REUT" hidden="1">"c3638"</definedName>
    <definedName name="IQ_Revision_date_2" hidden="1">38784.4474652778</definedName>
    <definedName name="IQ_REVOLVING_SECURED_1_–4_NON_ACCRUAL_FFIEC" hidden="1">"c15565"</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_ISSUE_LC_ACTION" hidden="1">"c2644"</definedName>
    <definedName name="IQ_SP_ISSUE_LC_DATE" hidden="1">"c2643"</definedName>
    <definedName name="IQ_SP_ISSUE_LC_LT" hidden="1">"c2645"</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GS_FIN" hidden="1">"c2998"</definedName>
    <definedName name="IQ_STOCK_BASED_COGS_UTIL" hidden="1">"c2997"</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LASTCLOSE" hidden="1">"c1855"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DUE" hidden="1">"c2509"</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"c1294"</definedName>
    <definedName name="IQ_TOTAL_RISK_BASED_CAPITAL_RATIO_FDIC" hidden="1">"c6747"</definedName>
    <definedName name="IQ_TOTAL_SECURITIES_FDIC" hidden="1">"c6306"</definedName>
    <definedName name="IQ_TOTAL_SPECIAL" hidden="1">"c1618"</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ADVISORS" hidden="1">"c2387"</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ADVISORS" hidden="1">"c2388"</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BDEBT" hidden="1">"c2370"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ADVISORS" hidden="1">"c2386"</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 hidden="1">"c2930"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 hidden="1">"c2932"</definedName>
    <definedName name="IQ_US_GAAP_CL_ADJ" hidden="1">"c2927"</definedName>
    <definedName name="IQ_US_GAAP_COST_REV" hidden="1">"c2965"</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 hidden="1">"c2973"</definedName>
    <definedName name="IQ_US_GAAP_DO_ADJ" hidden="1">"c2959"</definedName>
    <definedName name="IQ_US_GAAP_EXTRA_ACC_ITEMS" hidden="1">"c2972"</definedName>
    <definedName name="IQ_US_GAAP_EXTRA_ACC_ITEMS_ADJ" hidden="1">"c2958"</definedName>
    <definedName name="IQ_US_GAAP_INC_TAX" hidden="1">"c2975"</definedName>
    <definedName name="IQ_US_GAAP_INC_TAX_ADJ" hidden="1">"c2961"</definedName>
    <definedName name="IQ_US_GAAP_INTEREST_EXP" hidden="1">"c2971"</definedName>
    <definedName name="IQ_US_GAAP_INTEREST_EXP_ADJ" hidden="1">"c2957"</definedName>
    <definedName name="IQ_US_GAAP_LIAB_LT" hidden="1">"c2933"</definedName>
    <definedName name="IQ_US_GAAP_LIAB_LT_ADJ" hidden="1">"c2928"</definedName>
    <definedName name="IQ_US_GAAP_LIAB_TOTAL_LIAB" hidden="1">"c2933"</definedName>
    <definedName name="IQ_US_GAAP_MINORITY_INTEREST_IS" hidden="1">"c2974"</definedName>
    <definedName name="IQ_US_GAAP_MINORITY_INTEREST_IS_ADJ" hidden="1">"c2960"</definedName>
    <definedName name="IQ_US_GAAP_NCA" hidden="1">"c2931"</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EXCL" hidden="1">"c2977"</definedName>
    <definedName name="IQ_US_GAAP_NI_AVAIL_INCL" hidden="1">"c2978"</definedName>
    <definedName name="IQ_US_GAAP_OTHER_ADJ_ADJ" hidden="1">"c2962"</definedName>
    <definedName name="IQ_US_GAAP_OTHER_NON_OPER" hidden="1">"c2969"</definedName>
    <definedName name="IQ_US_GAAP_OTHER_NON_OPER_ADJ" hidden="1">"c2955"</definedName>
    <definedName name="IQ_US_GAAP_OTHER_OPER" hidden="1">"c2968"</definedName>
    <definedName name="IQ_US_GAAP_OTHER_OPER_ADJ" hidden="1">"c2954"</definedName>
    <definedName name="IQ_US_GAAP_RD" hidden="1">"c2967"</definedName>
    <definedName name="IQ_US_GAAP_RD_ADJ" hidden="1">"c2953"</definedName>
    <definedName name="IQ_US_GAAP_SGA" hidden="1">"c2966"</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 hidden="1">"c2964"</definedName>
    <definedName name="IQ_US_GAAP_TOTAL_REV_ADJ" hidden="1">"c2950"</definedName>
    <definedName name="IQ_US_GAAP_TOTAL_UNUSUAL" hidden="1">"c2970"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3000</definedName>
    <definedName name="IQ_YTDMONTH" hidden="1">130000</definedName>
    <definedName name="IQ_Z_SCORE" hidden="1">"c1339"</definedName>
    <definedName name="IQRA1" hidden="1">"$A$2:$A$368"</definedName>
    <definedName name="IQRA22" hidden="1">"$A$23:$A$42"</definedName>
    <definedName name="IQRA5" hidden="1">"$A$6"</definedName>
    <definedName name="IQRA8" hidden="1">"$A$9:$A$260"</definedName>
    <definedName name="IQRAB22" hidden="1">"$AB$23:$AB$42"</definedName>
    <definedName name="IQRAE22" hidden="1">"$AE$23:$AE$42"</definedName>
    <definedName name="IQRAF16" hidden="1">"$AF$17:$AF$268"</definedName>
    <definedName name="IQRAF17" hidden="1">"$AF$18:$AF$269"</definedName>
    <definedName name="IQRAH22" hidden="1">"$AH$23:$AH$42"</definedName>
    <definedName name="IQRAK22" hidden="1">"$AK$23:$AK$42"</definedName>
    <definedName name="IQRAN22" hidden="1">"$AN$23:$AN$42"</definedName>
    <definedName name="IQRAQ22" hidden="1">"$AQ$23:$AQ$42"</definedName>
    <definedName name="IQRB14" hidden="1">"$B$15:$B$518"</definedName>
    <definedName name="IQRB16" hidden="1">"$B$17:$B$520"</definedName>
    <definedName name="IQRB17" localSheetId="10" hidden="1">"$B$18:$B$78"</definedName>
    <definedName name="IQRB17" hidden="1">"$B$18:$B$80"</definedName>
    <definedName name="IQRB17_1" hidden="1">"$B$18:$B$78"</definedName>
    <definedName name="IQRB18" hidden="1">"$B$19:$B$522"</definedName>
    <definedName name="IQRB8" hidden="1">"$B$9:$B$260"</definedName>
    <definedName name="IQRBB17" hidden="1">"$BB$18:$BB$1299"</definedName>
    <definedName name="IQRBetaDATASHEETB17" localSheetId="4" hidden="1">#REF!</definedName>
    <definedName name="IQRBetaDATASHEETB17" localSheetId="8" hidden="1">#REF!</definedName>
    <definedName name="IQRBetaDATASHEETB17" localSheetId="9" hidden="1">#REF!</definedName>
    <definedName name="IQRBetaDATASHEETB17" localSheetId="3" hidden="1">#REF!</definedName>
    <definedName name="IQRBetaDATASHEETB17" hidden="1">#REF!</definedName>
    <definedName name="IQRC14" hidden="1">"$C$15:$C$119"</definedName>
    <definedName name="IQRC5" hidden="1">"$C$6:$C$70"</definedName>
    <definedName name="IQRC8" hidden="1">"$C$9:$C$260"</definedName>
    <definedName name="IQRCapitalIQDATAJ8" localSheetId="4" hidden="1">#REF!</definedName>
    <definedName name="IQRCapitalIQDATAJ8" localSheetId="8" hidden="1">#REF!</definedName>
    <definedName name="IQRCapitalIQDATAJ8" localSheetId="9" hidden="1">#REF!</definedName>
    <definedName name="IQRCapitalIQDATAJ8" localSheetId="10" hidden="1">#REF!</definedName>
    <definedName name="IQRCapitalIQDATAJ8" localSheetId="3" hidden="1">#REF!</definedName>
    <definedName name="IQRCapitalIQDATAJ8" hidden="1">#REF!</definedName>
    <definedName name="IQRCapitalIQDATAK8" localSheetId="4" hidden="1">#REF!</definedName>
    <definedName name="IQRCapitalIQDATAK8" localSheetId="8" hidden="1">#REF!</definedName>
    <definedName name="IQRCapitalIQDATAK8" localSheetId="9" hidden="1">#REF!</definedName>
    <definedName name="IQRCapitalIQDATAK8" localSheetId="10" hidden="1">#REF!</definedName>
    <definedName name="IQRCapitalIQDATAK8" localSheetId="3" hidden="1">#REF!</definedName>
    <definedName name="IQRCapitalIQDATAK8" hidden="1">#REF!</definedName>
    <definedName name="IQRCapitalIQDATAL8" localSheetId="4" hidden="1">#REF!</definedName>
    <definedName name="IQRCapitalIQDATAL8" localSheetId="8" hidden="1">#REF!</definedName>
    <definedName name="IQRCapitalIQDATAL8" localSheetId="9" hidden="1">#REF!</definedName>
    <definedName name="IQRCapitalIQDATAL8" localSheetId="10" hidden="1">#REF!</definedName>
    <definedName name="IQRCapitalIQDATAL8" localSheetId="3" hidden="1">#REF!</definedName>
    <definedName name="IQRCapitalIQDATAL8" hidden="1">#REF!</definedName>
    <definedName name="IQRCapitalIQDATAM8" localSheetId="4" hidden="1">#REF!</definedName>
    <definedName name="IQRCapitalIQDATAM8" localSheetId="8" hidden="1">#REF!</definedName>
    <definedName name="IQRCapitalIQDATAM8" localSheetId="9" hidden="1">#REF!</definedName>
    <definedName name="IQRCapitalIQDATAM8" localSheetId="10" hidden="1">#REF!</definedName>
    <definedName name="IQRCapitalIQDATAM8" localSheetId="3" hidden="1">#REF!</definedName>
    <definedName name="IQRCapitalIQDATAM8" hidden="1">#REF!</definedName>
    <definedName name="IQRD14" hidden="1">"$D$15:$D$38"</definedName>
    <definedName name="IQRD22" hidden="1">"$D$23:$D$42"</definedName>
    <definedName name="IQRD5" hidden="1">"$D$6:$D$70"</definedName>
    <definedName name="IQRE5" hidden="1">"$E$6:$E$70"</definedName>
    <definedName name="IQRF3" hidden="1">"$F$4:$F$68"</definedName>
    <definedName name="IQRF5" hidden="1">"$F$6:$F$70"</definedName>
    <definedName name="IQRF8" hidden="1">"$F$9:$F$269"</definedName>
    <definedName name="IQRG22" hidden="1">"$G$23:$G$42"</definedName>
    <definedName name="IQRG3" hidden="1">"$G$4:$G$68"</definedName>
    <definedName name="IQRG41" hidden="1">"$G$42:$G$1300"</definedName>
    <definedName name="IQRG5" hidden="1">"$G$6:$G$70"</definedName>
    <definedName name="IQRHistoricMultiplesAR9" localSheetId="4" hidden="1">#REF!</definedName>
    <definedName name="IQRHistoricMultiplesAR9" localSheetId="8" hidden="1">#REF!</definedName>
    <definedName name="IQRHistoricMultiplesAR9" localSheetId="9" hidden="1">#REF!</definedName>
    <definedName name="IQRHistoricMultiplesAR9" localSheetId="10" hidden="1">#REF!</definedName>
    <definedName name="IQRHistoricMultiplesAR9" localSheetId="3" hidden="1">#REF!</definedName>
    <definedName name="IQRHistoricMultiplesAR9" hidden="1">#REF!</definedName>
    <definedName name="IQRHistoricMultiplesAW9" localSheetId="4" hidden="1">#REF!</definedName>
    <definedName name="IQRHistoricMultiplesAW9" localSheetId="8" hidden="1">#REF!</definedName>
    <definedName name="IQRHistoricMultiplesAW9" localSheetId="9" hidden="1">#REF!</definedName>
    <definedName name="IQRHistoricMultiplesAW9" localSheetId="10" hidden="1">#REF!</definedName>
    <definedName name="IQRHistoricMultiplesAW9" localSheetId="3" hidden="1">#REF!</definedName>
    <definedName name="IQRHistoricMultiplesAW9" hidden="1">#REF!</definedName>
    <definedName name="IQRHistoricMultiplesBB9" localSheetId="4" hidden="1">#REF!</definedName>
    <definedName name="IQRHistoricMultiplesBB9" localSheetId="8" hidden="1">#REF!</definedName>
    <definedName name="IQRHistoricMultiplesBB9" localSheetId="9" hidden="1">#REF!</definedName>
    <definedName name="IQRHistoricMultiplesBB9" localSheetId="10" hidden="1">#REF!</definedName>
    <definedName name="IQRHistoricMultiplesBB9" localSheetId="3" hidden="1">#REF!</definedName>
    <definedName name="IQRHistoricMultiplesBB9" hidden="1">#REF!</definedName>
    <definedName name="IQRHistoricMultiplesBG9" localSheetId="4" hidden="1">#REF!</definedName>
    <definedName name="IQRHistoricMultiplesBG9" localSheetId="8" hidden="1">#REF!</definedName>
    <definedName name="IQRHistoricMultiplesBG9" localSheetId="9" hidden="1">#REF!</definedName>
    <definedName name="IQRHistoricMultiplesBG9" localSheetId="10" hidden="1">#REF!</definedName>
    <definedName name="IQRHistoricMultiplesBG9" localSheetId="3" hidden="1">#REF!</definedName>
    <definedName name="IQRHistoricMultiplesBG9" hidden="1">#REF!</definedName>
    <definedName name="IQRHistoricMultiplesBL9" localSheetId="4" hidden="1">#REF!</definedName>
    <definedName name="IQRHistoricMultiplesBL9" localSheetId="8" hidden="1">#REF!</definedName>
    <definedName name="IQRHistoricMultiplesBL9" localSheetId="9" hidden="1">#REF!</definedName>
    <definedName name="IQRHistoricMultiplesBL9" localSheetId="10" hidden="1">#REF!</definedName>
    <definedName name="IQRHistoricMultiplesBL9" localSheetId="3" hidden="1">#REF!</definedName>
    <definedName name="IQRHistoricMultiplesBL9" hidden="1">#REF!</definedName>
    <definedName name="IQRHistoricMultiplesBQ9" localSheetId="4" hidden="1">#REF!</definedName>
    <definedName name="IQRHistoricMultiplesBQ9" localSheetId="8" hidden="1">#REF!</definedName>
    <definedName name="IQRHistoricMultiplesBQ9" localSheetId="9" hidden="1">#REF!</definedName>
    <definedName name="IQRHistoricMultiplesBQ9" localSheetId="10" hidden="1">#REF!</definedName>
    <definedName name="IQRHistoricMultiplesBQ9" localSheetId="3" hidden="1">#REF!</definedName>
    <definedName name="IQRHistoricMultiplesBQ9" hidden="1">#REF!</definedName>
    <definedName name="IQRHistoricMultiplesBV9" localSheetId="4" hidden="1">#REF!</definedName>
    <definedName name="IQRHistoricMultiplesBV9" localSheetId="8" hidden="1">#REF!</definedName>
    <definedName name="IQRHistoricMultiplesBV9" localSheetId="9" hidden="1">#REF!</definedName>
    <definedName name="IQRHistoricMultiplesBV9" localSheetId="10" hidden="1">#REF!</definedName>
    <definedName name="IQRHistoricMultiplesBV9" localSheetId="3" hidden="1">#REF!</definedName>
    <definedName name="IQRHistoricMultiplesBV9" hidden="1">#REF!</definedName>
    <definedName name="IQRHistoricMultiplesCA9" localSheetId="4" hidden="1">#REF!</definedName>
    <definedName name="IQRHistoricMultiplesCA9" localSheetId="8" hidden="1">#REF!</definedName>
    <definedName name="IQRHistoricMultiplesCA9" localSheetId="9" hidden="1">#REF!</definedName>
    <definedName name="IQRHistoricMultiplesCA9" localSheetId="10" hidden="1">#REF!</definedName>
    <definedName name="IQRHistoricMultiplesCA9" localSheetId="3" hidden="1">#REF!</definedName>
    <definedName name="IQRHistoricMultiplesCA9" hidden="1">#REF!</definedName>
    <definedName name="IQRHistoricMultiplesCF9" localSheetId="4" hidden="1">#REF!</definedName>
    <definedName name="IQRHistoricMultiplesCF9" localSheetId="8" hidden="1">#REF!</definedName>
    <definedName name="IQRHistoricMultiplesCF9" localSheetId="9" hidden="1">#REF!</definedName>
    <definedName name="IQRHistoricMultiplesCF9" localSheetId="10" hidden="1">#REF!</definedName>
    <definedName name="IQRHistoricMultiplesCF9" localSheetId="3" hidden="1">#REF!</definedName>
    <definedName name="IQRHistoricMultiplesCF9" hidden="1">#REF!</definedName>
    <definedName name="IQRHistoricMultiplesCK9" localSheetId="4" hidden="1">#REF!</definedName>
    <definedName name="IQRHistoricMultiplesCK9" localSheetId="8" hidden="1">#REF!</definedName>
    <definedName name="IQRHistoricMultiplesCK9" localSheetId="9" hidden="1">#REF!</definedName>
    <definedName name="IQRHistoricMultiplesCK9" localSheetId="10" hidden="1">#REF!</definedName>
    <definedName name="IQRHistoricMultiplesCK9" localSheetId="3" hidden="1">#REF!</definedName>
    <definedName name="IQRHistoricMultiplesCK9" hidden="1">#REF!</definedName>
    <definedName name="IQRI9" hidden="1">"$I$10:$I$1267"</definedName>
    <definedName name="IQRIPOAF12" localSheetId="4" hidden="1">#REF!</definedName>
    <definedName name="IQRIPOAF12" localSheetId="8" hidden="1">#REF!</definedName>
    <definedName name="IQRIPOAF12" localSheetId="9" hidden="1">#REF!</definedName>
    <definedName name="IQRIPOAF12" localSheetId="10" hidden="1">#REF!</definedName>
    <definedName name="IQRIPOAF12" localSheetId="3" hidden="1">#REF!</definedName>
    <definedName name="IQRIPOAF12" hidden="1">#REF!</definedName>
    <definedName name="IQRIPOAF13" localSheetId="4" hidden="1">#REF!</definedName>
    <definedName name="IQRIPOAF13" localSheetId="8" hidden="1">#REF!</definedName>
    <definedName name="IQRIPOAF13" localSheetId="9" hidden="1">#REF!</definedName>
    <definedName name="IQRIPOAF13" localSheetId="10" hidden="1">#REF!</definedName>
    <definedName name="IQRIPOAF13" localSheetId="3" hidden="1">#REF!</definedName>
    <definedName name="IQRIPOAF13" hidden="1">#REF!</definedName>
    <definedName name="IQRIPOAF14" localSheetId="4" hidden="1">[12]IPO!#REF!</definedName>
    <definedName name="IQRIPOAF14" localSheetId="8" hidden="1">[12]IPO!#REF!</definedName>
    <definedName name="IQRIPOAF14" localSheetId="9" hidden="1">[12]IPO!#REF!</definedName>
    <definedName name="IQRIPOAF14" localSheetId="10" hidden="1">[13]IPO!#REF!</definedName>
    <definedName name="IQRIPOAF14" localSheetId="3" hidden="1">[12]IPO!#REF!</definedName>
    <definedName name="IQRIPOAF14" hidden="1">[12]IPO!#REF!</definedName>
    <definedName name="IQRIPOAF15" localSheetId="4" hidden="1">#REF!</definedName>
    <definedName name="IQRIPOAF15" localSheetId="8" hidden="1">#REF!</definedName>
    <definedName name="IQRIPOAF15" localSheetId="9" hidden="1">#REF!</definedName>
    <definedName name="IQRIPOAF15" localSheetId="10" hidden="1">#REF!</definedName>
    <definedName name="IQRIPOAF15" localSheetId="3" hidden="1">#REF!</definedName>
    <definedName name="IQRIPOAF15" hidden="1">#REF!</definedName>
    <definedName name="IQRIPOAF16" localSheetId="4" hidden="1">#REF!</definedName>
    <definedName name="IQRIPOAF16" localSheetId="8" hidden="1">#REF!</definedName>
    <definedName name="IQRIPOAF16" localSheetId="9" hidden="1">#REF!</definedName>
    <definedName name="IQRIPOAF16" localSheetId="10" hidden="1">#REF!</definedName>
    <definedName name="IQRIPOAF16" localSheetId="3" hidden="1">#REF!</definedName>
    <definedName name="IQRIPOAF16" hidden="1">#REF!</definedName>
    <definedName name="IQRIPOAF17" localSheetId="4" hidden="1">#REF!</definedName>
    <definedName name="IQRIPOAF17" localSheetId="8" hidden="1">#REF!</definedName>
    <definedName name="IQRIPOAF17" localSheetId="9" hidden="1">#REF!</definedName>
    <definedName name="IQRIPOAF17" localSheetId="10" hidden="1">#REF!</definedName>
    <definedName name="IQRIPOAF17" localSheetId="3" hidden="1">#REF!</definedName>
    <definedName name="IQRIPOAF17" hidden="1">#REF!</definedName>
    <definedName name="IQRIPOAF18" localSheetId="4" hidden="1">#REF!</definedName>
    <definedName name="IQRIPOAF18" localSheetId="8" hidden="1">#REF!</definedName>
    <definedName name="IQRIPOAF18" localSheetId="9" hidden="1">#REF!</definedName>
    <definedName name="IQRIPOAF18" localSheetId="10" hidden="1">#REF!</definedName>
    <definedName name="IQRIPOAF18" localSheetId="3" hidden="1">#REF!</definedName>
    <definedName name="IQRIPOAF18" hidden="1">#REF!</definedName>
    <definedName name="IQRIPOAF19" localSheetId="4" hidden="1">#REF!</definedName>
    <definedName name="IQRIPOAF19" localSheetId="8" hidden="1">#REF!</definedName>
    <definedName name="IQRIPOAF19" localSheetId="9" hidden="1">#REF!</definedName>
    <definedName name="IQRIPOAF19" localSheetId="10" hidden="1">#REF!</definedName>
    <definedName name="IQRIPOAF19" localSheetId="3" hidden="1">#REF!</definedName>
    <definedName name="IQRIPOAF19" hidden="1">#REF!</definedName>
    <definedName name="IQRIPOAF20" localSheetId="4" hidden="1">#REF!</definedName>
    <definedName name="IQRIPOAF20" localSheetId="8" hidden="1">#REF!</definedName>
    <definedName name="IQRIPOAF20" localSheetId="9" hidden="1">#REF!</definedName>
    <definedName name="IQRIPOAF20" localSheetId="10" hidden="1">#REF!</definedName>
    <definedName name="IQRIPOAF20" localSheetId="3" hidden="1">#REF!</definedName>
    <definedName name="IQRIPOAF20" hidden="1">#REF!</definedName>
    <definedName name="IQRIPOAF21" localSheetId="4" hidden="1">#REF!</definedName>
    <definedName name="IQRIPOAF21" localSheetId="8" hidden="1">#REF!</definedName>
    <definedName name="IQRIPOAF21" localSheetId="9" hidden="1">#REF!</definedName>
    <definedName name="IQRIPOAF21" localSheetId="10" hidden="1">#REF!</definedName>
    <definedName name="IQRIPOAF21" localSheetId="3" hidden="1">#REF!</definedName>
    <definedName name="IQRIPOAF21" hidden="1">#REF!</definedName>
    <definedName name="IQRIPOAF22" localSheetId="4" hidden="1">#REF!</definedName>
    <definedName name="IQRIPOAF22" localSheetId="8" hidden="1">#REF!</definedName>
    <definedName name="IQRIPOAF22" localSheetId="9" hidden="1">#REF!</definedName>
    <definedName name="IQRIPOAF22" localSheetId="10" hidden="1">#REF!</definedName>
    <definedName name="IQRIPOAF22" localSheetId="3" hidden="1">#REF!</definedName>
    <definedName name="IQRIPOAF22" hidden="1">#REF!</definedName>
    <definedName name="IQRIPOAF23" localSheetId="4" hidden="1">#REF!</definedName>
    <definedName name="IQRIPOAF23" localSheetId="8" hidden="1">#REF!</definedName>
    <definedName name="IQRIPOAF23" localSheetId="9" hidden="1">#REF!</definedName>
    <definedName name="IQRIPOAF23" localSheetId="10" hidden="1">#REF!</definedName>
    <definedName name="IQRIPOAF23" localSheetId="3" hidden="1">#REF!</definedName>
    <definedName name="IQRIPOAF23" hidden="1">#REF!</definedName>
    <definedName name="IQRIPOAF24" localSheetId="4" hidden="1">#REF!</definedName>
    <definedName name="IQRIPOAF24" localSheetId="8" hidden="1">#REF!</definedName>
    <definedName name="IQRIPOAF24" localSheetId="9" hidden="1">#REF!</definedName>
    <definedName name="IQRIPOAF24" localSheetId="10" hidden="1">#REF!</definedName>
    <definedName name="IQRIPOAF24" localSheetId="3" hidden="1">#REF!</definedName>
    <definedName name="IQRIPOAF24" hidden="1">#REF!</definedName>
    <definedName name="IQRIPOAF25" localSheetId="4" hidden="1">[12]IPO!#REF!</definedName>
    <definedName name="IQRIPOAF25" localSheetId="8" hidden="1">[12]IPO!#REF!</definedName>
    <definedName name="IQRIPOAF25" localSheetId="9" hidden="1">[12]IPO!#REF!</definedName>
    <definedName name="IQRIPOAF25" localSheetId="10" hidden="1">[13]IPO!#REF!</definedName>
    <definedName name="IQRIPOAF25" localSheetId="3" hidden="1">[12]IPO!#REF!</definedName>
    <definedName name="IQRIPOAF25" hidden="1">[12]IPO!#REF!</definedName>
    <definedName name="IQRIPOAF26" localSheetId="4" hidden="1">#REF!</definedName>
    <definedName name="IQRIPOAF26" localSheetId="8" hidden="1">#REF!</definedName>
    <definedName name="IQRIPOAF26" localSheetId="9" hidden="1">#REF!</definedName>
    <definedName name="IQRIPOAF26" localSheetId="10" hidden="1">#REF!</definedName>
    <definedName name="IQRIPOAF26" localSheetId="3" hidden="1">#REF!</definedName>
    <definedName name="IQRIPOAF26" hidden="1">#REF!</definedName>
    <definedName name="IQRIPOAF27" localSheetId="4" hidden="1">#REF!</definedName>
    <definedName name="IQRIPOAF27" localSheetId="8" hidden="1">#REF!</definedName>
    <definedName name="IQRIPOAF27" localSheetId="9" hidden="1">#REF!</definedName>
    <definedName name="IQRIPOAF27" localSheetId="10" hidden="1">#REF!</definedName>
    <definedName name="IQRIPOAF27" localSheetId="3" hidden="1">#REF!</definedName>
    <definedName name="IQRIPOAF27" hidden="1">#REF!</definedName>
    <definedName name="IQRIPOAF28" localSheetId="4" hidden="1">#REF!</definedName>
    <definedName name="IQRIPOAF28" localSheetId="8" hidden="1">#REF!</definedName>
    <definedName name="IQRIPOAF28" localSheetId="9" hidden="1">#REF!</definedName>
    <definedName name="IQRIPOAF28" localSheetId="10" hidden="1">#REF!</definedName>
    <definedName name="IQRIPOAF28" localSheetId="3" hidden="1">#REF!</definedName>
    <definedName name="IQRIPOAF28" hidden="1">#REF!</definedName>
    <definedName name="IQRIPOAF29" localSheetId="4" hidden="1">[12]IPO!#REF!</definedName>
    <definedName name="IQRIPOAF29" localSheetId="8" hidden="1">[12]IPO!#REF!</definedName>
    <definedName name="IQRIPOAF29" localSheetId="9" hidden="1">[12]IPO!#REF!</definedName>
    <definedName name="IQRIPOAF29" localSheetId="10" hidden="1">[13]IPO!#REF!</definedName>
    <definedName name="IQRIPOAF29" localSheetId="3" hidden="1">[12]IPO!#REF!</definedName>
    <definedName name="IQRIPOAF29" hidden="1">[12]IPO!#REF!</definedName>
    <definedName name="IQRJ22" hidden="1">"$J$23:$J$42"</definedName>
    <definedName name="IQRK9" hidden="1">"$K$10:$K$1268"</definedName>
    <definedName name="IQRL3" hidden="1">"$L$4:$L$55"</definedName>
    <definedName name="IQRM22" hidden="1">"$M$23:$M$42"</definedName>
    <definedName name="IQRM3" hidden="1">"$M$4:$M$55"</definedName>
    <definedName name="IQRN3" hidden="1">"$N$4:$N$67"</definedName>
    <definedName name="IQROptionValI16" localSheetId="4" hidden="1">'[14]Option Val.'!#REF!</definedName>
    <definedName name="IQROptionValI16" localSheetId="8" hidden="1">'[14]Option Val.'!#REF!</definedName>
    <definedName name="IQROptionValI16" localSheetId="9" hidden="1">'[14]Option Val.'!#REF!</definedName>
    <definedName name="IQROptionValI16" localSheetId="10" hidden="1">'[14]Option Val.'!#REF!</definedName>
    <definedName name="IQROptionValI16" localSheetId="3" hidden="1">'[14]Option Val.'!#REF!</definedName>
    <definedName name="IQROptionValI16" hidden="1">'[14]Option Val.'!#REF!</definedName>
    <definedName name="IQRP22" hidden="1">"$P$23:$P$42"</definedName>
    <definedName name="IQRS22" hidden="1">"$S$23:$S$42"</definedName>
    <definedName name="IQRT22" hidden="1">"$T$23:$T$32"</definedName>
    <definedName name="IQRU14" hidden="1">"$U$15:$U$266"</definedName>
    <definedName name="IQRV22" hidden="1">"$V$23:$V$42"</definedName>
    <definedName name="IQRWACCCapIQBV10" localSheetId="4" hidden="1">#REF!</definedName>
    <definedName name="IQRWACCCapIQBV10" localSheetId="8" hidden="1">#REF!</definedName>
    <definedName name="IQRWACCCapIQBV10" localSheetId="9" hidden="1">#REF!</definedName>
    <definedName name="IQRWACCCapIQBV10" localSheetId="10" hidden="1">#REF!</definedName>
    <definedName name="IQRWACCCapIQBV10" localSheetId="3" hidden="1">#REF!</definedName>
    <definedName name="IQRWACCCapIQBV10" hidden="1">#REF!</definedName>
    <definedName name="IQRWACCCapIQCD10" localSheetId="4" hidden="1">#REF!</definedName>
    <definedName name="IQRWACCCapIQCD10" localSheetId="8" hidden="1">#REF!</definedName>
    <definedName name="IQRWACCCapIQCD10" localSheetId="9" hidden="1">#REF!</definedName>
    <definedName name="IQRWACCCapIQCD10" localSheetId="10" hidden="1">#REF!</definedName>
    <definedName name="IQRWACCCapIQCD10" localSheetId="3" hidden="1">#REF!</definedName>
    <definedName name="IQRWACCCapIQCD10" hidden="1">#REF!</definedName>
    <definedName name="IQRY22" hidden="1">"$Y$23:$Y$42"</definedName>
    <definedName name="IsColHidden" hidden="1">FALSE</definedName>
    <definedName name="IsLTMColHidden" hidden="1">FALSE</definedName>
    <definedName name="jjj" localSheetId="10" hidden="1">{#N/A,#N/A,FALSE,"Bakersfield PCs";#N/A,#N/A,FALSE,"Bremer PCs";#N/A,#N/A,FALSE,"Bakersfield Notebooks"}</definedName>
    <definedName name="jjj" hidden="1">{#N/A,#N/A,FALSE,"Bakersfield PCs";#N/A,#N/A,FALSE,"Bremer PCs";#N/A,#N/A,FALSE,"Bakersfield Notebooks"}</definedName>
    <definedName name="jlklkjlk" localSheetId="10" hidden="1">{#N/A,#N/A,FALSE,"Bakersfield PCs";#N/A,#N/A,FALSE,"Bremer PCs";#N/A,#N/A,FALSE,"Bakersfield Notebooks"}</definedName>
    <definedName name="jlklkjlk" hidden="1">{#N/A,#N/A,FALSE,"Bakersfield PCs";#N/A,#N/A,FALSE,"Bremer PCs";#N/A,#N/A,FALSE,"Bakersfield Notebooks"}</definedName>
    <definedName name="K2_WBEVMODE" hidden="1">-1</definedName>
    <definedName name="kin" localSheetId="4" hidden="1">#REF!</definedName>
    <definedName name="kin" localSheetId="8" hidden="1">#REF!</definedName>
    <definedName name="kin" localSheetId="9" hidden="1">#REF!</definedName>
    <definedName name="kin" localSheetId="10" hidden="1">#REF!</definedName>
    <definedName name="kin" localSheetId="3" hidden="1">#REF!</definedName>
    <definedName name="kin" hidden="1">#REF!</definedName>
    <definedName name="Ledger_Code" hidden="1">" "</definedName>
    <definedName name="Ledger_Selection" hidden="1">" "</definedName>
    <definedName name="Library" hidden="1">"a1"</definedName>
    <definedName name="limcount" hidden="1">2</definedName>
    <definedName name="lin" localSheetId="4" hidden="1">#REF!</definedName>
    <definedName name="lin" localSheetId="8" hidden="1">#REF!</definedName>
    <definedName name="lin" localSheetId="9" hidden="1">#REF!</definedName>
    <definedName name="lin" localSheetId="10" hidden="1">#REF!</definedName>
    <definedName name="lin" localSheetId="3" hidden="1">#REF!</definedName>
    <definedName name="lin" hidden="1">#REF!</definedName>
    <definedName name="ListOffset" hidden="1">1</definedName>
    <definedName name="MA" localSheetId="4" hidden="1">#REF!</definedName>
    <definedName name="MA" localSheetId="8" hidden="1">#REF!</definedName>
    <definedName name="MA" localSheetId="9" hidden="1">#REF!</definedName>
    <definedName name="MA" localSheetId="10" hidden="1">#REF!</definedName>
    <definedName name="MA" localSheetId="3" hidden="1">#REF!</definedName>
    <definedName name="MA" hidden="1">#REF!</definedName>
    <definedName name="mb_inputLocation" localSheetId="4" hidden="1">#REF!</definedName>
    <definedName name="mb_inputLocation" localSheetId="8" hidden="1">#REF!</definedName>
    <definedName name="mb_inputLocation" localSheetId="9" hidden="1">#REF!</definedName>
    <definedName name="mb_inputLocation" localSheetId="10" hidden="1">#REF!</definedName>
    <definedName name="mb_inputLocation" localSheetId="3" hidden="1">#REF!</definedName>
    <definedName name="mb_inputLocation" hidden="1">#REF!</definedName>
    <definedName name="medmult" localSheetId="4" hidden="1">#REF!</definedName>
    <definedName name="medmult" localSheetId="8" hidden="1">#REF!</definedName>
    <definedName name="medmult" localSheetId="9" hidden="1">#REF!</definedName>
    <definedName name="medmult" localSheetId="10" hidden="1">#REF!</definedName>
    <definedName name="medmult" localSheetId="3" hidden="1">#REF!</definedName>
    <definedName name="medmult" hidden="1">#REF!</definedName>
    <definedName name="MLNK095f577ec7854aeb98efbc368cd2c535" localSheetId="4" hidden="1">#REF!</definedName>
    <definedName name="MLNK095f577ec7854aeb98efbc368cd2c535" localSheetId="8" hidden="1">#REF!</definedName>
    <definedName name="MLNK095f577ec7854aeb98efbc368cd2c535" localSheetId="9" hidden="1">#REF!</definedName>
    <definedName name="MLNK095f577ec7854aeb98efbc368cd2c535" localSheetId="10" hidden="1">#REF!</definedName>
    <definedName name="MLNK095f577ec7854aeb98efbc368cd2c535" localSheetId="3" hidden="1">#REF!</definedName>
    <definedName name="MLNK095f577ec7854aeb98efbc368cd2c535" hidden="1">#REF!</definedName>
    <definedName name="Month_ID" hidden="1">" "</definedName>
    <definedName name="New" localSheetId="4" hidden="1">{#N/A,#N/A,FALSE,"Title Page";#N/A,#N/A,FALSE,"Conclusions";#N/A,#N/A,FALSE,"Assum.";#N/A,#N/A,FALSE,"Sun  DCF-WC-Dep";#N/A,#N/A,FALSE,"MarketValue";#N/A,#N/A,FALSE,"BalSheet";#N/A,#N/A,FALSE,"WACC";#N/A,#N/A,FALSE,"PC+ Info.";#N/A,#N/A,FALSE,"PC+Info_2"}</definedName>
    <definedName name="New" localSheetId="7" hidden="1">{#N/A,#N/A,FALSE,"Title Page";#N/A,#N/A,FALSE,"Conclusions";#N/A,#N/A,FALSE,"Assum.";#N/A,#N/A,FALSE,"Sun  DCF-WC-Dep";#N/A,#N/A,FALSE,"MarketValue";#N/A,#N/A,FALSE,"BalSheet";#N/A,#N/A,FALSE,"WACC";#N/A,#N/A,FALSE,"PC+ Info.";#N/A,#N/A,FALSE,"PC+Info_2"}</definedName>
    <definedName name="New" localSheetId="8" hidden="1">{#N/A,#N/A,FALSE,"Title Page";#N/A,#N/A,FALSE,"Conclusions";#N/A,#N/A,FALSE,"Assum.";#N/A,#N/A,FALSE,"Sun  DCF-WC-Dep";#N/A,#N/A,FALSE,"MarketValue";#N/A,#N/A,FALSE,"BalSheet";#N/A,#N/A,FALSE,"WACC";#N/A,#N/A,FALSE,"PC+ Info.";#N/A,#N/A,FALSE,"PC+Info_2"}</definedName>
    <definedName name="New" localSheetId="9" hidden="1">{#N/A,#N/A,FALSE,"Title Page";#N/A,#N/A,FALSE,"Conclusions";#N/A,#N/A,FALSE,"Assum.";#N/A,#N/A,FALSE,"Sun  DCF-WC-Dep";#N/A,#N/A,FALSE,"MarketValue";#N/A,#N/A,FALSE,"BalSheet";#N/A,#N/A,FALSE,"WACC";#N/A,#N/A,FALSE,"PC+ Info.";#N/A,#N/A,FALSE,"PC+Info_2"}</definedName>
    <definedName name="New" localSheetId="10" hidden="1">{#N/A,#N/A,FALSE,"Title Page";#N/A,#N/A,FALSE,"Conclusions";#N/A,#N/A,FALSE,"Assum.";#N/A,#N/A,FALSE,"Sun  DCF-WC-Dep";#N/A,#N/A,FALSE,"MarketValue";#N/A,#N/A,FALSE,"BalSheet";#N/A,#N/A,FALSE,"WACC";#N/A,#N/A,FALSE,"PC+ Info.";#N/A,#N/A,FALSE,"PC+Info_2"}</definedName>
    <definedName name="New" localSheetId="3" hidden="1">{#N/A,#N/A,FALSE,"Title Page";#N/A,#N/A,FALSE,"Conclusions";#N/A,#N/A,FALSE,"Assum.";#N/A,#N/A,FALSE,"Sun  DCF-WC-Dep";#N/A,#N/A,FALSE,"MarketValue";#N/A,#N/A,FALSE,"BalSheet";#N/A,#N/A,FALSE,"WACC";#N/A,#N/A,FALSE,"PC+ Info.";#N/A,#N/A,FALSE,"PC+Info_2"}</definedName>
    <definedName name="New" localSheetId="6" hidden="1">{#N/A,#N/A,FALSE,"Title Page";#N/A,#N/A,FALSE,"Conclusions";#N/A,#N/A,FALSE,"Assum.";#N/A,#N/A,FALSE,"Sun  DCF-WC-Dep";#N/A,#N/A,FALSE,"MarketValue";#N/A,#N/A,FALSE,"BalSheet";#N/A,#N/A,FALSE,"WACC";#N/A,#N/A,FALSE,"PC+ Info.";#N/A,#N/A,FALSE,"PC+Info_2"}</definedName>
    <definedName name="New" localSheetId="5" hidden="1">{#N/A,#N/A,FALSE,"Title Page";#N/A,#N/A,FALSE,"Conclusions";#N/A,#N/A,FALSE,"Assum.";#N/A,#N/A,FALSE,"Sun  DCF-WC-Dep";#N/A,#N/A,FALSE,"MarketValue";#N/A,#N/A,FALSE,"BalSheet";#N/A,#N/A,FALSE,"WACC";#N/A,#N/A,FALSE,"PC+ Info.";#N/A,#N/A,FALSE,"PC+Info_2"}</definedName>
    <definedName name="New" localSheetId="11" hidden="1">{#N/A,#N/A,FALSE,"Title Page";#N/A,#N/A,FALSE,"Conclusions";#N/A,#N/A,FALSE,"Assum.";#N/A,#N/A,FALSE,"Sun  DCF-WC-Dep";#N/A,#N/A,FALSE,"MarketValue";#N/A,#N/A,FALSE,"BalSheet";#N/A,#N/A,FALSE,"WACC";#N/A,#N/A,FALSE,"PC+ Info.";#N/A,#N/A,FALSE,"PC+Info_2"}</definedName>
    <definedName name="New" hidden="1">{#N/A,#N/A,FALSE,"Title Page";#N/A,#N/A,FALSE,"Conclusions";#N/A,#N/A,FALSE,"Assum.";#N/A,#N/A,FALSE,"Sun  DCF-WC-Dep";#N/A,#N/A,FALSE,"MarketValue";#N/A,#N/A,FALSE,"BalSheet";#N/A,#N/A,FALSE,"WACC";#N/A,#N/A,FALSE,"PC+ Info.";#N/A,#N/A,FALSE,"PC+Info_2"}</definedName>
    <definedName name="newJSECcustomer" localSheetId="10" hidden="1">{#N/A,#N/A,FALSE,"Title Page";#N/A,#N/A,FALSE,"Conclusions";#N/A,#N/A,FALSE,"Assum.";#N/A,#N/A,FALSE,"Sun  DCF-WC-Dep";#N/A,#N/A,FALSE,"MarketValue";#N/A,#N/A,FALSE,"BalSheet";#N/A,#N/A,FALSE,"WACC";#N/A,#N/A,FALSE,"PC+ Info.";#N/A,#N/A,FALSE,"PC+Info_2"}</definedName>
    <definedName name="newJSECcustomer" hidden="1">{#N/A,#N/A,FALSE,"Title Page";#N/A,#N/A,FALSE,"Conclusions";#N/A,#N/A,FALSE,"Assum.";#N/A,#N/A,FALSE,"Sun  DCF-WC-Dep";#N/A,#N/A,FALSE,"MarketValue";#N/A,#N/A,FALSE,"BalSheet";#N/A,#N/A,FALSE,"WACC";#N/A,#N/A,FALSE,"PC+ Info.";#N/A,#N/A,FALSE,"PC+Info_2"}</definedName>
    <definedName name="nn" localSheetId="10" hidden="1">{#N/A,#N/A,FALSE,"Bakersfield PCs";#N/A,#N/A,FALSE,"Bremer PCs";#N/A,#N/A,FALSE,"Bakersfield Notebooks"}</definedName>
    <definedName name="nn" hidden="1">{#N/A,#N/A,FALSE,"Bakersfield PCs";#N/A,#N/A,FALSE,"Bremer PCs";#N/A,#N/A,FALSE,"Bakersfield Notebooks"}</definedName>
    <definedName name="o" localSheetId="10" hidden="1">{#N/A,#N/A,FALSE,"New Depr Sch-150% DB";#N/A,#N/A,FALSE,"Cash Flows RLP";#N/A,#N/A,FALSE,"IRR";#N/A,#N/A,FALSE,"Proforma IS";#N/A,#N/A,FALSE,"Assumptions"}</definedName>
    <definedName name="o" hidden="1">{#N/A,#N/A,FALSE,"New Depr Sch-150% DB";#N/A,#N/A,FALSE,"Cash Flows RLP";#N/A,#N/A,FALSE,"IRR";#N/A,#N/A,FALSE,"Proforma IS";#N/A,#N/A,FALSE,"Assumptions"}</definedName>
    <definedName name="o_1" hidden="1">{#N/A,#N/A,FALSE,"New Depr Sch-150% DB";#N/A,#N/A,FALSE,"Cash Flows RLP";#N/A,#N/A,FALSE,"IRR";#N/A,#N/A,FALSE,"Proforma IS";#N/A,#N/A,FALSE,"Assumptions"}</definedName>
    <definedName name="ok" localSheetId="10" hidden="1">{"Opsys",#N/A,FALSE,"NPV_OPsys";"NT",#N/A,FALSE,"NPV_NT";"DevP",#N/A,FALSE,"NPV_DevPdt";"Office",#N/A,FALSE,"NPV_Office"}</definedName>
    <definedName name="ok" hidden="1">{"Opsys",#N/A,FALSE,"NPV_OPsys";"NT",#N/A,FALSE,"NPV_NT";"DevP",#N/A,FALSE,"NPV_DevPdt";"Office",#N/A,FALSE,"NPV_Office"}</definedName>
    <definedName name="oooo" localSheetId="10" hidden="1">{#N/A,#N/A,FALSE,"Bakersfield PCs";#N/A,#N/A,FALSE,"Bremer PCs";#N/A,#N/A,FALSE,"Bakersfield Notebooks"}</definedName>
    <definedName name="oooo" hidden="1">{#N/A,#N/A,FALSE,"Bakersfield PCs";#N/A,#N/A,FALSE,"Bremer PCs";#N/A,#N/A,FALSE,"Bakersfield Notebooks"}</definedName>
    <definedName name="Ownership" localSheetId="4" hidden="1">OFFSET([11]!Data.Top.Left,1,0)</definedName>
    <definedName name="Ownership" localSheetId="8" hidden="1">OFFSET([11]!Data.Top.Left,1,0)</definedName>
    <definedName name="Ownership" localSheetId="9" hidden="1">OFFSET([11]!Data.Top.Left,1,0)</definedName>
    <definedName name="Ownership" localSheetId="10" hidden="1">OFFSET([0]!Data.Top.Left,1,0)</definedName>
    <definedName name="Ownership" localSheetId="3" hidden="1">OFFSET([11]!Data.Top.Left,1,0)</definedName>
    <definedName name="Ownership" hidden="1">OFFSET([11]!Data.Top.Left,1,0)</definedName>
    <definedName name="PCCnewcustomer" localSheetId="10" hidden="1">{#N/A,#N/A,FALSE,"Title Page";#N/A,#N/A,FALSE,"Conclusions";#N/A,#N/A,FALSE,"Assum.";#N/A,#N/A,FALSE,"Sun  DCF-WC-Dep";#N/A,#N/A,FALSE,"MarketValue";#N/A,#N/A,FALSE,"BalSheet";#N/A,#N/A,FALSE,"WACC";#N/A,#N/A,FALSE,"PC+ Info.";#N/A,#N/A,FALSE,"PC+Info_2"}</definedName>
    <definedName name="PCCnewcustomer" hidden="1">{#N/A,#N/A,FALSE,"Title Page";#N/A,#N/A,FALSE,"Conclusions";#N/A,#N/A,FALSE,"Assum.";#N/A,#N/A,FALSE,"Sun  DCF-WC-Dep";#N/A,#N/A,FALSE,"MarketValue";#N/A,#N/A,FALSE,"BalSheet";#N/A,#N/A,FALSE,"WACC";#N/A,#N/A,FALSE,"PC+ Info.";#N/A,#N/A,FALSE,"PC+Info_2"}</definedName>
    <definedName name="ppp" localSheetId="10" hidden="1">{#N/A,#N/A,FALSE,"Bakersfield PCs";#N/A,#N/A,FALSE,"Bremer PCs";#N/A,#N/A,FALSE,"Bakersfield Notebooks"}</definedName>
    <definedName name="ppp" hidden="1">{#N/A,#N/A,FALSE,"Bakersfield PCs";#N/A,#N/A,FALSE,"Bremer PCs";#N/A,#N/A,FALSE,"Bakersfield Notebooks"}</definedName>
    <definedName name="_xlnm.Print_Area" localSheetId="4">'9 Factor Discount Analysis'!$A$1:$K$23</definedName>
    <definedName name="_xlnm.Print_Area" localSheetId="7">'Asset Vol_2'!$A$1:$Z$41</definedName>
    <definedName name="_xlnm.Print_Area" localSheetId="8">'Asset Vol_3'!$A$1:$Z$41</definedName>
    <definedName name="_xlnm.Print_Area" localSheetId="9">'Asset Vol_4'!$A$1:$Z$41</definedName>
    <definedName name="_xlnm.Print_Area" localSheetId="10">'Control Premium Summary'!$A$1:$N$56</definedName>
    <definedName name="_xlnm.Print_Area" localSheetId="3">'Discount Summary'!$A$1:$H$19</definedName>
    <definedName name="_xlnm.Print_Area" localSheetId="6">'DLOM Restricted Stock Studies'!$A$1:$K$21</definedName>
    <definedName name="_xlnm.Print_Area" localSheetId="5">'DLOM_Quantitative Methods'!$A$1:$I$53</definedName>
    <definedName name="_xlnm.Print_Area" localSheetId="12">'Equity Vol'!$A$1:$L$30</definedName>
    <definedName name="_xlnm.Print_Area" localSheetId="14">'Equity Volatility - Output'!$A$1:$P$49</definedName>
    <definedName name="_xlnm.Print_Area" localSheetId="2">Outline!$A$1:$K$18</definedName>
    <definedName name="_xlnm.Print_Area" localSheetId="11">'Risk-Free Rates'!$A$1:$G$49</definedName>
    <definedName name="_xlnm.Print_Area" localSheetId="1">Title!$A$1:$G$24</definedName>
    <definedName name="_xlnm.Print_Area">#N/A</definedName>
    <definedName name="Print_Area_Reset" localSheetId="4">OFFSET(Full_Print,0,0,[0]!Last_Row)</definedName>
    <definedName name="Print_Area_Reset" localSheetId="8">OFFSET(Full_Print,0,0,[0]!Last_Row)</definedName>
    <definedName name="Print_Area_Reset" localSheetId="9">OFFSET(Full_Print,0,0,[0]!Last_Row)</definedName>
    <definedName name="Print_Area_Reset" localSheetId="10">OFFSET(Full_Print,0,0,[0]!Last_Row)</definedName>
    <definedName name="Print_Area_Reset" localSheetId="3">OFFSET(Full_Print,0,0,[0]!Last_Row)</definedName>
    <definedName name="Print_Area_Reset">OFFSET(Full_Print,0,0,Last_Row)</definedName>
    <definedName name="_xlnm.Print_Titles" localSheetId="4">'9 Factor Discount Analysis'!$1:$5</definedName>
    <definedName name="_xlnm.Print_Titles" localSheetId="7">'Asset Vol_2'!$1:$10</definedName>
    <definedName name="_xlnm.Print_Titles" localSheetId="8">'Asset Vol_3'!$1:$10</definedName>
    <definedName name="_xlnm.Print_Titles" localSheetId="9">'Asset Vol_4'!$1:$10</definedName>
    <definedName name="_xlnm.Print_Titles" localSheetId="10">'Control Premium Summary'!$1:$24</definedName>
    <definedName name="_xlnm.Print_Titles" localSheetId="3">'Discount Summary'!$1:$5</definedName>
    <definedName name="_xlnm.Print_Titles" localSheetId="6">'DLOM Restricted Stock Studies'!$1:$5</definedName>
    <definedName name="_xlnm.Print_Titles" localSheetId="5">'DLOM_Quantitative Methods'!$1:$5</definedName>
    <definedName name="_xlnm.Print_Titles" localSheetId="12">'Equity Vol'!$1:$9</definedName>
    <definedName name="_xlnm.Print_Titles" localSheetId="2">Outline!$1:$6</definedName>
    <definedName name="_xlnm.Print_Titles" localSheetId="11">'Risk-Free Rates'!$1:$20</definedName>
    <definedName name="q" localSheetId="10" hidden="1">{#N/A,#N/A,FALSE,"Bakersfield PCs";#N/A,#N/A,FALSE,"Bremer PCs";#N/A,#N/A,FALSE,"Bakersfield Notebooks"}</definedName>
    <definedName name="q" hidden="1">{#N/A,#N/A,FALSE,"Bakersfield PCs";#N/A,#N/A,FALSE,"Bremer PCs";#N/A,#N/A,FALSE,"Bakersfield Notebooks"}</definedName>
    <definedName name="rarte" localSheetId="10" hidden="1">{#N/A,#N/A,FALSE,"Bakersfield PCs";#N/A,#N/A,FALSE,"Bremer PCs";#N/A,#N/A,FALSE,"Bakersfield Notebooks"}</definedName>
    <definedName name="rarte" hidden="1">{#N/A,#N/A,FALSE,"Bakersfield PCs";#N/A,#N/A,FALSE,"Bremer PCs";#N/A,#N/A,FALSE,"Bakersfield Notebooks"}</definedName>
    <definedName name="reality" localSheetId="10" hidden="1">{#N/A,#N/A,FALSE,"Title Page";#N/A,#N/A,FALSE,"Conclusions";#N/A,#N/A,FALSE,"Assum.";#N/A,#N/A,FALSE,"Sun  DCF-WC-Dep";#N/A,#N/A,FALSE,"MarketValue";#N/A,#N/A,FALSE,"BalSheet";#N/A,#N/A,FALSE,"WACC";#N/A,#N/A,FALSE,"PC+ Info.";#N/A,#N/A,FALSE,"PC+Info_2"}</definedName>
    <definedName name="reality" hidden="1">{#N/A,#N/A,FALSE,"Title Page";#N/A,#N/A,FALSE,"Conclusions";#N/A,#N/A,FALSE,"Assum.";#N/A,#N/A,FALSE,"Sun  DCF-WC-Dep";#N/A,#N/A,FALSE,"MarketValue";#N/A,#N/A,FALSE,"BalSheet";#N/A,#N/A,FALSE,"WACC";#N/A,#N/A,FALSE,"PC+ Info.";#N/A,#N/A,FALSE,"PC+Info_2"}</definedName>
    <definedName name="regmult" localSheetId="4" hidden="1">#REF!</definedName>
    <definedName name="regmult" localSheetId="8" hidden="1">#REF!</definedName>
    <definedName name="regmult" localSheetId="9" hidden="1">#REF!</definedName>
    <definedName name="regmult" localSheetId="10" hidden="1">#REF!</definedName>
    <definedName name="regmult" localSheetId="3" hidden="1">#REF!</definedName>
    <definedName name="regmult" hidden="1">#REF!</definedName>
    <definedName name="relativevalue2" localSheetId="10" hidden="1">{#N/A,#N/A,FALSE,"Bakersfield PCs";#N/A,#N/A,FALSE,"Bremer PCs";#N/A,#N/A,FALSE,"Bakersfield Notebooks"}</definedName>
    <definedName name="relativevalue2" hidden="1">{#N/A,#N/A,FALSE,"Bakersfield PCs";#N/A,#N/A,FALSE,"Bremer PCs";#N/A,#N/A,FALSE,"Bakersfield Notebooks"}</definedName>
    <definedName name="relativevalue3" localSheetId="10" hidden="1">{#N/A,#N/A,FALSE,"Bakersfield PCs";#N/A,#N/A,FALSE,"Bremer PCs";#N/A,#N/A,FALSE,"Bakersfield Notebooks"}</definedName>
    <definedName name="relativevalue3" hidden="1">{#N/A,#N/A,FALSE,"Bakersfield PCs";#N/A,#N/A,FALSE,"Bremer PCs";#N/A,#N/A,FALSE,"Bakersfield Notebooks"}</definedName>
    <definedName name="Report_Divisor" hidden="1">1000</definedName>
    <definedName name="Report_Divisor_000" hidden="1">1000000</definedName>
    <definedName name="Report_ID" hidden="1">"AL"</definedName>
    <definedName name="ReportGroup" hidden="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r" localSheetId="10" hidden="1">{#N/A,#N/A,FALSE,"Bakersfield PCs";#N/A,#N/A,FALSE,"Bremer PCs";#N/A,#N/A,FALSE,"Bakersfield Notebooks"}</definedName>
    <definedName name="rr" hidden="1">{#N/A,#N/A,FALSE,"Bakersfield PCs";#N/A,#N/A,FALSE,"Bremer PCs";#N/A,#N/A,FALSE,"Bakersfield Notebooks"}</definedName>
    <definedName name="SAPBEXrevision" hidden="1">1</definedName>
    <definedName name="SAPBEXsysID" localSheetId="10" hidden="1">"PBL"</definedName>
    <definedName name="SAPBEXsysID" hidden="1">"WBP"</definedName>
    <definedName name="SAPBEXwbID" localSheetId="10" hidden="1">"3JWXP1JGVR0V27DB0INATEIH7"</definedName>
    <definedName name="SAPBEXwbID" hidden="1">"46FXCF2VEJGXTVSCM8SQ5T6I0"</definedName>
    <definedName name="SAPFuncF4Help" localSheetId="4" hidden="1">Main.SAPF4Help()</definedName>
    <definedName name="SAPFuncF4Help" localSheetId="8" hidden="1">Main.SAPF4Help()</definedName>
    <definedName name="SAPFuncF4Help" localSheetId="9" hidden="1">Main.SAPF4Help()</definedName>
    <definedName name="SAPFuncF4Help" localSheetId="10" hidden="1">Main.SAPF4Help()</definedName>
    <definedName name="SAPFuncF4Help" localSheetId="3" hidden="1">Main.SAPF4Help()</definedName>
    <definedName name="SAPFuncF4Help" hidden="1">Main.SAPF4Help()</definedName>
    <definedName name="Sc" localSheetId="4" hidden="1">#REF!</definedName>
    <definedName name="Sc" localSheetId="8" hidden="1">#REF!</definedName>
    <definedName name="Sc" localSheetId="9" hidden="1">#REF!</definedName>
    <definedName name="Sc" localSheetId="10" hidden="1">#REF!</definedName>
    <definedName name="Sc" localSheetId="3" hidden="1">#REF!</definedName>
    <definedName name="Sc" hidden="1">#REF!</definedName>
    <definedName name="Science" localSheetId="10" hidden="1">{#N/A,#N/A,FALSE,"DCF Cov";#N/A,#N/A,FALSE,"dcf"}</definedName>
    <definedName name="Science" hidden="1">{#N/A,#N/A,FALSE,"DCF Cov";#N/A,#N/A,FALSE,"dcf"}</definedName>
    <definedName name="sdf" localSheetId="10" hidden="1">{#N/A,"A",FALSE,"DCF"}</definedName>
    <definedName name="sdf" hidden="1">{#N/A,"A",FALSE,"DCF"}</definedName>
    <definedName name="sencount" hidden="1">2</definedName>
    <definedName name="Sheeet1" localSheetId="10" hidden="1">{#N/A,#N/A,FALSE,"Summary";#N/A,#N/A,FALSE,"Proforma";#N/A,#N/A,FALSE,"Tx"}</definedName>
    <definedName name="Sheeet1" hidden="1">{#N/A,#N/A,FALSE,"Summary";#N/A,#N/A,FALSE,"Proforma";#N/A,#N/A,FALSE,"Tx"}</definedName>
    <definedName name="sheet" localSheetId="10" hidden="1">{#N/A,#N/A,FALSE,"Summary";#N/A,#N/A,FALSE,"Proforma";#N/A,#N/A,FALSE,"Tx"}</definedName>
    <definedName name="sheet" hidden="1">{#N/A,#N/A,FALSE,"Summary";#N/A,#N/A,FALSE,"Proforma";#N/A,#N/A,FALSE,"Tx"}</definedName>
    <definedName name="sheet1" localSheetId="10" hidden="1">{#N/A,#N/A,FALSE,"Summary";#N/A,#N/A,FALSE,"Proforma";#N/A,#N/A,FALSE,"Tx"}</definedName>
    <definedName name="sheet1" hidden="1">{#N/A,#N/A,FALSE,"Summary";#N/A,#N/A,FALSE,"Proforma";#N/A,#N/A,FALSE,"Tx"}</definedName>
    <definedName name="solver_lin" hidden="1">0</definedName>
    <definedName name="solver_num" hidden="1">0</definedName>
    <definedName name="solver_typ" hidden="1">3</definedName>
    <definedName name="solver_val" hidden="1">0</definedName>
    <definedName name="Ss" localSheetId="10" hidden="1">{#N/A,#N/A,FALSE,"Model";#N/A,#N/A,FALSE,"Gen Pts &amp; Rts 2000";#N/A,#N/A,FALSE,"AcqsAss";#N/A,#N/A,FALSE,"Acqs &amp; De Novos"}</definedName>
    <definedName name="Ss" hidden="1">{#N/A,#N/A,FALSE,"Model";#N/A,#N/A,FALSE,"Gen Pts &amp; Rts 2000";#N/A,#N/A,FALSE,"AcqsAss";#N/A,#N/A,FALSE,"Acqs &amp; De Novos"}</definedName>
    <definedName name="steve" localSheetId="10" hidden="1">{#N/A,#N/A,FALSE,"Bakersfield PCs";#N/A,#N/A,FALSE,"Bremer PCs";#N/A,#N/A,FALSE,"Bakersfield Notebooks"}</definedName>
    <definedName name="steve" hidden="1">{#N/A,#N/A,FALSE,"Bakersfield PCs";#N/A,#N/A,FALSE,"Bremer PCs";#N/A,#N/A,FALSE,"Bakersfield Notebooks"}</definedName>
    <definedName name="steve2" localSheetId="10" hidden="1">{#N/A,#N/A,FALSE,"Bakersfield PCs";#N/A,#N/A,FALSE,"Bremer PCs";#N/A,#N/A,FALSE,"Bakersfield Notebooks"}</definedName>
    <definedName name="steve2" hidden="1">{#N/A,#N/A,FALSE,"Bakersfield PCs";#N/A,#N/A,FALSE,"Bremer PCs";#N/A,#N/A,FALSE,"Bakersfield Notebooks"}</definedName>
    <definedName name="suckit" localSheetId="4" hidden="1">#REF!</definedName>
    <definedName name="suckit" localSheetId="8" hidden="1">#REF!</definedName>
    <definedName name="suckit" localSheetId="9" hidden="1">#REF!</definedName>
    <definedName name="suckit" localSheetId="10" hidden="1">#REF!</definedName>
    <definedName name="suckit" localSheetId="3" hidden="1">#REF!</definedName>
    <definedName name="suckit" hidden="1">#REF!</definedName>
    <definedName name="SuppressPressed" hidden="1">FALSE</definedName>
    <definedName name="t" localSheetId="10" hidden="1">{"bs",#N/A,FALSE,"SCF"}</definedName>
    <definedName name="t" hidden="1">{"bs",#N/A,FALSE,"SCF"}</definedName>
    <definedName name="tejhre" localSheetId="10" hidden="1">{#N/A,#N/A,FALSE,"Bakersfield PCs";#N/A,#N/A,FALSE,"Bremer PCs";#N/A,#N/A,FALSE,"Bakersfield Notebooks"}</definedName>
    <definedName name="tejhre" hidden="1">{#N/A,#N/A,FALSE,"Bakersfield PCs";#N/A,#N/A,FALSE,"Bremer PCs";#N/A,#N/A,FALSE,"Bakersfield Notebooks"}</definedName>
    <definedName name="temp" localSheetId="10" hidden="1">{#N/A,#N/A,FALSE,"Bakersfield PCs";#N/A,#N/A,FALSE,"Bremer PCs";#N/A,#N/A,FALSE,"Bakersfield Notebooks"}</definedName>
    <definedName name="temp" hidden="1">{#N/A,#N/A,FALSE,"Bakersfield PCs";#N/A,#N/A,FALSE,"Bremer PCs";#N/A,#N/A,FALSE,"Bakersfield Notebooks"}</definedName>
    <definedName name="test" localSheetId="10" hidden="1">{#N/A,#N/A,TRUE,"Tax";#N/A,#N/A,TRUE,"Structure";#N/A,#N/A,TRUE,"Accounting";#N/A,#N/A,TRUE,"Equipment"}</definedName>
    <definedName name="test" hidden="1">{#N/A,#N/A,TRUE,"Tax";#N/A,#N/A,TRUE,"Structure";#N/A,#N/A,TRUE,"Accounting";#N/A,#N/A,TRUE,"Equipment"}</definedName>
    <definedName name="TextRefCopyRangeCount" hidden="1">4</definedName>
    <definedName name="Time" hidden="1">"b1"</definedName>
    <definedName name="Toggle_DB_Location" hidden="1">2</definedName>
    <definedName name="Toggle_Freeze_View" hidden="1">0</definedName>
    <definedName name="totcap" localSheetId="4" hidden="1">#REF!,#REF!,#REF!,#REF!</definedName>
    <definedName name="totcap" localSheetId="8" hidden="1">#REF!,#REF!,#REF!,#REF!</definedName>
    <definedName name="totcap" localSheetId="9" hidden="1">#REF!,#REF!,#REF!,#REF!</definedName>
    <definedName name="totcap" localSheetId="10" hidden="1">#REF!,#REF!,#REF!,#REF!</definedName>
    <definedName name="totcap" localSheetId="3" hidden="1">#REF!,#REF!,#REF!,#REF!</definedName>
    <definedName name="totcap" hidden="1">#REF!,#REF!,#REF!,#REF!</definedName>
    <definedName name="Typist" hidden="1">"b1"</definedName>
    <definedName name="Version" hidden="1">"a1"</definedName>
    <definedName name="Version_Nbr" hidden="1">1</definedName>
    <definedName name="VersionNumber" hidden="1">"4.6.6278"</definedName>
    <definedName name="willie" localSheetId="10" hidden="1">{#N/A,#N/A,FALSE,"Bakersfield PCs";#N/A,#N/A,FALSE,"Bremer PCs";#N/A,#N/A,FALSE,"Bakersfield Notebooks"}</definedName>
    <definedName name="willie" hidden="1">{#N/A,#N/A,FALSE,"Bakersfield PCs";#N/A,#N/A,FALSE,"Bremer PCs";#N/A,#N/A,FALSE,"Bakersfield Notebooks"}</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_.Sites." localSheetId="10" hidden="1">{#N/A,#N/A,FALSE,"Bakersfield PCs";#N/A,#N/A,FALSE,"Bremer PCs";#N/A,#N/A,FALSE,"Bakersfield Notebooks"}</definedName>
    <definedName name="wrn.All._.Sites." hidden="1">{#N/A,#N/A,FALSE,"Bakersfield PCs";#N/A,#N/A,FALSE,"Bremer PCs";#N/A,#N/A,FALSE,"Bakersfield Notebooks"}</definedName>
    <definedName name="wrn.BAC" localSheetId="10" hidden="1">{#N/A,#N/A,TRUE,"Tax";#N/A,#N/A,TRUE,"Structure";#N/A,#N/A,TRUE,"Accounting";#N/A,#N/A,TRUE,"Equipment"}</definedName>
    <definedName name="wrn.BAC" hidden="1">{#N/A,#N/A,TRUE,"Tax";#N/A,#N/A,TRUE,"Structure";#N/A,#N/A,TRUE,"Accounting";#N/A,#N/A,TRUE,"Equipment"}</definedName>
    <definedName name="wrn.balance._.sheet." localSheetId="10" hidden="1">{"bs",#N/A,FALSE,"SCF"}</definedName>
    <definedName name="wrn.balance._.sheet." hidden="1">{"bs",#N/A,FALSE,"SCF"}</definedName>
    <definedName name="wrn.Basic._.Report." localSheetId="10" hidden="1">{#N/A,#N/A,FALSE,"New Depr Sch-150% DB";#N/A,#N/A,FALSE,"Cash Flows RLP";#N/A,#N/A,FALSE,"IRR";#N/A,#N/A,FALSE,"Proforma IS";#N/A,#N/A,FALSE,"Assumptions"}</definedName>
    <definedName name="wrn.Basic._.Report." hidden="1">{#N/A,#N/A,FALSE,"New Depr Sch-150% DB";#N/A,#N/A,FALSE,"Cash Flows RLP";#N/A,#N/A,FALSE,"IRR";#N/A,#N/A,FALSE,"Proforma IS";#N/A,#N/A,FALSE,"Assumptions"}</definedName>
    <definedName name="wrn.Basic._.Report.1" hidden="1">{#N/A,#N/A,FALSE,"New Depr Sch-150% DB";#N/A,#N/A,FALSE,"Cash Flows RLP";#N/A,#N/A,FALSE,"IRR";#N/A,#N/A,FALSE,"Proforma IS";#N/A,#N/A,FALSE,"Assumptions"}</definedName>
    <definedName name="wrn.BoeingAircraftChecklist." localSheetId="10" hidden="1">{#N/A,#N/A,TRUE,"Tax";#N/A,#N/A,TRUE,"Structure";#N/A,#N/A,TRUE,"Accounting";#N/A,#N/A,TRUE,"Equipment"}</definedName>
    <definedName name="wrn.BoeingAircraftChecklist." hidden="1">{#N/A,#N/A,TRUE,"Tax";#N/A,#N/A,TRUE,"Structure";#N/A,#N/A,TRUE,"Accounting";#N/A,#N/A,TRUE,"Equipment"}</definedName>
    <definedName name="wrn.brisbane." localSheetId="10" hidden="1">{#N/A,#N/A,FALSE,"LOAN";#N/A,#N/A,FALSE,"linereclass";#N/A,#N/A,FALSE,"softdraw"}</definedName>
    <definedName name="wrn.brisbane." hidden="1">{#N/A,#N/A,FALSE,"LOAN";#N/A,#N/A,FALSE,"linereclass";#N/A,#N/A,FALSE,"softdraw"}</definedName>
    <definedName name="wrn.clientcopy." localSheetId="10"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localSheetId="10" hidden="1">{#N/A,#N/A,FALSE,"Assumptions";#N/A,#N/A,FALSE,"Proforma IS";#N/A,#N/A,FALSE,"Cash Flows RLP";#N/A,#N/A,FALSE,"IRR";#N/A,#N/A,FALSE,"New Depr Sch-150% DB";#N/A,#N/A,FALSE,"Comments"}</definedName>
    <definedName name="wrn.Complete._.Report." hidden="1">{#N/A,#N/A,FALSE,"Assumptions";#N/A,#N/A,FALSE,"Proforma IS";#N/A,#N/A,FALSE,"Cash Flows RLP";#N/A,#N/A,FALSE,"IRR";#N/A,#N/A,FALSE,"New Depr Sch-150% DB";#N/A,#N/A,FALSE,"Comments"}</definedName>
    <definedName name="wrn.contributory._.asset._.charges." localSheetId="10" hidden="1">{"contributory1",#N/A,FALSE,"Contributory Assets Detail";"contributory2",#N/A,FALSE,"Contributory Assets Detail"}</definedName>
    <definedName name="wrn.contributory._.asset._.charges." hidden="1">{"contributory1",#N/A,FALSE,"Contributory Assets Detail";"contributory2",#N/A,FALSE,"Contributory Assets Detail"}</definedName>
    <definedName name="wrn.Customer_base." localSheetId="10" hidden="1">{"customer base",#N/A,FALSE,"customer_base";"customer base perf estimates",#N/A,FALSE,"customer_base"}</definedName>
    <definedName name="wrn.Customer_base." hidden="1">{"customer base",#N/A,FALSE,"customer_base";"customer base perf estimates",#N/A,FALSE,"customer_base"}</definedName>
    <definedName name="wrn.DCF." localSheetId="10" hidden="1">{#N/A,#N/A,FALSE,"DCF Cov";#N/A,#N/A,FALSE,"dcf"}</definedName>
    <definedName name="wrn.DCF." hidden="1">{#N/A,#N/A,FALSE,"DCF Cov";#N/A,#N/A,FALSE,"dcf"}</definedName>
    <definedName name="wrn.documentation." localSheetId="10" hidden="1">{"documentation1",#N/A,FALSE,"Documentation";"documentation2",#N/A,FALSE,"Documentation"}</definedName>
    <definedName name="wrn.documentation." hidden="1">{"documentation1",#N/A,FALSE,"Documentation";"documentation2",#N/A,FALSE,"Documentation"}</definedName>
    <definedName name="wrn.ESPP." localSheetId="10" hidden="1">{#N/A,#N/A,FALSE,"REPORT"}</definedName>
    <definedName name="wrn.ESPP." hidden="1">{#N/A,#N/A,FALSE,"REPORT"}</definedName>
    <definedName name="wrn.exhibits." localSheetId="10" hidden="1">{#N/A,#N/A,FALSE,"IS";#N/A,#N/A,FALSE,"BS";#N/A,#N/A,FALSE,"RMA";#N/A,#N/A,FALSE,"INCOME";#N/A,#N/A,FALSE,"DCF";#N/A,#N/A,FALSE,"MARKET"}</definedName>
    <definedName name="wrn.exhibits." hidden="1">{#N/A,#N/A,FALSE,"IS";#N/A,#N/A,FALSE,"BS";#N/A,#N/A,FALSE,"RMA";#N/A,#N/A,FALSE,"INCOME";#N/A,#N/A,FALSE,"DCF";#N/A,#N/A,FALSE,"MARKET"}</definedName>
    <definedName name="wrn.Fcst._.by._.Mon." localSheetId="10" hidden="1">{"Fcst by Mon Full",#N/A,FALSE,"Tot PalmPalm";"Fcst by Mon Full",#N/A,FALSE,"Tot Device";"Fcst by Mon Full",#N/A,FALSE,"Platform";"Fcst by Mon Full",#N/A,FALSE,"Palm.Net";"Fcst by Mon Full",#N/A,FALSE,"Elim"}</definedName>
    <definedName name="wrn.Fcst._.by._.Mon." hidden="1">{"Fcst by Mon Full",#N/A,FALSE,"Tot PalmPalm";"Fcst by Mon Full",#N/A,FALSE,"Tot Device";"Fcst by Mon Full",#N/A,FALSE,"Platform";"Fcst by Mon Full",#N/A,FALSE,"Palm.Net";"Fcst by Mon Full",#N/A,FALSE,"Elim"}</definedName>
    <definedName name="wrn.Fcst._.by._.Qtr." localSheetId="10" hidden="1">{"Fcst by Qtr Full",#N/A,FALSE,"Tot PalmPalm";"Fcst by Qtr Full",#N/A,FALSE,"Tot Device";"Fcst by Qtr Full",#N/A,FALSE,"Platform";"Fcst by Qtr Full",#N/A,FALSE,"Palm.Net";"Fcst by Qtr Full",#N/A,FALSE,"Elim"}</definedName>
    <definedName name="wrn.Fcst._.by._.Qtr." hidden="1">{"Fcst by Qtr Full",#N/A,FALSE,"Tot PalmPalm";"Fcst by Qtr Full",#N/A,FALSE,"Tot Device";"Fcst by Qtr Full",#N/A,FALSE,"Platform";"Fcst by Qtr Full",#N/A,FALSE,"Palm.Net";"Fcst by Qtr Full",#N/A,FALSE,"Elim"}</definedName>
    <definedName name="wrn.File." localSheetId="10" hidden="1">{"Summary",#N/A,FALSE,"SUMMARYPP";"BS",#N/A,FALSE,"BS";"IS",#N/A,FALSE,"IS";"RMA",#N/A,FALSE,"RMA";"VL",#N/A,FALSE,"VL";#N/A,#N/A,FALSE,"WACC";"Adj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 hidden="1">{"Summary",#N/A,FALSE,"SUMMARYPP";"BS",#N/A,FALSE,"BS";"IS",#N/A,FALSE,"IS";"RMA",#N/A,FALSE,"RMA";"VL",#N/A,FALSE,"VL";#N/A,#N/A,FALSE,"WACC";"Adj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copy." localSheetId="10"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ncial._.Statements." localSheetId="10" hidden="1">{#N/A,#N/A,FALSE,"Bal Sheet";#N/A,#N/A,FALSE,"Ret Earngs";#N/A,#N/A,FALSE,"P &amp; L";#N/A,#N/A,FALSE,"Ovhd Exp";#N/A,#N/A,FALSE,"Sales Exp";#N/A,#N/A,FALSE,"G&amp;A Exp";#N/A,#N/A,FALSE,"Other Exp";#N/A,#N/A,FALSE,"Accum Erngs"}</definedName>
    <definedName name="wrn.Financial._.Statements." hidden="1">{#N/A,#N/A,FALSE,"Bal Sheet";#N/A,#N/A,FALSE,"Ret Earngs";#N/A,#N/A,FALSE,"P &amp; L";#N/A,#N/A,FALSE,"Ovhd Exp";#N/A,#N/A,FALSE,"Sales Exp";#N/A,#N/A,FALSE,"G&amp;A Exp";#N/A,#N/A,FALSE,"Other Exp";#N/A,#N/A,FALSE,"Accum Erngs"}</definedName>
    <definedName name="wrn.Full._.Model." localSheetId="10" hidden="1">{#N/A,#N/A,FALSE,"Cov";#N/A,#N/A,FALSE,"sum";#N/A,#N/A,FALSE,"baladj";#N/A,#N/A,FALSE,"bs";#N/A,#N/A,FALSE,"is";#N/A,#N/A,FALSE,"pis";#N/A,#N/A,FALSE,"pis";#N/A,#N/A,FALSE,"cf";#N/A,#N/A,FALSE,"balhist";#N/A,#N/A,FALSE,"wc";#N/A,#N/A,FALSE,"ltd";#N/A,#N/A,FALSE,"cover";#N/A,#N/A,FALSE,"fa";#N/A,#N/A,FALSE,"tax";#N/A,#N/A,FALSE,"irr";#N/A,#N/A,FALSE,"in";#N/A,#N/A,FALSE,"DCF Cov";#N/A,#N/A,FALSE,"dcf"}</definedName>
    <definedName name="wrn.Full._.Model." hidden="1">{#N/A,#N/A,FALSE,"Cov";#N/A,#N/A,FALSE,"sum";#N/A,#N/A,FALSE,"baladj";#N/A,#N/A,FALSE,"bs";#N/A,#N/A,FALSE,"is";#N/A,#N/A,FALSE,"pis";#N/A,#N/A,FALSE,"pis";#N/A,#N/A,FALSE,"cf";#N/A,#N/A,FALSE,"balhist";#N/A,#N/A,FALSE,"wc";#N/A,#N/A,FALSE,"ltd";#N/A,#N/A,FALSE,"cover";#N/A,#N/A,FALSE,"fa";#N/A,#N/A,FALSE,"tax";#N/A,#N/A,FALSE,"irr";#N/A,#N/A,FALSE,"in";#N/A,#N/A,FALSE,"DCF Cov";#N/A,#N/A,FALSE,"dcf"}</definedName>
    <definedName name="wrn.Full._.Print." localSheetId="10" hidden="1">{"IS",#N/A,TRUE,"Consolidated";"IS Quarterly",#N/A,TRUE,"Consolidated";"BS Assets",#N/A,TRUE,"Consolidated";"BS Assets Quarterly",#N/A,TRUE,"Consolidated";"BS Liabilities",#N/A,TRUE,"Consolidated";"BS Liabilities Quarterly",#N/A,TRUE,"Consolidated";"CF",#N/A,TRUE,"Consolidated";"CF Quarterly",#N/A,TRUE,"Consolidated"}</definedName>
    <definedName name="wrn.Full._.Print." hidden="1">{"IS",#N/A,TRUE,"Consolidated";"IS Quarterly",#N/A,TRUE,"Consolidated";"BS Assets",#N/A,TRUE,"Consolidated";"BS Assets Quarterly",#N/A,TRUE,"Consolidated";"BS Liabilities",#N/A,TRUE,"Consolidated";"BS Liabilities Quarterly",#N/A,TRUE,"Consolidated";"CF",#N/A,TRUE,"Consolidated";"CF Quarterly",#N/A,TRUE,"Consolidated"}</definedName>
    <definedName name="wrn.FULL_ACQ." localSheetId="10" hidden="1">{#N/A,#N/A,FALSE,"Summary";#N/A,#N/A,FALSE,"Proforma";#N/A,#N/A,FALSE,"Tx"}</definedName>
    <definedName name="wrn.FULL_ACQ." hidden="1">{#N/A,#N/A,FALSE,"Summary";#N/A,#N/A,FALSE,"Proforma";#N/A,#N/A,FALSE,"Tx"}</definedName>
    <definedName name="wrn.intlandtot" localSheetId="10" hidden="1">{"tot",#N/A,FALSE,"Int'l Cons";"tot",#N/A,FALSE,"UK";"tot",#N/A,FALSE,"GER";"tot",#N/A,FALSE,"AUS";"tot",#N/A,FALSE,"SA";"tot",#N/A,FALSE,"FR";"tot",#N/A,FALSE,"RofW"}</definedName>
    <definedName name="wrn.intlandtot" hidden="1">{"tot",#N/A,FALSE,"Int'l Cons";"tot",#N/A,FALSE,"UK";"tot",#N/A,FALSE,"GER";"tot",#N/A,FALSE,"AUS";"tot",#N/A,FALSE,"SA";"tot",#N/A,FALSE,"FR";"tot",#N/A,FALSE,"RofW"}</definedName>
    <definedName name="wrn.LBO." localSheetId="10" hidden="1">{#N/A,#N/A,FALSE,"Cov";#N/A,#N/A,FALSE,"sum";#N/A,#N/A,FALSE,"baladj";#N/A,#N/A,FALSE,"bs";#N/A,#N/A,FALSE,"is";#N/A,#N/A,FALSE,"pis";#N/A,#N/A,FALSE,"cf";#N/A,#N/A,FALSE,"balhist";#N/A,#N/A,FALSE,"wc";#N/A,#N/A,FALSE,"ltd";#N/A,#N/A,FALSE,"cover";#N/A,#N/A,FALSE,"fa";#N/A,#N/A,FALSE,"tax";#N/A,#N/A,FALSE,"irr";#N/A,#N/A,FALSE,"in"}</definedName>
    <definedName name="wrn.LBO." hidden="1">{#N/A,#N/A,FALSE,"Cov";#N/A,#N/A,FALSE,"sum";#N/A,#N/A,FALSE,"baladj";#N/A,#N/A,FALSE,"bs";#N/A,#N/A,FALSE,"is";#N/A,#N/A,FALSE,"pis";#N/A,#N/A,FALSE,"cf";#N/A,#N/A,FALSE,"balhist";#N/A,#N/A,FALSE,"wc";#N/A,#N/A,FALSE,"ltd";#N/A,#N/A,FALSE,"cover";#N/A,#N/A,FALSE,"fa";#N/A,#N/A,FALSE,"tax";#N/A,#N/A,FALSE,"irr";#N/A,#N/A,FALSE,"in"}</definedName>
    <definedName name="wrn.northpoint." localSheetId="10" hidden="1">{#N/A,#N/A,FALSE,"softdraw";#N/A,#N/A,FALSE,"linereclass";"northpint loan",#N/A,FALSE,"LOAN"}</definedName>
    <definedName name="wrn.northpoint." hidden="1">{#N/A,#N/A,FALSE,"softdraw";#N/A,#N/A,FALSE,"linereclass";"northpint loan",#N/A,FALSE,"LOAN"}</definedName>
    <definedName name="wrn.Olk._.by._.Qtr." localSheetId="10" hidden="1">{"Olk by Qtr Full",#N/A,FALSE,"Tot PalmPalm";"Olk by Qtr Full",#N/A,FALSE,"Tot Device";"Olk by Qtr Full",#N/A,FALSE,"Platform";"Olk by Qtr Full",#N/A,FALSE,"Palm.Net";"Olk by Qtr Full",#N/A,FALSE,"Elim"}</definedName>
    <definedName name="wrn.Olk._.by._.Qtr." hidden="1">{"Olk by Qtr Full",#N/A,FALSE,"Tot PalmPalm";"Olk by Qtr Full",#N/A,FALSE,"Tot Device";"Olk by Qtr Full",#N/A,FALSE,"Platform";"Olk by Qtr Full",#N/A,FALSE,"Palm.Net";"Olk by Qtr Full",#N/A,FALSE,"Elim"}</definedName>
    <definedName name="wrn.OUTPUT." localSheetId="10" hidden="1">{"DCF","UPSIDE CASE",FALSE,"Sheet1";"DCF","BASE CASE",FALSE,"Sheet1";"DCF","DOWNSIDE CASE",FALSE,"Sheet1"}</definedName>
    <definedName name="wrn.OUTPUT." hidden="1">{"DCF","UPSIDE CASE",FALSE,"Sheet1";"DCF","BASE CASE",FALSE,"Sheet1";"DCF","DOWNSIDE CASE",FALSE,"Sheet1"}</definedName>
    <definedName name="wrn.PaperPanel." localSheetId="10" hidden="1">{#N/A,#N/A,FALSE,"Control"}</definedName>
    <definedName name="wrn.PaperPanel." hidden="1">{#N/A,#N/A,FALSE,"Control"}</definedName>
    <definedName name="wrn.partial._.Print." localSheetId="10" hidden="1">{"IS",#N/A,TRUE,"Consolidated";"IS Quarterly",#N/A,TRUE,"Consolidated";"BS Assets",#N/A,TRUE,"Consolidated";"BS Assets Quarterly",#N/A,TRUE,"Consolidated";"BS Liabilities",#N/A,TRUE,"Consolidated";"BS Liabilities Quarterly",#N/A,TRUE,"Consolidated";"CF",#N/A,TRUE,"Consolidated";"CF Quarterly",#N/A,TRUE,"Consolidated"}</definedName>
    <definedName name="wrn.partial._.Print." hidden="1">{"IS",#N/A,TRUE,"Consolidated";"IS Quarterly",#N/A,TRUE,"Consolidated";"BS Assets",#N/A,TRUE,"Consolidated";"BS Assets Quarterly",#N/A,TRUE,"Consolidated";"BS Liabilities",#N/A,TRUE,"Consolidated";"BS Liabilities Quarterly",#N/A,TRUE,"Consolidated";"CF",#N/A,TRUE,"Consolidated";"CF Quarterly",#N/A,TRUE,"Consolidated"}</definedName>
    <definedName name="wrn.PARTNERSHIP." localSheetId="10" hidden="1">{#N/A,#N/A,FALSE,"Ptnr Cash Flow";#N/A,#N/A,FALSE,"Pship Summary";#N/A,#N/A,FALSE,"Pship Proforma";#N/A,#N/A,FALSE,"Tx"}</definedName>
    <definedName name="wrn.PARTNERSHIP." hidden="1">{#N/A,#N/A,FALSE,"Ptnr Cash Flow";#N/A,#N/A,FALSE,"Pship Summary";#N/A,#N/A,FALSE,"Pship Proforma";#N/A,#N/A,FALSE,"Tx"}</definedName>
    <definedName name="wrn.print." localSheetId="10" hidden="1">{#N/A,#N/A,FALSE,"Japan 2003";#N/A,#N/A,FALSE,"Sheet2"}</definedName>
    <definedName name="wrn.print." hidden="1">{#N/A,#N/A,FALSE,"Japan 2003";#N/A,#N/A,FALSE,"Sheet2"}</definedName>
    <definedName name="wrn.print._.all._.sheets." localSheetId="10"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wrn.print._.all._.sheets."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wrn.Print._.Disk." localSheetId="10"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graphs." localSheetId="10"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raw._.data._.entry." localSheetId="10" hidden="1">{"inputs raw data",#N/A,TRUE,"INPUT"}</definedName>
    <definedName name="wrn.print._.raw._.data._.entry." hidden="1">{"inputs raw data",#N/A,TRUE,"INPUT"}</definedName>
    <definedName name="wrn.print._.summary._.sheets." localSheetId="10" hidden="1">{"summary1",#N/A,TRUE,"Comps";"summary2",#N/A,TRUE,"Comps";"summary3",#N/A,TRUE,"Comps"}</definedName>
    <definedName name="wrn.print._.summary._.sheets." hidden="1">{"summary1",#N/A,TRUE,"Comps";"summary2",#N/A,TRUE,"Comps";"summary3",#N/A,TRUE,"Comps"}</definedName>
    <definedName name="wrn.PrintSelected." localSheetId="10" hidden="1">{"ModelPage1",#N/A,TRUE,"Model";"ModelSum_Debt",#N/A,TRUE,"Model"}</definedName>
    <definedName name="wrn.PrintSelected." hidden="1">{"ModelPage1",#N/A,TRUE,"Model";"ModelSum_Debt",#N/A,TRUE,"Model"}</definedName>
    <definedName name="wrn.Relevant." localSheetId="4" hidden="1">{#N/A,#N/A,FALSE,"Title Page";#N/A,#N/A,FALSE,"Conclusions";#N/A,#N/A,FALSE,"Assum.";#N/A,#N/A,FALSE,"Sun  DCF-WC-Dep";#N/A,#N/A,FALSE,"MarketValue";#N/A,#N/A,FALSE,"BalSheet";#N/A,#N/A,FALSE,"WACC";#N/A,#N/A,FALSE,"PC+ Info.";#N/A,#N/A,FALSE,"PC+Info_2"}</definedName>
    <definedName name="wrn.Relevant." localSheetId="7" hidden="1">{#N/A,#N/A,FALSE,"Title Page";#N/A,#N/A,FALSE,"Conclusions";#N/A,#N/A,FALSE,"Assum.";#N/A,#N/A,FALSE,"Sun  DCF-WC-Dep";#N/A,#N/A,FALSE,"MarketValue";#N/A,#N/A,FALSE,"BalSheet";#N/A,#N/A,FALSE,"WACC";#N/A,#N/A,FALSE,"PC+ Info.";#N/A,#N/A,FALSE,"PC+Info_2"}</definedName>
    <definedName name="wrn.Relevant." localSheetId="8" hidden="1">{#N/A,#N/A,FALSE,"Title Page";#N/A,#N/A,FALSE,"Conclusions";#N/A,#N/A,FALSE,"Assum.";#N/A,#N/A,FALSE,"Sun  DCF-WC-Dep";#N/A,#N/A,FALSE,"MarketValue";#N/A,#N/A,FALSE,"BalSheet";#N/A,#N/A,FALSE,"WACC";#N/A,#N/A,FALSE,"PC+ Info.";#N/A,#N/A,FALSE,"PC+Info_2"}</definedName>
    <definedName name="wrn.Relevant." localSheetId="9" hidden="1">{#N/A,#N/A,FALSE,"Title Page";#N/A,#N/A,FALSE,"Conclusions";#N/A,#N/A,FALSE,"Assum.";#N/A,#N/A,FALSE,"Sun  DCF-WC-Dep";#N/A,#N/A,FALSE,"MarketValue";#N/A,#N/A,FALSE,"BalSheet";#N/A,#N/A,FALSE,"WACC";#N/A,#N/A,FALSE,"PC+ Info.";#N/A,#N/A,FALSE,"PC+Info_2"}</definedName>
    <definedName name="wrn.Relevant." localSheetId="10" hidden="1">{#N/A,#N/A,FALSE,"Title Page";#N/A,#N/A,FALSE,"Conclusions";#N/A,#N/A,FALSE,"Assum.";#N/A,#N/A,FALSE,"Sun  DCF-WC-Dep";#N/A,#N/A,FALSE,"MarketValue";#N/A,#N/A,FALSE,"BalSheet";#N/A,#N/A,FALSE,"WACC";#N/A,#N/A,FALSE,"PC+ Info.";#N/A,#N/A,FALSE,"PC+Info_2"}</definedName>
    <definedName name="wrn.Relevant." localSheetId="3" hidden="1">{#N/A,#N/A,FALSE,"Title Page";#N/A,#N/A,FALSE,"Conclusions";#N/A,#N/A,FALSE,"Assum.";#N/A,#N/A,FALSE,"Sun  DCF-WC-Dep";#N/A,#N/A,FALSE,"MarketValue";#N/A,#N/A,FALSE,"BalSheet";#N/A,#N/A,FALSE,"WACC";#N/A,#N/A,FALSE,"PC+ Info.";#N/A,#N/A,FALSE,"PC+Info_2"}</definedName>
    <definedName name="wrn.Relevant." localSheetId="6" hidden="1">{#N/A,#N/A,FALSE,"Title Page";#N/A,#N/A,FALSE,"Conclusions";#N/A,#N/A,FALSE,"Assum.";#N/A,#N/A,FALSE,"Sun  DCF-WC-Dep";#N/A,#N/A,FALSE,"MarketValue";#N/A,#N/A,FALSE,"BalSheet";#N/A,#N/A,FALSE,"WACC";#N/A,#N/A,FALSE,"PC+ Info.";#N/A,#N/A,FALSE,"PC+Info_2"}</definedName>
    <definedName name="wrn.Relevant." localSheetId="5" hidden="1">{#N/A,#N/A,FALSE,"Title Page";#N/A,#N/A,FALSE,"Conclusions";#N/A,#N/A,FALSE,"Assum.";#N/A,#N/A,FALSE,"Sun  DCF-WC-Dep";#N/A,#N/A,FALSE,"MarketValue";#N/A,#N/A,FALSE,"BalSheet";#N/A,#N/A,FALSE,"WACC";#N/A,#N/A,FALSE,"PC+ Info.";#N/A,#N/A,FALSE,"PC+Info_2"}</definedName>
    <definedName name="wrn.Relevant." localSheetId="11" hidden="1">{#N/A,#N/A,FALSE,"Title Page";#N/A,#N/A,FALSE,"Conclusions";#N/A,#N/A,FALSE,"Assum.";#N/A,#N/A,FALSE,"Sun  DCF-WC-Dep";#N/A,#N/A,FALSE,"MarketValue";#N/A,#N/A,FALSE,"BalSheet";#N/A,#N/A,FALSE,"WACC";#N/A,#N/A,FALSE,"PC+ Info.";#N/A,#N/A,FALSE,"PC+Info_2"}</definedName>
    <definedName name="wrn.Relevant." hidden="1">{#N/A,#N/A,FALSE,"Title Page";#N/A,#N/A,FALSE,"Conclusions";#N/A,#N/A,FALSE,"Assum.";#N/A,#N/A,FALSE,"Sun  DCF-WC-Dep";#N/A,#N/A,FALSE,"MarketValue";#N/A,#N/A,FALSE,"BalSheet";#N/A,#N/A,FALSE,"WACC";#N/A,#N/A,FALSE,"PC+ Info.";#N/A,#N/A,FALSE,"PC+Info_2"}</definedName>
    <definedName name="wrn.Relevant1." localSheetId="10"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p." localSheetId="10" hidden="1">{#N/A,#N/A,FALSE,"Exh. 5A";#N/A,#N/A,FALSE,"Exh. 6"}</definedName>
    <definedName name="wrn.rep." hidden="1">{#N/A,#N/A,FALSE,"Exh. 5A";#N/A,#N/A,FALSE,"Exh. 6"}</definedName>
    <definedName name="wrn.REPORT." localSheetId="10" hidden="1">{"BS",#N/A,FALSE,"BS";"IS",#N/A,FALSE,"IS";"RMA",#N/A,FALSE,"RMA";"WF exh",#N/A,FALSE,"WORKFORCE";"Software Exh",#N/A,FALSE,"SOFTWARE";"Cust Base Exh 1",#N/A,FALSE,"CUSTOMER BASE";"Cust Base Exh 2",#N/A,FALSE,"DISTRIBUTORS";"TM",#N/A,FALSE,"TM";"Pat 1 Exh",#N/A,FALSE,"PAT(1)";"Pat 2 Exh",#N/A,FALSE,"PAT(2)";"Pat 3 Exh",#N/A,FALSE,"PAT(3)";"Pat 4 Exh",#N/A,FALSE,"PAT(4)";"Pat 5 Exh",#N/A,FALSE,"PAT(5)";"Pat 6 Exh",#N/A,FALSE,"PAT(6)";"Pat 7 Exh",#N/A,FALSE,"PAT(7)";"Pat 8 Exh",#N/A,FALSE,"PAT(8)";"Pat 9 Exh",#N/A,FALSE,"PAT(9)";"Pat 10 Exh",#N/A,FALSE,"PAT(10)";"Non Compete Exh",#N/A,FALSE,"COMPETE"}</definedName>
    <definedName name="wrn.REPORT." hidden="1">{"BS",#N/A,FALSE,"BS";"IS",#N/A,FALSE,"IS";"RMA",#N/A,FALSE,"RMA";"WF exh",#N/A,FALSE,"WORKFORCE";"Software Exh",#N/A,FALSE,"SOFTWARE";"Cust Base Exh 1",#N/A,FALSE,"CUSTOMER BASE";"Cust Base Exh 2",#N/A,FALSE,"DISTRIBUTORS";"TM",#N/A,FALSE,"TM";"Pat 1 Exh",#N/A,FALSE,"PAT(1)";"Pat 2 Exh",#N/A,FALSE,"PAT(2)";"Pat 3 Exh",#N/A,FALSE,"PAT(3)";"Pat 4 Exh",#N/A,FALSE,"PAT(4)";"Pat 5 Exh",#N/A,FALSE,"PAT(5)";"Pat 6 Exh",#N/A,FALSE,"PAT(6)";"Pat 7 Exh",#N/A,FALSE,"PAT(7)";"Pat 8 Exh",#N/A,FALSE,"PAT(8)";"Pat 9 Exh",#N/A,FALSE,"PAT(9)";"Pat 10 Exh",#N/A,FALSE,"PAT(10)";"Non Compete Exh",#N/A,FALSE,"COMPETE"}</definedName>
    <definedName name="wrn.revenue._.detail." localSheetId="10" hidden="1">{"revenue detail 1",#N/A,FALSE,"Revenue Detail";"revenue detail 2",#N/A,FALSE,"Revenue Detail";"revenue detail 3",#N/A,FALSE,"Revenue Detail";"revenue detail 4",#N/A,FALSE,"Revenue Detail"}</definedName>
    <definedName name="wrn.revenue._.detail." hidden="1">{"revenue detail 1",#N/A,FALSE,"Revenue Detail";"revenue detail 2",#N/A,FALSE,"Revenue Detail";"revenue detail 3",#N/A,FALSE,"Revenue Detail";"revenue detail 4",#N/A,FALSE,"Revenue Detail"}</definedName>
    <definedName name="wrn.Revs." localSheetId="4" hidden="1">{"Base_rev",#N/A,FALSE,"Proj_IS_Base";"Projrev",#N/A,FALSE,"Proj_IS_wOTLC";"Delta",#N/A,FALSE,"Delta Rev_PV"}</definedName>
    <definedName name="wrn.Revs." localSheetId="7" hidden="1">{"Base_rev",#N/A,FALSE,"Proj_IS_Base";"Projrev",#N/A,FALSE,"Proj_IS_wOTLC";"Delta",#N/A,FALSE,"Delta Rev_PV"}</definedName>
    <definedName name="wrn.Revs." localSheetId="8" hidden="1">{"Base_rev",#N/A,FALSE,"Proj_IS_Base";"Projrev",#N/A,FALSE,"Proj_IS_wOTLC";"Delta",#N/A,FALSE,"Delta Rev_PV"}</definedName>
    <definedName name="wrn.Revs." localSheetId="9" hidden="1">{"Base_rev",#N/A,FALSE,"Proj_IS_Base";"Projrev",#N/A,FALSE,"Proj_IS_wOTLC";"Delta",#N/A,FALSE,"Delta Rev_PV"}</definedName>
    <definedName name="wrn.Revs." localSheetId="10" hidden="1">{"Base_rev",#N/A,FALSE,"Proj_IS_Base";"Projrev",#N/A,FALSE,"Proj_IS_wOTLC";"Delta",#N/A,FALSE,"Delta Rev_PV"}</definedName>
    <definedName name="wrn.Revs." localSheetId="3" hidden="1">{"Base_rev",#N/A,FALSE,"Proj_IS_Base";"Projrev",#N/A,FALSE,"Proj_IS_wOTLC";"Delta",#N/A,FALSE,"Delta Rev_PV"}</definedName>
    <definedName name="wrn.Revs." localSheetId="6" hidden="1">{"Base_rev",#N/A,FALSE,"Proj_IS_Base";"Projrev",#N/A,FALSE,"Proj_IS_wOTLC";"Delta",#N/A,FALSE,"Delta Rev_PV"}</definedName>
    <definedName name="wrn.Revs." localSheetId="5" hidden="1">{"Base_rev",#N/A,FALSE,"Proj_IS_Base";"Projrev",#N/A,FALSE,"Proj_IS_wOTLC";"Delta",#N/A,FALSE,"Delta Rev_PV"}</definedName>
    <definedName name="wrn.Revs." localSheetId="11" hidden="1">{"Base_rev",#N/A,FALSE,"Proj_IS_Base";"Projrev",#N/A,FALSE,"Proj_IS_wOTLC";"Delta",#N/A,FALSE,"Delta Rev_PV"}</definedName>
    <definedName name="wrn.Revs." hidden="1">{"Base_rev",#N/A,FALSE,"Proj_IS_Base";"Projrev",#N/A,FALSE,"Proj_IS_wOTLC";"Delta",#N/A,FALSE,"Delta Rev_PV"}</definedName>
    <definedName name="wrn.Riverwood_comp_model." localSheetId="10" hidden="1">{#N/A,#N/A,FALSE,"Che-Ga";#N/A,#N/A,FALSE,"Iv-Sm";#N/A,#N/A,FALSE,"So-We";#N/A,#N/A,FALSE,"Me-Po";#N/A,#N/A,FALSE,"Be-Bo";#N/A,#N/A,FALSE,"Cha-Ki";#N/A,#N/A,FALSE,"In";#N/A,#N/A,FALSE,"Schedule 23";#N/A,#N/A,FALSE,"Schedule 22";#N/A,#N/A,FALSE,"WACC"}</definedName>
    <definedName name="wrn.Riverwood_comp_model." hidden="1">{#N/A,#N/A,FALSE,"Che-Ga";#N/A,#N/A,FALSE,"Iv-Sm";#N/A,#N/A,FALSE,"So-We";#N/A,#N/A,FALSE,"Me-Po";#N/A,#N/A,FALSE,"Be-Bo";#N/A,#N/A,FALSE,"Cha-Ki";#N/A,#N/A,FALSE,"In";#N/A,#N/A,FALSE,"Schedule 23";#N/A,#N/A,FALSE,"Schedule 22";#N/A,#N/A,FALSE,"WACC"}</definedName>
    <definedName name="wrn.ROUGH." localSheetId="10" hidden="1">{#N/A,#N/A,FALSE,"ROA";#N/A,#N/A,FALSE,"ROI";#N/A,#N/A,FALSE,"EBIT";#N/A,#N/A,FALSE,"MULT X"}</definedName>
    <definedName name="wrn.ROUGH." hidden="1">{#N/A,#N/A,FALSE,"ROA";#N/A,#N/A,FALSE,"ROI";#N/A,#N/A,FALSE,"EBIT";#N/A,#N/A,FALSE,"MULT X"}</definedName>
    <definedName name="wrn.rptexhibits." localSheetId="10" hidden="1">{#N/A,#N/A,FALSE,"BS";#N/A,#N/A,FALSE,"IS";#N/A,#N/A,FALSE,"RMA ";#N/A,#N/A,FALSE,"ADJ IS";#N/A,#N/A,FALSE,"DCF"}</definedName>
    <definedName name="wrn.rptexhibits." hidden="1">{#N/A,#N/A,FALSE,"BS";#N/A,#N/A,FALSE,"IS";#N/A,#N/A,FALSE,"RMA ";#N/A,#N/A,FALSE,"ADJ IS";#N/A,#N/A,FALSE,"DCF"}</definedName>
    <definedName name="wrn.subs." localSheetId="10" hidden="1">{#N/A,#N/A,FALSE,"Comp - War";#N/A,#N/A,FALSE,"Comp - War"}</definedName>
    <definedName name="wrn.subs." hidden="1">{#N/A,#N/A,FALSE,"Comp - War";#N/A,#N/A,FALSE,"Comp - War"}</definedName>
    <definedName name="wrn.sum." localSheetId="4" hidden="1">{"Opsys",#N/A,FALSE,"NPV_OPsys";"NT",#N/A,FALSE,"NPV_NT";"DevP",#N/A,FALSE,"NPV_DevPdt";"Office",#N/A,FALSE,"NPV_Office"}</definedName>
    <definedName name="wrn.sum." localSheetId="7" hidden="1">{"Opsys",#N/A,FALSE,"NPV_OPsys";"NT",#N/A,FALSE,"NPV_NT";"DevP",#N/A,FALSE,"NPV_DevPdt";"Office",#N/A,FALSE,"NPV_Office"}</definedName>
    <definedName name="wrn.sum." localSheetId="8" hidden="1">{"Opsys",#N/A,FALSE,"NPV_OPsys";"NT",#N/A,FALSE,"NPV_NT";"DevP",#N/A,FALSE,"NPV_DevPdt";"Office",#N/A,FALSE,"NPV_Office"}</definedName>
    <definedName name="wrn.sum." localSheetId="9" hidden="1">{"Opsys",#N/A,FALSE,"NPV_OPsys";"NT",#N/A,FALSE,"NPV_NT";"DevP",#N/A,FALSE,"NPV_DevPdt";"Office",#N/A,FALSE,"NPV_Office"}</definedName>
    <definedName name="wrn.sum." localSheetId="10" hidden="1">{"Opsys",#N/A,FALSE,"NPV_OPsys";"NT",#N/A,FALSE,"NPV_NT";"DevP",#N/A,FALSE,"NPV_DevPdt";"Office",#N/A,FALSE,"NPV_Office"}</definedName>
    <definedName name="wrn.sum." localSheetId="3" hidden="1">{"Opsys",#N/A,FALSE,"NPV_OPsys";"NT",#N/A,FALSE,"NPV_NT";"DevP",#N/A,FALSE,"NPV_DevPdt";"Office",#N/A,FALSE,"NPV_Office"}</definedName>
    <definedName name="wrn.sum." localSheetId="6" hidden="1">{"Opsys",#N/A,FALSE,"NPV_OPsys";"NT",#N/A,FALSE,"NPV_NT";"DevP",#N/A,FALSE,"NPV_DevPdt";"Office",#N/A,FALSE,"NPV_Office"}</definedName>
    <definedName name="wrn.sum." localSheetId="5" hidden="1">{"Opsys",#N/A,FALSE,"NPV_OPsys";"NT",#N/A,FALSE,"NPV_NT";"DevP",#N/A,FALSE,"NPV_DevPdt";"Office",#N/A,FALSE,"NPV_Office"}</definedName>
    <definedName name="wrn.sum." localSheetId="11" hidden="1">{"Opsys",#N/A,FALSE,"NPV_OPsys";"NT",#N/A,FALSE,"NPV_NT";"DevP",#N/A,FALSE,"NPV_DevPdt";"Office",#N/A,FALSE,"NPV_Office"}</definedName>
    <definedName name="wrn.sum." hidden="1">{"Opsys",#N/A,FALSE,"NPV_OPsys";"NT",#N/A,FALSE,"NPV_NT";"DevP",#N/A,FALSE,"NPV_DevPdt";"Office",#N/A,FALSE,"NPV_Office"}</definedName>
    <definedName name="wrn.summary._.schedules." localSheetId="10" hidden="1">{"summary1",#N/A,FALSE,"Summary of Values";"summary2",#N/A,FALSE,"Summary of Values"}</definedName>
    <definedName name="wrn.summary._.schedules." hidden="1">{"summary1",#N/A,FALSE,"Summary of Values";"summary2",#N/A,FALSE,"Summary of Values"}</definedName>
    <definedName name="wrn.technology." localSheetId="10" hidden="1">{"developed valuation",#N/A,FALSE,"Valuation Analysis";"developed income statement",#N/A,FALSE,"Abbreviated Income Statement";"inprocess valuation",#N/A,FALSE,"Valuation Analysis";"inprocess income statement",#N/A,FALSE,"Abbreviated Income Statement"}</definedName>
    <definedName name="wrn.technology." hidden="1">{"developed valuation",#N/A,FALSE,"Valuation Analysis";"developed income statement",#N/A,FALSE,"Abbreviated Income Statement";"inprocess valuation",#N/A,FALSE,"Valuation Analysis";"inprocess income statement",#N/A,FALSE,"Abbreviated Income Statement"}</definedName>
    <definedName name="wrn.Three._.Month._.I.S." localSheetId="10" hidden="1">{"Landscape Detail IS",#N/A,FALSE,"Three Months Ended 8.31.96";"Portrait Summary IS",#N/A,FALSE,"Three Months Ended 8.31.96"}</definedName>
    <definedName name="wrn.Three._.Month._.I.S." hidden="1">{"Landscape Detail IS",#N/A,FALSE,"Three Months Ended 8.31.96";"Portrait Summary IS",#N/A,FALSE,"Three Months Ended 8.31.96"}</definedName>
    <definedName name="wrn.trademark._.and._.trade._.name." localSheetId="10" hidden="1">{"trademark1",#N/A,FALSE,"Trademark(s) and Trade Name(s)"}</definedName>
    <definedName name="wrn.trademark._.and._.trade._.name." hidden="1">{"trademark1",#N/A,FALSE,"Trademark(s) and Trade Name(s)"}</definedName>
    <definedName name="wrn.wara." localSheetId="10" hidden="1">{"weighted average returns",#N/A,FALSE,"WACC and WARA"}</definedName>
    <definedName name="wrn.wara." hidden="1">{"weighted average returns",#N/A,FALSE,"WACC and WARA"}</definedName>
    <definedName name="wrn.Whole._.Model." localSheetId="10" hidden="1">{#N/A,#N/A,FALSE,"Model";#N/A,#N/A,FALSE,"Gen Pts &amp; Rts 2000";#N/A,#N/A,FALSE,"AcqsAss";#N/A,#N/A,FALSE,"Acqs &amp; De Novos"}</definedName>
    <definedName name="wrn.Whole._.Model." hidden="1">{#N/A,#N/A,FALSE,"Model";#N/A,#N/A,FALSE,"Gen Pts &amp; Rts 2000";#N/A,#N/A,FALSE,"AcqsAss";#N/A,#N/A,FALSE,"Acqs &amp; De Novos"}</definedName>
    <definedName name="wrn.work._.paper._.shcedules." localSheetId="10" hidden="1">{"summary1",#N/A,FALSE,"Summary of Values";"summary2",#N/A,FALSE,"Summary of Values";"weighted average returns",#N/A,FALSE,"WACC and WARA";"fixed asset detail",#N/A,FALSE,"Fixed Asset Detail"}</definedName>
    <definedName name="wrn.work._.paper._.shcedules." hidden="1">{"summary1",#N/A,FALSE,"Summary of Values";"summary2",#N/A,FALSE,"Summary of Values";"weighted average returns",#N/A,FALSE,"WACC and WARA";"fixed asset detail",#N/A,FALSE,"Fixed Asset Detail"}</definedName>
    <definedName name="wvu.inputs._.raw._.data."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localSheetId="10" hidden="1">{#N/A,#N/A,FALSE,"Bakersfield PCs";#N/A,#N/A,FALSE,"Bremer PCs";#N/A,#N/A,FALSE,"Bakersfield Notebooks"}</definedName>
    <definedName name="ww" hidden="1">{#N/A,#N/A,FALSE,"Bakersfield PCs";#N/A,#N/A,FALSE,"Bremer PCs";#N/A,#N/A,FALSE,"Bakersfield Notebooks"}</definedName>
    <definedName name="ww.Rele" localSheetId="4" hidden="1">{#N/A,#N/A,FALSE,"Title Page";#N/A,#N/A,FALSE,"Conclusions";#N/A,#N/A,FALSE,"Assum.";#N/A,#N/A,FALSE,"Sun  DCF-WC-Dep";#N/A,#N/A,FALSE,"MarketValue";#N/A,#N/A,FALSE,"BalSheet";#N/A,#N/A,FALSE,"WACC";#N/A,#N/A,FALSE,"PC+ Info.";#N/A,#N/A,FALSE,"PC+Info_2"}</definedName>
    <definedName name="ww.Rele" localSheetId="7" hidden="1">{#N/A,#N/A,FALSE,"Title Page";#N/A,#N/A,FALSE,"Conclusions";#N/A,#N/A,FALSE,"Assum.";#N/A,#N/A,FALSE,"Sun  DCF-WC-Dep";#N/A,#N/A,FALSE,"MarketValue";#N/A,#N/A,FALSE,"BalSheet";#N/A,#N/A,FALSE,"WACC";#N/A,#N/A,FALSE,"PC+ Info.";#N/A,#N/A,FALSE,"PC+Info_2"}</definedName>
    <definedName name="ww.Rele" localSheetId="8" hidden="1">{#N/A,#N/A,FALSE,"Title Page";#N/A,#N/A,FALSE,"Conclusions";#N/A,#N/A,FALSE,"Assum.";#N/A,#N/A,FALSE,"Sun  DCF-WC-Dep";#N/A,#N/A,FALSE,"MarketValue";#N/A,#N/A,FALSE,"BalSheet";#N/A,#N/A,FALSE,"WACC";#N/A,#N/A,FALSE,"PC+ Info.";#N/A,#N/A,FALSE,"PC+Info_2"}</definedName>
    <definedName name="ww.Rele" localSheetId="9" hidden="1">{#N/A,#N/A,FALSE,"Title Page";#N/A,#N/A,FALSE,"Conclusions";#N/A,#N/A,FALSE,"Assum.";#N/A,#N/A,FALSE,"Sun  DCF-WC-Dep";#N/A,#N/A,FALSE,"MarketValue";#N/A,#N/A,FALSE,"BalSheet";#N/A,#N/A,FALSE,"WACC";#N/A,#N/A,FALSE,"PC+ Info.";#N/A,#N/A,FALSE,"PC+Info_2"}</definedName>
    <definedName name="ww.Rele" localSheetId="10" hidden="1">{#N/A,#N/A,FALSE,"Title Page";#N/A,#N/A,FALSE,"Conclusions";#N/A,#N/A,FALSE,"Assum.";#N/A,#N/A,FALSE,"Sun  DCF-WC-Dep";#N/A,#N/A,FALSE,"MarketValue";#N/A,#N/A,FALSE,"BalSheet";#N/A,#N/A,FALSE,"WACC";#N/A,#N/A,FALSE,"PC+ Info.";#N/A,#N/A,FALSE,"PC+Info_2"}</definedName>
    <definedName name="ww.Rele" localSheetId="3" hidden="1">{#N/A,#N/A,FALSE,"Title Page";#N/A,#N/A,FALSE,"Conclusions";#N/A,#N/A,FALSE,"Assum.";#N/A,#N/A,FALSE,"Sun  DCF-WC-Dep";#N/A,#N/A,FALSE,"MarketValue";#N/A,#N/A,FALSE,"BalSheet";#N/A,#N/A,FALSE,"WACC";#N/A,#N/A,FALSE,"PC+ Info.";#N/A,#N/A,FALSE,"PC+Info_2"}</definedName>
    <definedName name="ww.Rele" localSheetId="6" hidden="1">{#N/A,#N/A,FALSE,"Title Page";#N/A,#N/A,FALSE,"Conclusions";#N/A,#N/A,FALSE,"Assum.";#N/A,#N/A,FALSE,"Sun  DCF-WC-Dep";#N/A,#N/A,FALSE,"MarketValue";#N/A,#N/A,FALSE,"BalSheet";#N/A,#N/A,FALSE,"WACC";#N/A,#N/A,FALSE,"PC+ Info.";#N/A,#N/A,FALSE,"PC+Info_2"}</definedName>
    <definedName name="ww.Rele" localSheetId="5" hidden="1">{#N/A,#N/A,FALSE,"Title Page";#N/A,#N/A,FALSE,"Conclusions";#N/A,#N/A,FALSE,"Assum.";#N/A,#N/A,FALSE,"Sun  DCF-WC-Dep";#N/A,#N/A,FALSE,"MarketValue";#N/A,#N/A,FALSE,"BalSheet";#N/A,#N/A,FALSE,"WACC";#N/A,#N/A,FALSE,"PC+ Info.";#N/A,#N/A,FALSE,"PC+Info_2"}</definedName>
    <definedName name="ww.Rele" localSheetId="11" hidden="1">{#N/A,#N/A,FALSE,"Title Page";#N/A,#N/A,FALSE,"Conclusions";#N/A,#N/A,FALSE,"Assum.";#N/A,#N/A,FALSE,"Sun  DCF-WC-Dep";#N/A,#N/A,FALSE,"MarketValue";#N/A,#N/A,FALSE,"BalSheet";#N/A,#N/A,FALSE,"WACC";#N/A,#N/A,FALSE,"PC+ Info.";#N/A,#N/A,FALSE,"PC+Info_2"}</definedName>
    <definedName name="ww.Rele" hidden="1">{#N/A,#N/A,FALSE,"Title Page";#N/A,#N/A,FALSE,"Conclusions";#N/A,#N/A,FALSE,"Assum.";#N/A,#N/A,FALSE,"Sun  DCF-WC-Dep";#N/A,#N/A,FALSE,"MarketValue";#N/A,#N/A,FALSE,"BalSheet";#N/A,#N/A,FALSE,"WACC";#N/A,#N/A,FALSE,"PC+ Info.";#N/A,#N/A,FALSE,"PC+Info_2"}</definedName>
    <definedName name="www" localSheetId="10" hidden="1">{#N/A,#N/A,FALSE,"Bakersfield PCs";#N/A,#N/A,FALSE,"Bremer PCs";#N/A,#N/A,FALSE,"Bakersfield Notebooks"}</definedName>
    <definedName name="www" hidden="1">{#N/A,#N/A,FALSE,"Bakersfield PCs";#N/A,#N/A,FALSE,"Bremer PCs";#N/A,#N/A,FALSE,"Bakersfield Notebooks"}</definedName>
    <definedName name="x" localSheetId="10" hidden="1">{"contributory1",#N/A,FALSE,"Contributory Assets Detail";"contributory2",#N/A,FALSE,"Contributory Assets Detail"}</definedName>
    <definedName name="x" hidden="1">{"contributory1",#N/A,FALSE,"Contributory Assets Detail";"contributory2",#N/A,FALSE,"Contributory Assets Detail"}</definedName>
    <definedName name="xdif_RefreshIncludeLists" hidden="1">FALSE</definedName>
    <definedName name="XRefColumnsCount" hidden="1">4</definedName>
    <definedName name="XRefCopyRangeCount" hidden="1">2</definedName>
    <definedName name="XRefPasteRangeCount" hidden="1">11</definedName>
    <definedName name="xxs" localSheetId="10" hidden="1">{#N/A,#N/A,TRUE,"Tax";#N/A,#N/A,TRUE,"Structure";#N/A,#N/A,TRUE,"Accounting";#N/A,#N/A,TRUE,"Equipment"}</definedName>
    <definedName name="xxs" hidden="1">{#N/A,#N/A,TRUE,"Tax";#N/A,#N/A,TRUE,"Structure";#N/A,#N/A,TRUE,"Accounting";#N/A,#N/A,TRUE,"Equipment"}</definedName>
    <definedName name="xxx" localSheetId="10"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xxx" hidden="1">{"summary1",#N/A,FALSE,"Summary of Values";"developed valuation",#N/A,FALSE,"Valuation Analysis";"inprocess valuation",#N/A,FALSE,"Valuation Analysis";"trademark1",#N/A,FALSE,"Trademark(s) and Trade Name(s)";"developed income statement",#N/A,FALSE,"Abbreviated Income Statement";"inprocess income statement",#N/A,FALSE,"Abbreviated Income Statement";"revenue detail 1",#N/A,FALSE,"Revenue Detail";"revenue detail 2",#N/A,FALSE,"Revenue Detail";"revenue detail 3",#N/A,FALSE,"Revenue Detail";"revenue detail 4",#N/A,FALSE,"Revenue Detail";"contributory1",#N/A,FALSE,"Contributory Assets Detail";"contributory2",#N/A,FALSE,"Contributory Assets Detail";"weighted average returns",#N/A,FALSE,"WACC and WARA";"fixed asset detail",#N/A,FALSE,"Fixed Asset Detail";"customer base",#N/A,FALSE,"customer_base";"customer base perf estimates",#N/A,FALSE,"customer_base"}</definedName>
    <definedName name="xxxx" localSheetId="4" hidden="1">#REF!</definedName>
    <definedName name="xxxx" localSheetId="8" hidden="1">#REF!</definedName>
    <definedName name="xxxx" localSheetId="9" hidden="1">#REF!</definedName>
    <definedName name="xxxx" localSheetId="10" hidden="1">#REF!</definedName>
    <definedName name="xxxx" localSheetId="3" hidden="1">#REF!</definedName>
    <definedName name="xxxx" hidden="1">#REF!</definedName>
    <definedName name="yale" localSheetId="10" hidden="1">{"Opsys",#N/A,FALSE,"NPV_OPsys";"NT",#N/A,FALSE,"NPV_NT";"DevP",#N/A,FALSE,"NPV_DevPdt";"Office",#N/A,FALSE,"NPV_Office"}</definedName>
    <definedName name="yale" hidden="1">{"Opsys",#N/A,FALSE,"NPV_OPsys";"NT",#N/A,FALSE,"NPV_NT";"DevP",#N/A,FALSE,"NPV_DevPdt";"Office",#N/A,FALSE,"NPV_Office"}</definedName>
    <definedName name="Year_ID" hidden="1">" "</definedName>
    <definedName name="yyy" localSheetId="10" hidden="1">{#N/A,#N/A,FALSE,"Bakersfield PCs";#N/A,#N/A,FALSE,"Bremer PCs";#N/A,#N/A,FALSE,"Bakersfield Notebooks"}</definedName>
    <definedName name="yyy" hidden="1">{#N/A,#N/A,FALSE,"Bakersfield PCs";#N/A,#N/A,FALSE,"Bremer PCs";#N/A,#N/A,FALSE,"Bakersfield Notebooks"}</definedName>
    <definedName name="yyyy" localSheetId="10" hidden="1">{#N/A,#N/A,FALSE,"Bakersfield PCs";#N/A,#N/A,FALSE,"Bremer PCs";#N/A,#N/A,FALSE,"Bakersfield Notebooks"}</definedName>
    <definedName name="yyyy" hidden="1">{#N/A,#N/A,FALSE,"Bakersfield PCs";#N/A,#N/A,FALSE,"Bremer PCs";#N/A,#N/A,FALSE,"Bakersfield Notebooks"}</definedName>
    <definedName name="yyyyw" localSheetId="10" hidden="1">{#N/A,#N/A,FALSE,"Bakersfield PCs";#N/A,#N/A,FALSE,"Bremer PCs";#N/A,#N/A,FALSE,"Bakersfield Notebooks"}</definedName>
    <definedName name="yyyyw" hidden="1">{#N/A,#N/A,FALSE,"Bakersfield PCs";#N/A,#N/A,FALSE,"Bremer PCs";#N/A,#N/A,FALSE,"Bakersfield Notebooks"}</definedName>
    <definedName name="Z_234A1776_FF97_4343_92C4_70FE0D5478BB_.wvu.Cols" localSheetId="7" hidden="1">'Asset Vol_2'!$E:$G,'Asset Vol_2'!$S:$W</definedName>
    <definedName name="Z_234A1776_FF97_4343_92C4_70FE0D5478BB_.wvu.Cols" localSheetId="8" hidden="1">'Asset Vol_3'!$E:$G,'Asset Vol_3'!$S:$W</definedName>
    <definedName name="Z_234A1776_FF97_4343_92C4_70FE0D5478BB_.wvu.Cols" localSheetId="9" hidden="1">'Asset Vol_4'!$E:$G,'Asset Vol_4'!$S:$W</definedName>
    <definedName name="Z_234A1776_FF97_4343_92C4_70FE0D5478BB_.wvu.PrintArea" localSheetId="4" hidden="1">'9 Factor Discount Analysis'!$A$1:$K$23</definedName>
    <definedName name="Z_234A1776_FF97_4343_92C4_70FE0D5478BB_.wvu.PrintArea" localSheetId="7" hidden="1">'Asset Vol_2'!$A$1:$Z$41</definedName>
    <definedName name="Z_234A1776_FF97_4343_92C4_70FE0D5478BB_.wvu.PrintArea" localSheetId="8" hidden="1">'Asset Vol_3'!$A$1:$Z$41</definedName>
    <definedName name="Z_234A1776_FF97_4343_92C4_70FE0D5478BB_.wvu.PrintArea" localSheetId="9" hidden="1">'Asset Vol_4'!$A$1:$Z$41</definedName>
    <definedName name="Z_234A1776_FF97_4343_92C4_70FE0D5478BB_.wvu.PrintArea" localSheetId="3" hidden="1">'Discount Summary'!$A$1:$H$19</definedName>
    <definedName name="Z_234A1776_FF97_4343_92C4_70FE0D5478BB_.wvu.PrintArea" localSheetId="6" hidden="1">'DLOM Restricted Stock Studies'!$A$1:$K$21</definedName>
    <definedName name="Z_234A1776_FF97_4343_92C4_70FE0D5478BB_.wvu.PrintArea" localSheetId="5" hidden="1">'DLOM_Quantitative Methods'!$A$1:$I$52</definedName>
    <definedName name="Z_234A1776_FF97_4343_92C4_70FE0D5478BB_.wvu.PrintArea" localSheetId="11" hidden="1">'Risk-Free Rates'!$A$1:$G$49</definedName>
    <definedName name="Z_234A1776_FF97_4343_92C4_70FE0D5478BB_.wvu.PrintTitles" localSheetId="5" hidden="1">'DLOM_Quantitative Methods'!$1:$6</definedName>
    <definedName name="Z_234A1776_FF97_4343_92C4_70FE0D5478BB_.wvu.Rows" localSheetId="7" hidden="1">'Asset Vol_2'!$7:$7,'Asset Vol_2'!$15:$22,'Asset Vol_2'!$33:$36</definedName>
    <definedName name="Z_234A1776_FF97_4343_92C4_70FE0D5478BB_.wvu.Rows" localSheetId="8" hidden="1">'Asset Vol_3'!$7:$7,'Asset Vol_3'!$15:$22,'Asset Vol_3'!$33:$36</definedName>
    <definedName name="Z_234A1776_FF97_4343_92C4_70FE0D5478BB_.wvu.Rows" localSheetId="9" hidden="1">'Asset Vol_4'!$7:$7,'Asset Vol_4'!$15:$22,'Asset Vol_4'!$33:$36</definedName>
    <definedName name="Z_234A1776_FF97_4343_92C4_70FE0D5478BB_.wvu.Rows" localSheetId="11" hidden="1">'Risk-Free Rates'!$21:$29</definedName>
    <definedName name="Z_4F47BE36_BFAC_43F4_B9FD_63623E3AAD54_.wvu.Cols" localSheetId="7" hidden="1">'Asset Vol_2'!$E:$G,'Asset Vol_2'!$S:$W</definedName>
    <definedName name="Z_4F47BE36_BFAC_43F4_B9FD_63623E3AAD54_.wvu.Cols" localSheetId="8" hidden="1">'Asset Vol_3'!$E:$G,'Asset Vol_3'!$S:$W</definedName>
    <definedName name="Z_4F47BE36_BFAC_43F4_B9FD_63623E3AAD54_.wvu.Cols" localSheetId="9" hidden="1">'Asset Vol_4'!$E:$G,'Asset Vol_4'!$S:$W</definedName>
    <definedName name="Z_4F47BE36_BFAC_43F4_B9FD_63623E3AAD54_.wvu.PrintArea" localSheetId="4" hidden="1">'9 Factor Discount Analysis'!$A$1:$K$23</definedName>
    <definedName name="Z_4F47BE36_BFAC_43F4_B9FD_63623E3AAD54_.wvu.PrintArea" localSheetId="7" hidden="1">'Asset Vol_2'!$A$1:$Z$41</definedName>
    <definedName name="Z_4F47BE36_BFAC_43F4_B9FD_63623E3AAD54_.wvu.PrintArea" localSheetId="8" hidden="1">'Asset Vol_3'!$A$1:$Z$41</definedName>
    <definedName name="Z_4F47BE36_BFAC_43F4_B9FD_63623E3AAD54_.wvu.PrintArea" localSheetId="9" hidden="1">'Asset Vol_4'!$A$1:$Z$41</definedName>
    <definedName name="Z_4F47BE36_BFAC_43F4_B9FD_63623E3AAD54_.wvu.PrintArea" localSheetId="3" hidden="1">'Discount Summary'!$A$1:$H$19</definedName>
    <definedName name="Z_4F47BE36_BFAC_43F4_B9FD_63623E3AAD54_.wvu.PrintArea" localSheetId="6" hidden="1">'DLOM Restricted Stock Studies'!$A$1:$K$21</definedName>
    <definedName name="Z_4F47BE36_BFAC_43F4_B9FD_63623E3AAD54_.wvu.PrintArea" localSheetId="5" hidden="1">'DLOM_Quantitative Methods'!$A$1:$I$52</definedName>
    <definedName name="Z_4F47BE36_BFAC_43F4_B9FD_63623E3AAD54_.wvu.PrintArea" localSheetId="11" hidden="1">'Risk-Free Rates'!$A$1:$G$49</definedName>
    <definedName name="Z_4F47BE36_BFAC_43F4_B9FD_63623E3AAD54_.wvu.PrintTitles" localSheetId="5" hidden="1">'DLOM_Quantitative Methods'!$1:$6</definedName>
    <definedName name="Z_4F47BE36_BFAC_43F4_B9FD_63623E3AAD54_.wvu.Rows" localSheetId="7" hidden="1">'Asset Vol_2'!$7:$7,'Asset Vol_2'!$15:$22,'Asset Vol_2'!$33:$36</definedName>
    <definedName name="Z_4F47BE36_BFAC_43F4_B9FD_63623E3AAD54_.wvu.Rows" localSheetId="8" hidden="1">'Asset Vol_3'!$7:$7,'Asset Vol_3'!$15:$22,'Asset Vol_3'!$33:$36</definedName>
    <definedName name="Z_4F47BE36_BFAC_43F4_B9FD_63623E3AAD54_.wvu.Rows" localSheetId="9" hidden="1">'Asset Vol_4'!$7:$7,'Asset Vol_4'!$15:$22,'Asset Vol_4'!$33:$36</definedName>
    <definedName name="Z_4F47BE36_BFAC_43F4_B9FD_63623E3AAD54_.wvu.Rows" localSheetId="11" hidden="1">'Risk-Free Rates'!$21:$29</definedName>
    <definedName name="Z_8DA61E7E_7558_4B03_A87B_E35534561A67_.wvu.Cols" localSheetId="7" hidden="1">'Asset Vol_2'!$E:$G,'Asset Vol_2'!$S:$W</definedName>
    <definedName name="Z_8DA61E7E_7558_4B03_A87B_E35534561A67_.wvu.Cols" localSheetId="8" hidden="1">'Asset Vol_3'!$E:$G,'Asset Vol_3'!$S:$W</definedName>
    <definedName name="Z_8DA61E7E_7558_4B03_A87B_E35534561A67_.wvu.Cols" localSheetId="9" hidden="1">'Asset Vol_4'!$E:$G,'Asset Vol_4'!$S:$W</definedName>
    <definedName name="Z_8DA61E7E_7558_4B03_A87B_E35534561A67_.wvu.PrintArea" localSheetId="4" hidden="1">'9 Factor Discount Analysis'!$A$1:$K$23</definedName>
    <definedName name="Z_8DA61E7E_7558_4B03_A87B_E35534561A67_.wvu.PrintArea" localSheetId="7" hidden="1">'Asset Vol_2'!$A$1:$Z$41</definedName>
    <definedName name="Z_8DA61E7E_7558_4B03_A87B_E35534561A67_.wvu.PrintArea" localSheetId="8" hidden="1">'Asset Vol_3'!$A$1:$Z$41</definedName>
    <definedName name="Z_8DA61E7E_7558_4B03_A87B_E35534561A67_.wvu.PrintArea" localSheetId="9" hidden="1">'Asset Vol_4'!$A$1:$Z$41</definedName>
    <definedName name="Z_8DA61E7E_7558_4B03_A87B_E35534561A67_.wvu.PrintArea" localSheetId="3" hidden="1">'Discount Summary'!$A$1:$H$19</definedName>
    <definedName name="Z_8DA61E7E_7558_4B03_A87B_E35534561A67_.wvu.PrintArea" localSheetId="6" hidden="1">'DLOM Restricted Stock Studies'!$A$1:$K$21</definedName>
    <definedName name="Z_8DA61E7E_7558_4B03_A87B_E35534561A67_.wvu.PrintArea" localSheetId="5" hidden="1">'DLOM_Quantitative Methods'!$A$1:$I$52</definedName>
    <definedName name="Z_8DA61E7E_7558_4B03_A87B_E35534561A67_.wvu.PrintArea" localSheetId="11" hidden="1">'Risk-Free Rates'!$A$1:$G$49</definedName>
    <definedName name="Z_8DA61E7E_7558_4B03_A87B_E35534561A67_.wvu.PrintTitles" localSheetId="5" hidden="1">'DLOM_Quantitative Methods'!$1:$6</definedName>
    <definedName name="Z_8DA61E7E_7558_4B03_A87B_E35534561A67_.wvu.Rows" localSheetId="7" hidden="1">'Asset Vol_2'!$7:$7,'Asset Vol_2'!$15:$22,'Asset Vol_2'!$33:$36</definedName>
    <definedName name="Z_8DA61E7E_7558_4B03_A87B_E35534561A67_.wvu.Rows" localSheetId="8" hidden="1">'Asset Vol_3'!$7:$7,'Asset Vol_3'!$15:$22,'Asset Vol_3'!$33:$36</definedName>
    <definedName name="Z_8DA61E7E_7558_4B03_A87B_E35534561A67_.wvu.Rows" localSheetId="9" hidden="1">'Asset Vol_4'!$7:$7,'Asset Vol_4'!$15:$22,'Asset Vol_4'!$33:$36</definedName>
    <definedName name="Z_8DA61E7E_7558_4B03_A87B_E35534561A67_.wvu.Rows" localSheetId="11" hidden="1">'Risk-Free Rates'!$21:$29</definedName>
    <definedName name="zzz.com" localSheetId="4" hidden="1">{#N/A,#N/A,FALSE,"Title Page";#N/A,#N/A,FALSE,"Conclusions";#N/A,#N/A,FALSE,"Assum.";#N/A,#N/A,FALSE,"Sun  DCF-WC-Dep";#N/A,#N/A,FALSE,"MarketValue";#N/A,#N/A,FALSE,"BalSheet";#N/A,#N/A,FALSE,"WACC";#N/A,#N/A,FALSE,"PC+ Info.";#N/A,#N/A,FALSE,"PC+Info_2"}</definedName>
    <definedName name="zzz.com" localSheetId="7" hidden="1">{#N/A,#N/A,FALSE,"Title Page";#N/A,#N/A,FALSE,"Conclusions";#N/A,#N/A,FALSE,"Assum.";#N/A,#N/A,FALSE,"Sun  DCF-WC-Dep";#N/A,#N/A,FALSE,"MarketValue";#N/A,#N/A,FALSE,"BalSheet";#N/A,#N/A,FALSE,"WACC";#N/A,#N/A,FALSE,"PC+ Info.";#N/A,#N/A,FALSE,"PC+Info_2"}</definedName>
    <definedName name="zzz.com" localSheetId="8" hidden="1">{#N/A,#N/A,FALSE,"Title Page";#N/A,#N/A,FALSE,"Conclusions";#N/A,#N/A,FALSE,"Assum.";#N/A,#N/A,FALSE,"Sun  DCF-WC-Dep";#N/A,#N/A,FALSE,"MarketValue";#N/A,#N/A,FALSE,"BalSheet";#N/A,#N/A,FALSE,"WACC";#N/A,#N/A,FALSE,"PC+ Info.";#N/A,#N/A,FALSE,"PC+Info_2"}</definedName>
    <definedName name="zzz.com" localSheetId="9" hidden="1">{#N/A,#N/A,FALSE,"Title Page";#N/A,#N/A,FALSE,"Conclusions";#N/A,#N/A,FALSE,"Assum.";#N/A,#N/A,FALSE,"Sun  DCF-WC-Dep";#N/A,#N/A,FALSE,"MarketValue";#N/A,#N/A,FALSE,"BalSheet";#N/A,#N/A,FALSE,"WACC";#N/A,#N/A,FALSE,"PC+ Info.";#N/A,#N/A,FALSE,"PC+Info_2"}</definedName>
    <definedName name="zzz.com" localSheetId="10" hidden="1">{#N/A,#N/A,FALSE,"Title Page";#N/A,#N/A,FALSE,"Conclusions";#N/A,#N/A,FALSE,"Assum.";#N/A,#N/A,FALSE,"Sun  DCF-WC-Dep";#N/A,#N/A,FALSE,"MarketValue";#N/A,#N/A,FALSE,"BalSheet";#N/A,#N/A,FALSE,"WACC";#N/A,#N/A,FALSE,"PC+ Info.";#N/A,#N/A,FALSE,"PC+Info_2"}</definedName>
    <definedName name="zzz.com" localSheetId="3" hidden="1">{#N/A,#N/A,FALSE,"Title Page";#N/A,#N/A,FALSE,"Conclusions";#N/A,#N/A,FALSE,"Assum.";#N/A,#N/A,FALSE,"Sun  DCF-WC-Dep";#N/A,#N/A,FALSE,"MarketValue";#N/A,#N/A,FALSE,"BalSheet";#N/A,#N/A,FALSE,"WACC";#N/A,#N/A,FALSE,"PC+ Info.";#N/A,#N/A,FALSE,"PC+Info_2"}</definedName>
    <definedName name="zzz.com" localSheetId="6" hidden="1">{#N/A,#N/A,FALSE,"Title Page";#N/A,#N/A,FALSE,"Conclusions";#N/A,#N/A,FALSE,"Assum.";#N/A,#N/A,FALSE,"Sun  DCF-WC-Dep";#N/A,#N/A,FALSE,"MarketValue";#N/A,#N/A,FALSE,"BalSheet";#N/A,#N/A,FALSE,"WACC";#N/A,#N/A,FALSE,"PC+ Info.";#N/A,#N/A,FALSE,"PC+Info_2"}</definedName>
    <definedName name="zzz.com" localSheetId="5" hidden="1">{#N/A,#N/A,FALSE,"Title Page";#N/A,#N/A,FALSE,"Conclusions";#N/A,#N/A,FALSE,"Assum.";#N/A,#N/A,FALSE,"Sun  DCF-WC-Dep";#N/A,#N/A,FALSE,"MarketValue";#N/A,#N/A,FALSE,"BalSheet";#N/A,#N/A,FALSE,"WACC";#N/A,#N/A,FALSE,"PC+ Info.";#N/A,#N/A,FALSE,"PC+Info_2"}</definedName>
    <definedName name="zzz.com" localSheetId="11" hidden="1">{#N/A,#N/A,FALSE,"Title Page";#N/A,#N/A,FALSE,"Conclusions";#N/A,#N/A,FALSE,"Assum.";#N/A,#N/A,FALSE,"Sun  DCF-WC-Dep";#N/A,#N/A,FALSE,"MarketValue";#N/A,#N/A,FALSE,"BalSheet";#N/A,#N/A,FALSE,"WACC";#N/A,#N/A,FALSE,"PC+ Info.";#N/A,#N/A,FALSE,"PC+Info_2"}</definedName>
    <definedName name="zzz.com" hidden="1">{#N/A,#N/A,FALSE,"Title Page";#N/A,#N/A,FALSE,"Conclusions";#N/A,#N/A,FALSE,"Assum.";#N/A,#N/A,FALSE,"Sun  DCF-WC-Dep";#N/A,#N/A,FALSE,"MarketValue";#N/A,#N/A,FALSE,"BalSheet";#N/A,#N/A,FALSE,"WACC";#N/A,#N/A,FALSE,"PC+ Info.";#N/A,#N/A,FALSE,"PC+Info_2"}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8" l="1"/>
  <c r="G11" i="8"/>
  <c r="D11" i="8"/>
  <c r="K11" i="8"/>
  <c r="F11" i="8"/>
  <c r="M11" i="8"/>
  <c r="J11" i="8"/>
  <c r="F12" i="8"/>
  <c r="D12" i="8"/>
  <c r="J12" i="8"/>
  <c r="E12" i="8"/>
  <c r="M12" i="8"/>
  <c r="G12" i="8"/>
  <c r="E13" i="8"/>
  <c r="K12" i="8"/>
  <c r="G13" i="8"/>
  <c r="D13" i="8"/>
  <c r="K13" i="8"/>
  <c r="F13" i="8"/>
  <c r="M13" i="8"/>
  <c r="J13" i="8"/>
  <c r="F14" i="8"/>
  <c r="D14" i="8"/>
  <c r="J14" i="8"/>
  <c r="E14" i="8"/>
  <c r="M14" i="8"/>
  <c r="G14" i="8"/>
  <c r="E15" i="8"/>
  <c r="K14" i="8"/>
  <c r="G15" i="8"/>
  <c r="D15" i="8"/>
  <c r="K15" i="8"/>
  <c r="F15" i="8"/>
  <c r="M15" i="8"/>
  <c r="J15" i="8"/>
  <c r="E11" i="9"/>
  <c r="G11" i="9"/>
  <c r="D11" i="9"/>
  <c r="K11" i="9"/>
  <c r="F11" i="9"/>
  <c r="M11" i="9"/>
  <c r="J11" i="9"/>
  <c r="F12" i="9"/>
  <c r="D12" i="9"/>
  <c r="J12" i="9"/>
  <c r="E12" i="9"/>
  <c r="M12" i="9"/>
  <c r="G12" i="9"/>
  <c r="E13" i="9"/>
  <c r="K12" i="9"/>
  <c r="G13" i="9"/>
  <c r="D13" i="9"/>
  <c r="K13" i="9"/>
  <c r="F13" i="9"/>
  <c r="M13" i="9"/>
  <c r="J13" i="9"/>
  <c r="F14" i="9"/>
  <c r="D14" i="9"/>
  <c r="J14" i="9"/>
  <c r="E14" i="9"/>
  <c r="M14" i="9"/>
  <c r="G14" i="9"/>
  <c r="E15" i="9"/>
  <c r="K14" i="9"/>
  <c r="G15" i="9"/>
  <c r="D15" i="9"/>
  <c r="K15" i="9"/>
  <c r="F15" i="9"/>
  <c r="M15" i="9"/>
  <c r="J15" i="9"/>
  <c r="F10" i="11"/>
  <c r="F12" i="11"/>
  <c r="F9" i="11"/>
  <c r="F14" i="11"/>
  <c r="F11" i="11"/>
  <c r="F16" i="11"/>
  <c r="F13" i="11"/>
  <c r="F18" i="11"/>
  <c r="F15" i="11"/>
  <c r="F19" i="11"/>
  <c r="F17" i="11"/>
  <c r="K15" i="7"/>
  <c r="M15" i="7"/>
  <c r="G15" i="7"/>
  <c r="J15" i="7"/>
  <c r="E15" i="7"/>
  <c r="F15" i="7"/>
  <c r="B15" i="7"/>
  <c r="D15" i="7"/>
  <c r="K14" i="7"/>
  <c r="M14" i="7"/>
  <c r="G14" i="7"/>
  <c r="J14" i="7"/>
  <c r="E14" i="7"/>
  <c r="F14" i="7"/>
  <c r="B14" i="7"/>
  <c r="D14" i="7"/>
  <c r="K13" i="7"/>
  <c r="M13" i="7"/>
  <c r="G13" i="7"/>
  <c r="J13" i="7"/>
  <c r="E13" i="7"/>
  <c r="F13" i="7"/>
  <c r="B13" i="7"/>
  <c r="D13" i="7"/>
  <c r="K12" i="7"/>
  <c r="M12" i="7"/>
  <c r="G12" i="7"/>
  <c r="J12" i="7"/>
  <c r="E12" i="7"/>
  <c r="F12" i="7"/>
  <c r="B12" i="7"/>
  <c r="D12" i="7"/>
  <c r="K11" i="7"/>
  <c r="M11" i="7"/>
  <c r="G11" i="7"/>
  <c r="J11" i="7"/>
  <c r="E11" i="7"/>
  <c r="F11" i="7"/>
  <c r="B11" i="7"/>
  <c r="D11" i="7"/>
  <c r="B10" i="12"/>
  <c r="D10" i="12"/>
  <c r="E10" i="12"/>
  <c r="F10" i="12"/>
  <c r="G10" i="12"/>
  <c r="H10" i="12"/>
  <c r="I10" i="12"/>
  <c r="J10" i="12"/>
  <c r="K10" i="12"/>
  <c r="B11" i="12"/>
  <c r="D11" i="12"/>
  <c r="E11" i="12"/>
  <c r="F11" i="12"/>
  <c r="G11" i="12"/>
  <c r="H11" i="12"/>
  <c r="I11" i="12"/>
  <c r="J11" i="12"/>
  <c r="K11" i="12"/>
  <c r="B12" i="12"/>
  <c r="D12" i="12"/>
  <c r="E12" i="12"/>
  <c r="F12" i="12"/>
  <c r="G12" i="12"/>
  <c r="H12" i="12"/>
  <c r="I12" i="12"/>
  <c r="J12" i="12"/>
  <c r="K12" i="12"/>
  <c r="B13" i="12"/>
  <c r="D13" i="12"/>
  <c r="E13" i="12"/>
  <c r="F13" i="12"/>
  <c r="G13" i="12"/>
  <c r="H13" i="12"/>
  <c r="I13" i="12"/>
  <c r="J13" i="12"/>
  <c r="K13" i="12"/>
  <c r="B14" i="12"/>
  <c r="D14" i="12"/>
  <c r="E14" i="12"/>
  <c r="F14" i="12"/>
  <c r="G14" i="12"/>
  <c r="H14" i="12" s="1"/>
  <c r="D20" i="12"/>
  <c r="E20" i="12"/>
  <c r="F20" i="12"/>
  <c r="G20" i="12"/>
  <c r="D21" i="12"/>
  <c r="E21" i="12"/>
  <c r="F21" i="12"/>
  <c r="G21" i="12"/>
  <c r="D22" i="12"/>
  <c r="E22" i="12"/>
  <c r="F22" i="12"/>
  <c r="G22" i="12"/>
  <c r="D23" i="12"/>
  <c r="E23" i="12"/>
  <c r="F23" i="12"/>
  <c r="G23" i="12"/>
  <c r="D24" i="12"/>
  <c r="E24" i="12"/>
  <c r="F24" i="12"/>
  <c r="G24" i="12"/>
  <c r="D25" i="12"/>
  <c r="E25" i="12"/>
  <c r="F25" i="12"/>
  <c r="G25" i="12"/>
  <c r="D35" i="12"/>
  <c r="E35" i="12"/>
  <c r="F35" i="12"/>
  <c r="G35" i="12"/>
  <c r="J3" i="11"/>
  <c r="J4" i="11"/>
  <c r="E9" i="11"/>
  <c r="E10" i="11"/>
  <c r="K9" i="11"/>
  <c r="J10" i="11"/>
  <c r="E11" i="11"/>
  <c r="K10" i="11"/>
  <c r="J11" i="11"/>
  <c r="K11" i="11"/>
  <c r="J12" i="11"/>
  <c r="K12" i="11"/>
  <c r="J13" i="11"/>
  <c r="K13" i="11"/>
  <c r="J14" i="11"/>
  <c r="K14" i="11"/>
  <c r="J15" i="11"/>
  <c r="K15" i="11"/>
  <c r="J16" i="11"/>
  <c r="K16" i="11"/>
  <c r="J17" i="11"/>
  <c r="K17" i="11"/>
  <c r="J18" i="11"/>
  <c r="K18" i="11"/>
  <c r="J19" i="11"/>
  <c r="B22" i="11"/>
  <c r="E25" i="11"/>
  <c r="E23" i="11"/>
  <c r="E24" i="11"/>
  <c r="E26" i="11"/>
  <c r="F26" i="11"/>
  <c r="E10" i="10"/>
  <c r="M37" i="10"/>
  <c r="M38" i="10"/>
  <c r="L11" i="10" s="1"/>
  <c r="M39" i="10"/>
  <c r="M40" i="10"/>
  <c r="E20" i="10" s="1"/>
  <c r="M41" i="10"/>
  <c r="M42" i="10"/>
  <c r="M43" i="10"/>
  <c r="M44" i="10"/>
  <c r="M45" i="10"/>
  <c r="M46" i="10"/>
  <c r="M47" i="10"/>
  <c r="M48" i="10"/>
  <c r="E11" i="10"/>
  <c r="E12" i="10"/>
  <c r="E13" i="10"/>
  <c r="E14" i="10"/>
  <c r="E15" i="10"/>
  <c r="E18" i="10"/>
  <c r="E22" i="10"/>
  <c r="I50" i="10"/>
  <c r="AB2" i="9"/>
  <c r="AA11" i="9"/>
  <c r="AA12" i="9"/>
  <c r="AA13" i="9"/>
  <c r="AA14" i="9"/>
  <c r="AA15" i="9"/>
  <c r="K33" i="9"/>
  <c r="AB30" i="9" s="1"/>
  <c r="K35" i="9"/>
  <c r="M33" i="9"/>
  <c r="S33" i="9"/>
  <c r="H35" i="9"/>
  <c r="J35" i="9"/>
  <c r="M35" i="9"/>
  <c r="S35" i="9"/>
  <c r="AB2" i="8"/>
  <c r="AA11" i="8"/>
  <c r="AA12" i="8"/>
  <c r="AA13" i="8"/>
  <c r="AA14" i="8"/>
  <c r="AA15" i="8"/>
  <c r="K33" i="8"/>
  <c r="K35" i="8" s="1"/>
  <c r="M33" i="8"/>
  <c r="S33" i="8"/>
  <c r="T33" i="8"/>
  <c r="U33" i="8" s="1"/>
  <c r="W33" i="8" s="1"/>
  <c r="H35" i="8"/>
  <c r="J35" i="8"/>
  <c r="M35" i="8"/>
  <c r="S35" i="8"/>
  <c r="N7" i="7"/>
  <c r="B4" i="7" s="1"/>
  <c r="H11" i="7"/>
  <c r="I11" i="7"/>
  <c r="H12" i="7"/>
  <c r="I12" i="7"/>
  <c r="H13" i="7"/>
  <c r="I13" i="7"/>
  <c r="N13" i="7"/>
  <c r="H14" i="7"/>
  <c r="I14" i="7"/>
  <c r="N14" i="7"/>
  <c r="H15" i="7"/>
  <c r="I15" i="7"/>
  <c r="N15" i="7"/>
  <c r="D25" i="7"/>
  <c r="E25" i="7"/>
  <c r="F25" i="7"/>
  <c r="G25" i="7"/>
  <c r="H25" i="7"/>
  <c r="I25" i="7"/>
  <c r="J25" i="7"/>
  <c r="K25" i="7"/>
  <c r="M25" i="7"/>
  <c r="D26" i="7"/>
  <c r="E26" i="7"/>
  <c r="F26" i="7"/>
  <c r="G26" i="7"/>
  <c r="H26" i="7"/>
  <c r="I26" i="7"/>
  <c r="J26" i="7"/>
  <c r="K26" i="7"/>
  <c r="M26" i="7"/>
  <c r="D27" i="7"/>
  <c r="E27" i="7"/>
  <c r="F27" i="7"/>
  <c r="G27" i="7"/>
  <c r="H27" i="7"/>
  <c r="I27" i="7"/>
  <c r="J27" i="7"/>
  <c r="K27" i="7"/>
  <c r="M27" i="7"/>
  <c r="D28" i="7"/>
  <c r="E28" i="7"/>
  <c r="F28" i="7"/>
  <c r="G28" i="7"/>
  <c r="H28" i="7"/>
  <c r="I28" i="7"/>
  <c r="J28" i="7"/>
  <c r="K28" i="7"/>
  <c r="M28" i="7"/>
  <c r="D29" i="7"/>
  <c r="E29" i="7"/>
  <c r="F29" i="7"/>
  <c r="G29" i="7"/>
  <c r="H29" i="7"/>
  <c r="I29" i="7"/>
  <c r="J29" i="7"/>
  <c r="K29" i="7"/>
  <c r="M29" i="7"/>
  <c r="D30" i="7"/>
  <c r="E30" i="7"/>
  <c r="F30" i="7"/>
  <c r="G30" i="7"/>
  <c r="H30" i="7"/>
  <c r="I30" i="7"/>
  <c r="J30" i="7"/>
  <c r="K30" i="7"/>
  <c r="M30" i="7"/>
  <c r="K33" i="7"/>
  <c r="K35" i="7" s="1"/>
  <c r="M33" i="7"/>
  <c r="N33" i="7"/>
  <c r="S33" i="7"/>
  <c r="T33" i="7"/>
  <c r="U33" i="7" s="1"/>
  <c r="W33" i="7" s="1"/>
  <c r="H35" i="7"/>
  <c r="J35" i="7"/>
  <c r="M35" i="7"/>
  <c r="N35" i="7"/>
  <c r="S35" i="7"/>
  <c r="E9" i="5"/>
  <c r="D12" i="5"/>
  <c r="D14" i="5" s="1"/>
  <c r="E12" i="5"/>
  <c r="E15" i="5" s="1"/>
  <c r="F12" i="5"/>
  <c r="E14" i="5"/>
  <c r="D25" i="5"/>
  <c r="E25" i="5"/>
  <c r="E27" i="5"/>
  <c r="F27" i="5"/>
  <c r="H27" i="5"/>
  <c r="H40" i="5" s="1"/>
  <c r="D36" i="5"/>
  <c r="E36" i="5"/>
  <c r="D37" i="5"/>
  <c r="E37" i="5"/>
  <c r="F37" i="5"/>
  <c r="D38" i="5"/>
  <c r="E38" i="5"/>
  <c r="F38" i="5"/>
  <c r="D39" i="5"/>
  <c r="E39" i="5"/>
  <c r="F39" i="5"/>
  <c r="E40" i="5"/>
  <c r="F40" i="5"/>
  <c r="E42" i="5"/>
  <c r="E43" i="5" s="1"/>
  <c r="D10" i="4"/>
  <c r="G10" i="4" s="1"/>
  <c r="D11" i="4"/>
  <c r="F11" i="4"/>
  <c r="G11" i="4"/>
  <c r="D13" i="4"/>
  <c r="F13" i="4"/>
  <c r="G13" i="4" s="1"/>
  <c r="D14" i="4"/>
  <c r="G14" i="4" s="1"/>
  <c r="F14" i="4"/>
  <c r="D15" i="4"/>
  <c r="G15" i="4" s="1"/>
  <c r="F15" i="4"/>
  <c r="D16" i="4"/>
  <c r="F16" i="4"/>
  <c r="G16" i="4"/>
  <c r="D17" i="4"/>
  <c r="F17" i="4"/>
  <c r="G17" i="4" s="1"/>
  <c r="D18" i="4"/>
  <c r="G18" i="4" s="1"/>
  <c r="F18" i="4"/>
  <c r="D19" i="4"/>
  <c r="G19" i="4"/>
  <c r="D11" i="3"/>
  <c r="D23" i="3"/>
  <c r="D25" i="3" s="1"/>
  <c r="B2" i="2"/>
  <c r="B2" i="6" s="1"/>
  <c r="C9" i="2"/>
  <c r="B3" i="3" s="1"/>
  <c r="E9" i="2"/>
  <c r="P10" i="2"/>
  <c r="C10" i="2"/>
  <c r="B3" i="4" s="1"/>
  <c r="F15" i="3" s="1"/>
  <c r="E10" i="2"/>
  <c r="P11" i="2"/>
  <c r="C11" i="2" s="1"/>
  <c r="B3" i="5" s="1"/>
  <c r="F9" i="3" s="1"/>
  <c r="E11" i="2"/>
  <c r="E12" i="2"/>
  <c r="E13" i="2"/>
  <c r="E16" i="2"/>
  <c r="E17" i="2"/>
  <c r="E18" i="2"/>
  <c r="D11" i="1"/>
  <c r="D21" i="1"/>
  <c r="B12" i="9"/>
  <c r="B14" i="9"/>
  <c r="B12" i="8"/>
  <c r="B11" i="9"/>
  <c r="B15" i="9"/>
  <c r="B13" i="8"/>
  <c r="B11" i="8"/>
  <c r="B13" i="9"/>
  <c r="B14" i="8"/>
  <c r="B15" i="8"/>
  <c r="I15" i="8" l="1"/>
  <c r="H15" i="8"/>
  <c r="H14" i="8"/>
  <c r="I14" i="8"/>
  <c r="I13" i="8"/>
  <c r="H13" i="8"/>
  <c r="H12" i="8"/>
  <c r="I12" i="8"/>
  <c r="M25" i="8"/>
  <c r="M27" i="8"/>
  <c r="M29" i="8"/>
  <c r="M30" i="8"/>
  <c r="M26" i="8"/>
  <c r="M28" i="8"/>
  <c r="J29" i="8"/>
  <c r="J30" i="8"/>
  <c r="J26" i="8"/>
  <c r="J28" i="8"/>
  <c r="J25" i="8"/>
  <c r="J27" i="8"/>
  <c r="K27" i="8"/>
  <c r="K29" i="8"/>
  <c r="K30" i="8"/>
  <c r="K26" i="8"/>
  <c r="K28" i="8"/>
  <c r="K25" i="8"/>
  <c r="F29" i="8"/>
  <c r="F30" i="8"/>
  <c r="F26" i="8"/>
  <c r="F28" i="8"/>
  <c r="F25" i="8"/>
  <c r="F27" i="8"/>
  <c r="G27" i="8"/>
  <c r="G29" i="8"/>
  <c r="G30" i="8"/>
  <c r="G26" i="8"/>
  <c r="G28" i="8"/>
  <c r="G25" i="8"/>
  <c r="D25" i="8"/>
  <c r="D27" i="8"/>
  <c r="D29" i="8"/>
  <c r="D30" i="8"/>
  <c r="I11" i="8"/>
  <c r="D26" i="8"/>
  <c r="D28" i="8"/>
  <c r="H11" i="8"/>
  <c r="E26" i="8"/>
  <c r="E28" i="8"/>
  <c r="E25" i="8"/>
  <c r="E27" i="8"/>
  <c r="E29" i="8"/>
  <c r="E30" i="8"/>
  <c r="I15" i="9"/>
  <c r="H15" i="9"/>
  <c r="H14" i="9"/>
  <c r="I14" i="9"/>
  <c r="I13" i="9"/>
  <c r="H13" i="9"/>
  <c r="H12" i="9"/>
  <c r="I12" i="9"/>
  <c r="M25" i="9"/>
  <c r="M29" i="9"/>
  <c r="M30" i="9"/>
  <c r="M26" i="9"/>
  <c r="M28" i="9"/>
  <c r="M27" i="9"/>
  <c r="J29" i="9"/>
  <c r="J30" i="9"/>
  <c r="J25" i="9"/>
  <c r="J27" i="9"/>
  <c r="J28" i="9"/>
  <c r="J26" i="9"/>
  <c r="K27" i="9"/>
  <c r="K26" i="9"/>
  <c r="K28" i="9"/>
  <c r="K25" i="9"/>
  <c r="K30" i="9"/>
  <c r="K29" i="9"/>
  <c r="F29" i="9"/>
  <c r="F30" i="9"/>
  <c r="F25" i="9"/>
  <c r="F27" i="9"/>
  <c r="F26" i="9"/>
  <c r="F28" i="9"/>
  <c r="G27" i="9"/>
  <c r="G26" i="9"/>
  <c r="G28" i="9"/>
  <c r="G25" i="9"/>
  <c r="G29" i="9"/>
  <c r="G30" i="9"/>
  <c r="D25" i="9"/>
  <c r="D29" i="9"/>
  <c r="D30" i="9"/>
  <c r="D26" i="9"/>
  <c r="D28" i="9"/>
  <c r="I11" i="9"/>
  <c r="D27" i="9"/>
  <c r="H11" i="9"/>
  <c r="E26" i="9"/>
  <c r="E28" i="9"/>
  <c r="E27" i="9"/>
  <c r="E30" i="9"/>
  <c r="E25" i="9"/>
  <c r="E29" i="9"/>
  <c r="G21" i="4"/>
  <c r="D15" i="3" s="1"/>
  <c r="E45" i="5"/>
  <c r="T35" i="7"/>
  <c r="D40" i="5"/>
  <c r="D42" i="5" s="1"/>
  <c r="D43" i="5" s="1"/>
  <c r="D45" i="5" s="1"/>
  <c r="D15" i="5"/>
  <c r="J5" i="11"/>
  <c r="N7" i="8"/>
  <c r="V33" i="7"/>
  <c r="AB30" i="7"/>
  <c r="P12" i="2"/>
  <c r="D27" i="5"/>
  <c r="B2" i="12"/>
  <c r="B2" i="11"/>
  <c r="B2" i="9"/>
  <c r="B33" i="9" s="1"/>
  <c r="B2" i="8"/>
  <c r="B33" i="8" s="1"/>
  <c r="B2" i="10"/>
  <c r="B2" i="7"/>
  <c r="B33" i="7" s="1"/>
  <c r="B2" i="3"/>
  <c r="B2" i="4"/>
  <c r="B2" i="5"/>
  <c r="T35" i="8"/>
  <c r="F9" i="5"/>
  <c r="Q7" i="7"/>
  <c r="T33" i="9"/>
  <c r="T35" i="9"/>
  <c r="N12" i="7"/>
  <c r="N11" i="7"/>
  <c r="V33" i="8"/>
  <c r="AB30" i="8"/>
  <c r="F24" i="11"/>
  <c r="F23" i="11"/>
  <c r="F25" i="11" s="1"/>
  <c r="F28" i="11" s="1"/>
  <c r="I14" i="12"/>
  <c r="H20" i="12"/>
  <c r="H21" i="12"/>
  <c r="H22" i="12"/>
  <c r="H23" i="12"/>
  <c r="H24" i="12"/>
  <c r="H25" i="12"/>
  <c r="H35" i="12"/>
  <c r="E23" i="10"/>
  <c r="E19" i="10"/>
  <c r="L14" i="10"/>
  <c r="L12" i="10"/>
  <c r="L10" i="10"/>
  <c r="E21" i="10"/>
  <c r="L15" i="10"/>
  <c r="L13" i="10"/>
  <c r="Y33" i="9" l="1"/>
  <c r="AB26" i="9" s="1"/>
  <c r="B35" i="9"/>
  <c r="Y35" i="9" s="1"/>
  <c r="O7" i="7"/>
  <c r="D10" i="5"/>
  <c r="N26" i="7"/>
  <c r="N25" i="7"/>
  <c r="N29" i="7"/>
  <c r="N30" i="7"/>
  <c r="N28" i="7"/>
  <c r="N27" i="7"/>
  <c r="Y33" i="7"/>
  <c r="AB26" i="7" s="1"/>
  <c r="B35" i="7"/>
  <c r="Y35" i="7" s="1"/>
  <c r="I26" i="8"/>
  <c r="I28" i="8"/>
  <c r="I25" i="8"/>
  <c r="I27" i="8"/>
  <c r="I29" i="8"/>
  <c r="I30" i="8"/>
  <c r="V33" i="9"/>
  <c r="U33" i="9"/>
  <c r="W33" i="9" s="1"/>
  <c r="J6" i="11"/>
  <c r="N7" i="9"/>
  <c r="F15" i="5"/>
  <c r="F25" i="5"/>
  <c r="F36" i="5" s="1"/>
  <c r="F14" i="5"/>
  <c r="B51" i="5"/>
  <c r="C12" i="2"/>
  <c r="B3" i="6" s="1"/>
  <c r="P13" i="2"/>
  <c r="Q7" i="8"/>
  <c r="N11" i="8"/>
  <c r="B4" i="8"/>
  <c r="E14" i="2" s="1"/>
  <c r="N13" i="8"/>
  <c r="N14" i="8"/>
  <c r="N33" i="8"/>
  <c r="N35" i="8"/>
  <c r="N15" i="8"/>
  <c r="N12" i="8"/>
  <c r="H25" i="9"/>
  <c r="H29" i="9"/>
  <c r="H30" i="9"/>
  <c r="H26" i="9"/>
  <c r="H28" i="9"/>
  <c r="H27" i="9"/>
  <c r="H25" i="8"/>
  <c r="H27" i="8"/>
  <c r="H29" i="8"/>
  <c r="H30" i="8"/>
  <c r="H26" i="8"/>
  <c r="H28" i="8"/>
  <c r="I20" i="12"/>
  <c r="I21" i="12"/>
  <c r="I22" i="12"/>
  <c r="I23" i="12"/>
  <c r="I24" i="12"/>
  <c r="I25" i="12"/>
  <c r="J14" i="12"/>
  <c r="V35" i="9"/>
  <c r="U35" i="9"/>
  <c r="W35" i="9" s="1"/>
  <c r="U35" i="8"/>
  <c r="W35" i="8" s="1"/>
  <c r="V35" i="8"/>
  <c r="I26" i="9"/>
  <c r="I28" i="9"/>
  <c r="I27" i="9"/>
  <c r="I25" i="9"/>
  <c r="I29" i="9"/>
  <c r="I30" i="9"/>
  <c r="Q11" i="7"/>
  <c r="Q12" i="7"/>
  <c r="Q13" i="7"/>
  <c r="Q14" i="7"/>
  <c r="Q15" i="7"/>
  <c r="B35" i="8"/>
  <c r="Y35" i="8" s="1"/>
  <c r="Y33" i="8"/>
  <c r="AB26" i="8" s="1"/>
  <c r="E34" i="11"/>
  <c r="B31" i="11"/>
  <c r="U35" i="7"/>
  <c r="W35" i="7" s="1"/>
  <c r="V35" i="7"/>
  <c r="E32" i="11" l="1"/>
  <c r="F32" i="11" s="1"/>
  <c r="E35" i="11"/>
  <c r="F35" i="11" s="1"/>
  <c r="E33" i="11"/>
  <c r="F33" i="11" s="1"/>
  <c r="B4" i="9"/>
  <c r="E15" i="2" s="1"/>
  <c r="N13" i="9"/>
  <c r="Q7" i="9"/>
  <c r="N11" i="9"/>
  <c r="N15" i="9"/>
  <c r="N12" i="9"/>
  <c r="N14" i="9"/>
  <c r="N33" i="9"/>
  <c r="N35" i="9"/>
  <c r="D17" i="5"/>
  <c r="D16" i="5"/>
  <c r="D19" i="5" s="1"/>
  <c r="D26" i="5"/>
  <c r="S12" i="7"/>
  <c r="Q13" i="8"/>
  <c r="Q11" i="8"/>
  <c r="Q12" i="8"/>
  <c r="Q15" i="8"/>
  <c r="Q14" i="8"/>
  <c r="B39" i="11"/>
  <c r="E42" i="11"/>
  <c r="O11" i="7"/>
  <c r="O12" i="7"/>
  <c r="O13" i="7"/>
  <c r="O14" i="7"/>
  <c r="O15" i="7"/>
  <c r="O33" i="7"/>
  <c r="X33" i="7" s="1"/>
  <c r="O35" i="7"/>
  <c r="X35" i="7" s="1"/>
  <c r="S13" i="7"/>
  <c r="N26" i="8"/>
  <c r="N28" i="8"/>
  <c r="N25" i="8"/>
  <c r="N27" i="8"/>
  <c r="N29" i="8"/>
  <c r="N30" i="8"/>
  <c r="S15" i="7"/>
  <c r="S11" i="7"/>
  <c r="Q26" i="7"/>
  <c r="Q25" i="7"/>
  <c r="Q29" i="7"/>
  <c r="Q30" i="7"/>
  <c r="Q27" i="7"/>
  <c r="Q28" i="7"/>
  <c r="J20" i="12"/>
  <c r="J21" i="12"/>
  <c r="J22" i="12"/>
  <c r="J23" i="12"/>
  <c r="J24" i="12"/>
  <c r="J25" i="12"/>
  <c r="K14" i="12"/>
  <c r="P14" i="2"/>
  <c r="C13" i="2"/>
  <c r="B3" i="7" s="1"/>
  <c r="F42" i="5"/>
  <c r="F43" i="5" s="1"/>
  <c r="F45" i="5" s="1"/>
  <c r="S14" i="7"/>
  <c r="N26" i="9" l="1"/>
  <c r="N28" i="9"/>
  <c r="N27" i="9"/>
  <c r="N25" i="9"/>
  <c r="N30" i="9"/>
  <c r="N29" i="9"/>
  <c r="P15" i="2"/>
  <c r="C14" i="2"/>
  <c r="B3" i="8" s="1"/>
  <c r="S25" i="7"/>
  <c r="S27" i="7"/>
  <c r="T11" i="7"/>
  <c r="S26" i="7"/>
  <c r="S28" i="7"/>
  <c r="S29" i="7"/>
  <c r="S30" i="7"/>
  <c r="E43" i="11"/>
  <c r="F43" i="11" s="1"/>
  <c r="E41" i="11"/>
  <c r="F41" i="11" s="1"/>
  <c r="E40" i="11"/>
  <c r="F40" i="11" s="1"/>
  <c r="S12" i="8"/>
  <c r="Q11" i="9"/>
  <c r="Q15" i="9"/>
  <c r="Q13" i="9"/>
  <c r="Q14" i="9"/>
  <c r="Q12" i="9"/>
  <c r="T14" i="7"/>
  <c r="K20" i="12"/>
  <c r="K21" i="12"/>
  <c r="K22" i="12"/>
  <c r="K23" i="12"/>
  <c r="K24" i="12"/>
  <c r="K25" i="12"/>
  <c r="Q27" i="8"/>
  <c r="S11" i="8"/>
  <c r="Q29" i="8"/>
  <c r="Q30" i="8"/>
  <c r="Q26" i="8"/>
  <c r="Q28" i="8"/>
  <c r="Q25" i="8"/>
  <c r="T12" i="7"/>
  <c r="S15" i="8"/>
  <c r="T15" i="7"/>
  <c r="T13" i="7"/>
  <c r="O26" i="7"/>
  <c r="O25" i="7"/>
  <c r="O27" i="7"/>
  <c r="O29" i="7"/>
  <c r="O30" i="7"/>
  <c r="O28" i="7"/>
  <c r="S14" i="8"/>
  <c r="S13" i="8"/>
  <c r="D29" i="5"/>
  <c r="D30" i="5" s="1"/>
  <c r="D32" i="5" s="1"/>
  <c r="D48" i="5" s="1"/>
  <c r="F34" i="11"/>
  <c r="F37" i="11" s="1"/>
  <c r="F42" i="11" l="1"/>
  <c r="F45" i="11" s="1"/>
  <c r="F10" i="5" s="1"/>
  <c r="O7" i="9"/>
  <c r="V11" i="7"/>
  <c r="T26" i="7"/>
  <c r="T25" i="7"/>
  <c r="U11" i="7"/>
  <c r="T27" i="7"/>
  <c r="T29" i="7"/>
  <c r="T30" i="7"/>
  <c r="T28" i="7"/>
  <c r="V13" i="7"/>
  <c r="U13" i="7"/>
  <c r="W13" i="7" s="1"/>
  <c r="S12" i="9"/>
  <c r="Q27" i="9"/>
  <c r="Q26" i="9"/>
  <c r="Q28" i="9"/>
  <c r="Q25" i="9"/>
  <c r="Q29" i="9"/>
  <c r="S11" i="9"/>
  <c r="Q30" i="9"/>
  <c r="V14" i="7"/>
  <c r="X14" i="7" s="1"/>
  <c r="Y14" i="7" s="1"/>
  <c r="U14" i="7"/>
  <c r="W14" i="7" s="1"/>
  <c r="S15" i="9"/>
  <c r="C15" i="2"/>
  <c r="B3" i="9" s="1"/>
  <c r="B52" i="5" s="1"/>
  <c r="P16" i="2"/>
  <c r="S14" i="9"/>
  <c r="V12" i="7"/>
  <c r="U12" i="7"/>
  <c r="W12" i="7" s="1"/>
  <c r="O7" i="8"/>
  <c r="E10" i="5"/>
  <c r="V15" i="7"/>
  <c r="U15" i="7"/>
  <c r="W15" i="7" s="1"/>
  <c r="S25" i="8"/>
  <c r="S27" i="8"/>
  <c r="S29" i="8"/>
  <c r="S30" i="8"/>
  <c r="S26" i="8"/>
  <c r="S28" i="8"/>
  <c r="S13" i="9"/>
  <c r="X12" i="7" l="1"/>
  <c r="Y12" i="7" s="1"/>
  <c r="X13" i="7"/>
  <c r="Y13" i="7" s="1"/>
  <c r="E17" i="5"/>
  <c r="E16" i="5"/>
  <c r="E19" i="5" s="1"/>
  <c r="E26" i="5"/>
  <c r="W11" i="7"/>
  <c r="U26" i="7"/>
  <c r="U25" i="7"/>
  <c r="U27" i="7"/>
  <c r="U29" i="7"/>
  <c r="U30" i="7"/>
  <c r="U28" i="7"/>
  <c r="F16" i="5"/>
  <c r="F19" i="5" s="1"/>
  <c r="F26" i="5"/>
  <c r="F17" i="5"/>
  <c r="V26" i="7"/>
  <c r="V25" i="7"/>
  <c r="V27" i="7"/>
  <c r="V29" i="7"/>
  <c r="V30" i="7"/>
  <c r="V28" i="7"/>
  <c r="X11" i="7"/>
  <c r="X15" i="7"/>
  <c r="Y15" i="7" s="1"/>
  <c r="O12" i="8"/>
  <c r="T12" i="8" s="1"/>
  <c r="O11" i="8"/>
  <c r="O13" i="8"/>
  <c r="T13" i="8" s="1"/>
  <c r="O14" i="8"/>
  <c r="T14" i="8" s="1"/>
  <c r="O33" i="8"/>
  <c r="X33" i="8" s="1"/>
  <c r="O35" i="8"/>
  <c r="X35" i="8" s="1"/>
  <c r="O15" i="8"/>
  <c r="T15" i="8" s="1"/>
  <c r="T14" i="9"/>
  <c r="O12" i="9"/>
  <c r="T12" i="9" s="1"/>
  <c r="O14" i="9"/>
  <c r="O33" i="9"/>
  <c r="X33" i="9" s="1"/>
  <c r="O35" i="9"/>
  <c r="X35" i="9" s="1"/>
  <c r="O11" i="9"/>
  <c r="O15" i="9"/>
  <c r="T15" i="9" s="1"/>
  <c r="O13" i="9"/>
  <c r="T13" i="9" s="1"/>
  <c r="C16" i="2"/>
  <c r="B3" i="10" s="1"/>
  <c r="F11" i="3" s="1"/>
  <c r="P17" i="2"/>
  <c r="S25" i="9"/>
  <c r="S29" i="9"/>
  <c r="S30" i="9"/>
  <c r="S26" i="9"/>
  <c r="S27" i="9"/>
  <c r="S28" i="9"/>
  <c r="T11" i="9"/>
  <c r="V15" i="9" l="1"/>
  <c r="U15" i="9"/>
  <c r="W15" i="9" s="1"/>
  <c r="V13" i="9"/>
  <c r="X13" i="9" s="1"/>
  <c r="Y13" i="9" s="1"/>
  <c r="U13" i="9"/>
  <c r="W13" i="9" s="1"/>
  <c r="U12" i="8"/>
  <c r="W12" i="8" s="1"/>
  <c r="V12" i="8"/>
  <c r="U12" i="9"/>
  <c r="W12" i="9" s="1"/>
  <c r="V12" i="9"/>
  <c r="U14" i="9"/>
  <c r="W14" i="9" s="1"/>
  <c r="V14" i="9"/>
  <c r="U14" i="8"/>
  <c r="W14" i="8" s="1"/>
  <c r="V14" i="8"/>
  <c r="V11" i="9"/>
  <c r="T26" i="9"/>
  <c r="T28" i="9"/>
  <c r="T27" i="9"/>
  <c r="U11" i="9"/>
  <c r="T29" i="9"/>
  <c r="T25" i="9"/>
  <c r="T30" i="9"/>
  <c r="P18" i="2"/>
  <c r="C18" i="2" s="1"/>
  <c r="B3" i="12" s="1"/>
  <c r="C17" i="2"/>
  <c r="B3" i="11" s="1"/>
  <c r="H10" i="5" s="1"/>
  <c r="H26" i="5" s="1"/>
  <c r="V15" i="8"/>
  <c r="U15" i="8"/>
  <c r="W15" i="8" s="1"/>
  <c r="V13" i="8"/>
  <c r="U13" i="8"/>
  <c r="W13" i="8" s="1"/>
  <c r="X26" i="7"/>
  <c r="X25" i="7"/>
  <c r="X29" i="7"/>
  <c r="X30" i="7"/>
  <c r="X28" i="7"/>
  <c r="X27" i="7"/>
  <c r="Y11" i="7"/>
  <c r="E29" i="5"/>
  <c r="E30" i="5" s="1"/>
  <c r="E32" i="5" s="1"/>
  <c r="E48" i="5" s="1"/>
  <c r="O29" i="9"/>
  <c r="O30" i="9"/>
  <c r="O25" i="9"/>
  <c r="O27" i="9"/>
  <c r="O26" i="9"/>
  <c r="O28" i="9"/>
  <c r="O29" i="8"/>
  <c r="O30" i="8"/>
  <c r="O26" i="8"/>
  <c r="O28" i="8"/>
  <c r="O25" i="8"/>
  <c r="O27" i="8"/>
  <c r="T11" i="8"/>
  <c r="F29" i="5"/>
  <c r="F30" i="5" s="1"/>
  <c r="F32" i="5" s="1"/>
  <c r="F48" i="5" s="1"/>
  <c r="W25" i="7"/>
  <c r="W26" i="7"/>
  <c r="W28" i="7"/>
  <c r="W27" i="7"/>
  <c r="W29" i="7"/>
  <c r="W30" i="7"/>
  <c r="X14" i="9" l="1"/>
  <c r="Y14" i="9" s="1"/>
  <c r="X12" i="8"/>
  <c r="Y12" i="8" s="1"/>
  <c r="D9" i="3"/>
  <c r="D13" i="3" s="1"/>
  <c r="D17" i="3" s="1"/>
  <c r="Y26" i="7"/>
  <c r="Y25" i="7"/>
  <c r="Y27" i="7"/>
  <c r="Y30" i="7"/>
  <c r="Y29" i="7"/>
  <c r="Y28" i="7"/>
  <c r="X13" i="8"/>
  <c r="Y13" i="8" s="1"/>
  <c r="U29" i="9"/>
  <c r="U30" i="9"/>
  <c r="U25" i="9"/>
  <c r="U27" i="9"/>
  <c r="U28" i="9"/>
  <c r="W11" i="9"/>
  <c r="U26" i="9"/>
  <c r="V27" i="9"/>
  <c r="V26" i="9"/>
  <c r="V28" i="9"/>
  <c r="V25" i="9"/>
  <c r="V30" i="9"/>
  <c r="V29" i="9"/>
  <c r="X11" i="9"/>
  <c r="X15" i="9"/>
  <c r="Y15" i="9" s="1"/>
  <c r="X14" i="8"/>
  <c r="Y14" i="8" s="1"/>
  <c r="X12" i="9"/>
  <c r="Y12" i="9" s="1"/>
  <c r="V11" i="8"/>
  <c r="T26" i="8"/>
  <c r="T28" i="8"/>
  <c r="T25" i="8"/>
  <c r="U11" i="8"/>
  <c r="T27" i="8"/>
  <c r="T29" i="8"/>
  <c r="T30" i="8"/>
  <c r="X15" i="8"/>
  <c r="Y15" i="8" s="1"/>
  <c r="Y31" i="7" l="1"/>
  <c r="AB27" i="7" s="1"/>
  <c r="AB29" i="7" s="1"/>
  <c r="AB31" i="7" s="1"/>
  <c r="U29" i="8"/>
  <c r="U30" i="8"/>
  <c r="U26" i="8"/>
  <c r="U28" i="8"/>
  <c r="U25" i="8"/>
  <c r="W11" i="8"/>
  <c r="U27" i="8"/>
  <c r="V27" i="8"/>
  <c r="V29" i="8"/>
  <c r="V30" i="8"/>
  <c r="V26" i="8"/>
  <c r="V28" i="8"/>
  <c r="V25" i="8"/>
  <c r="X11" i="8"/>
  <c r="X26" i="9"/>
  <c r="X28" i="9"/>
  <c r="X27" i="9"/>
  <c r="X30" i="9"/>
  <c r="X25" i="9"/>
  <c r="X29" i="9"/>
  <c r="Y11" i="9"/>
  <c r="W25" i="9"/>
  <c r="W29" i="9"/>
  <c r="W30" i="9"/>
  <c r="W26" i="9"/>
  <c r="W27" i="9"/>
  <c r="W28" i="9"/>
  <c r="X26" i="8" l="1"/>
  <c r="X28" i="8"/>
  <c r="X25" i="8"/>
  <c r="X27" i="8"/>
  <c r="X29" i="8"/>
  <c r="X30" i="8"/>
  <c r="Y11" i="8"/>
  <c r="W25" i="8"/>
  <c r="W27" i="8"/>
  <c r="W29" i="8"/>
  <c r="W30" i="8"/>
  <c r="W26" i="8"/>
  <c r="W28" i="8"/>
  <c r="Y30" i="9"/>
  <c r="Y29" i="9"/>
  <c r="Y25" i="9"/>
  <c r="Y27" i="9"/>
  <c r="Y26" i="9"/>
  <c r="Y28" i="9"/>
  <c r="Y31" i="9" l="1"/>
  <c r="AB27" i="9" s="1"/>
  <c r="AB29" i="9" s="1"/>
  <c r="AB31" i="9" s="1"/>
  <c r="Y30" i="8"/>
  <c r="Y29" i="8"/>
  <c r="Y26" i="8"/>
  <c r="Y28" i="8"/>
  <c r="Y25" i="8"/>
  <c r="Y31" i="8" s="1"/>
  <c r="AB27" i="8" s="1"/>
  <c r="AB29" i="8" s="1"/>
  <c r="AB31" i="8" s="1"/>
  <c r="Y27" i="8"/>
</calcChain>
</file>

<file path=xl/sharedStrings.xml><?xml version="1.0" encoding="utf-8"?>
<sst xmlns="http://schemas.openxmlformats.org/spreadsheetml/2006/main" count="649" uniqueCount="307">
  <si>
    <t>Satellite Healthcare</t>
  </si>
  <si>
    <t>Privileged and Confidential</t>
  </si>
  <si>
    <t>Outline</t>
  </si>
  <si>
    <t>Number of Pages</t>
  </si>
  <si>
    <t>A</t>
  </si>
  <si>
    <t>B</t>
  </si>
  <si>
    <t>Workpapers</t>
  </si>
  <si>
    <t>Discount Summary</t>
  </si>
  <si>
    <t>Discounts</t>
  </si>
  <si>
    <t>Reference</t>
  </si>
  <si>
    <t>DLOM</t>
  </si>
  <si>
    <t>(a)</t>
  </si>
  <si>
    <t>DLOC</t>
  </si>
  <si>
    <t>(b)</t>
  </si>
  <si>
    <t>Total Discount</t>
  </si>
  <si>
    <t>(c) = (a) + (b)</t>
  </si>
  <si>
    <t>9-Factor Adjustment</t>
  </si>
  <si>
    <t>(d)</t>
  </si>
  <si>
    <t>Adjusted Total Discount</t>
  </si>
  <si>
    <t>(e) = (c) * [1+(d)]</t>
  </si>
  <si>
    <t>9-Factor Discount Adjustment Analysis</t>
  </si>
  <si>
    <t>9-Factor Analysis</t>
  </si>
  <si>
    <t>Parameter</t>
  </si>
  <si>
    <t>Weight</t>
  </si>
  <si>
    <t>Score (1 to 3)</t>
  </si>
  <si>
    <t>Discount Impact</t>
  </si>
  <si>
    <t>Score 
(-2 to 2)</t>
  </si>
  <si>
    <t>Adjustment</t>
  </si>
  <si>
    <t>Comment(s)</t>
  </si>
  <si>
    <t>Description</t>
  </si>
  <si>
    <t>Score</t>
  </si>
  <si>
    <t>Low</t>
  </si>
  <si>
    <t>Decrease</t>
  </si>
  <si>
    <t>Ability to Sell Interest</t>
  </si>
  <si>
    <t>High</t>
  </si>
  <si>
    <t>Increase</t>
  </si>
  <si>
    <t>Moderate</t>
  </si>
  <si>
    <t>Slight Decrease</t>
  </si>
  <si>
    <t>Cash Distributions</t>
  </si>
  <si>
    <t>Slight Increase</t>
  </si>
  <si>
    <t>Cash Distribution based on ownership, however, distributable cash determined based on sole discretion of the Manager, i.e. Satellite.</t>
  </si>
  <si>
    <t>Neutral</t>
  </si>
  <si>
    <t>Ownership Risk</t>
  </si>
  <si>
    <t>Agreement Term</t>
  </si>
  <si>
    <t>Historical Profits</t>
  </si>
  <si>
    <t>Debt</t>
  </si>
  <si>
    <t>No significant debt.</t>
  </si>
  <si>
    <t>Diversification</t>
  </si>
  <si>
    <t>Management Motivation</t>
  </si>
  <si>
    <t>Motivation assumed to be profit-oriented, considering the Company is professionally managed.</t>
  </si>
  <si>
    <t>Control of Management</t>
  </si>
  <si>
    <t>Total Adjustment</t>
  </si>
  <si>
    <t>Discount for Lack of Marketability</t>
  </si>
  <si>
    <t>Finnerty</t>
  </si>
  <si>
    <t xml:space="preserve">Years to Maturity </t>
  </si>
  <si>
    <t>(1)</t>
  </si>
  <si>
    <t>Risk-Free Rate</t>
  </si>
  <si>
    <t>Dividend Yield</t>
  </si>
  <si>
    <t>Volatility</t>
  </si>
  <si>
    <t>(2)</t>
  </si>
  <si>
    <t>(sigma^2)*T</t>
  </si>
  <si>
    <t>v</t>
  </si>
  <si>
    <t>Calculated DLOM</t>
  </si>
  <si>
    <t>Protective Put (European)</t>
  </si>
  <si>
    <t>Starting Price</t>
  </si>
  <si>
    <t>Strike Price</t>
  </si>
  <si>
    <t>Years to Maturity</t>
  </si>
  <si>
    <t>D1</t>
  </si>
  <si>
    <t>D2</t>
  </si>
  <si>
    <t>Asian Put</t>
  </si>
  <si>
    <t>v2T</t>
  </si>
  <si>
    <t>vT</t>
  </si>
  <si>
    <t>Concluded DLOM (3)</t>
  </si>
  <si>
    <t>Footnotes:</t>
  </si>
  <si>
    <t>(3)</t>
  </si>
  <si>
    <t>Summary of Restricted Stock Studies</t>
  </si>
  <si>
    <t>Study</t>
  </si>
  <si>
    <t>Discount</t>
  </si>
  <si>
    <t>Pre-1990</t>
  </si>
  <si>
    <t>Post-1990</t>
  </si>
  <si>
    <t>SEC overall average</t>
  </si>
  <si>
    <t>FMV Opinions, Inc.</t>
  </si>
  <si>
    <t>Gelman</t>
  </si>
  <si>
    <t>Management Planning, Inc.</t>
  </si>
  <si>
    <t>Trout</t>
  </si>
  <si>
    <t>Bajaj, et al.</t>
  </si>
  <si>
    <t>Moroney</t>
  </si>
  <si>
    <t>Johnson</t>
  </si>
  <si>
    <t>Maher</t>
  </si>
  <si>
    <t>Columbia Financial Advisors</t>
  </si>
  <si>
    <t>Standard Research Consultants</t>
  </si>
  <si>
    <t>Silber</t>
  </si>
  <si>
    <t>Willamette Management Associates</t>
  </si>
  <si>
    <t>Pre-1990 mean discount</t>
  </si>
  <si>
    <t>Post-1990 mean discount</t>
  </si>
  <si>
    <t>Val Date</t>
  </si>
  <si>
    <t>Filing</t>
  </si>
  <si>
    <t>F</t>
  </si>
  <si>
    <t>Values in $ Millions</t>
  </si>
  <si>
    <t>Version</t>
  </si>
  <si>
    <t>LFR</t>
  </si>
  <si>
    <t>Currency</t>
  </si>
  <si>
    <t>USD</t>
  </si>
  <si>
    <t>Conversion</t>
  </si>
  <si>
    <t>H</t>
  </si>
  <si>
    <t>Capitalization</t>
  </si>
  <si>
    <t>Asset Volatility Key Terms</t>
  </si>
  <si>
    <t>Asset Volatility Calculations</t>
  </si>
  <si>
    <t>Guideline Public Companies</t>
  </si>
  <si>
    <t>Market Cap</t>
  </si>
  <si>
    <t>Pref.</t>
  </si>
  <si>
    <t>Min. Int.</t>
  </si>
  <si>
    <t>Total Debt, Pref., MI</t>
  </si>
  <si>
    <t>MVIC</t>
  </si>
  <si>
    <t>Cash &amp; Equiv.</t>
  </si>
  <si>
    <t>Ent. Value</t>
  </si>
  <si>
    <t>Term</t>
  </si>
  <si>
    <t>Equity Vol.</t>
  </si>
  <si>
    <t>Variance</t>
  </si>
  <si>
    <t>N(D1)</t>
  </si>
  <si>
    <t>N(D2)</t>
  </si>
  <si>
    <t>Call Value</t>
  </si>
  <si>
    <t xml:space="preserve">Asset Vol. </t>
  </si>
  <si>
    <t>Ticker</t>
  </si>
  <si>
    <t>Asset Volatility - Company (For DLOM)</t>
  </si>
  <si>
    <t xml:space="preserve">Mean </t>
  </si>
  <si>
    <t>Asset Volatility - Comps</t>
  </si>
  <si>
    <t>Update this if not taking median</t>
  </si>
  <si>
    <t>Median</t>
  </si>
  <si>
    <t>1st Quartile</t>
  </si>
  <si>
    <t>3rd Quartile</t>
  </si>
  <si>
    <t>Selected</t>
  </si>
  <si>
    <t>Footnote:</t>
  </si>
  <si>
    <r>
      <t xml:space="preserve">The derivation of asset volatilities was estimated based on the methodologies outlined in Crosbie's paper entitled </t>
    </r>
    <r>
      <rPr>
        <i/>
        <sz val="10"/>
        <color theme="1"/>
        <rFont val="Times New Roman"/>
        <family val="1"/>
      </rPr>
      <t>Modeling Default Risk</t>
    </r>
    <r>
      <rPr>
        <sz val="10"/>
        <color theme="1"/>
        <rFont val="Times New Roman"/>
        <family val="1"/>
      </rPr>
      <t>.</t>
    </r>
  </si>
  <si>
    <t>Given the small size of the Company compared to well-capitalized Guideline Public Companies, we selected volatility between third quartile and high end of the range.</t>
  </si>
  <si>
    <t>Source: Capital IQ</t>
  </si>
  <si>
    <t>Control Premium Summary</t>
  </si>
  <si>
    <t>Capital IQ (1)</t>
  </si>
  <si>
    <t>Health Services</t>
  </si>
  <si>
    <t>1-Month</t>
  </si>
  <si>
    <t>Mean</t>
  </si>
  <si>
    <t>Combined  (3)</t>
  </si>
  <si>
    <t>Close Date</t>
  </si>
  <si>
    <t>Target Name</t>
  </si>
  <si>
    <t>Target Business Description</t>
  </si>
  <si>
    <t>Source</t>
  </si>
  <si>
    <t xml:space="preserve">Long Description </t>
  </si>
  <si>
    <t xml:space="preserve">Kindred Healthcare operates long-term acute care (LTAC) hospitals and inpatient rehabilitation facilities, as well as offers contract rehabilitation services. </t>
  </si>
  <si>
    <t>Transaction Screening 2</t>
  </si>
  <si>
    <t xml:space="preserve">Kindred Healthcare, LLC, through its subsidiaries, operates as a healthcare services company in the United States. The company operates long-term acute care (LTAC) hospitals and inpatient rehabilitation facilities, as well as offers contract rehabilitation services. As of March 31, 2018, it provided healthcare services in 1,831 locations in 45 states, including 75 LTAC hospitals, 19 inpatient rehabilitation hospitals, 13 sub-acute units, and 98 inpatient rehabilitation units (hospital-based), as well as contract rehabilitation service businesses which served 1,626 non-affiliated sites of service. The company was formerly known as Kindred Healthcare, Inc. and changed its name to Kindred Healthcare, LLC in July 2018. Kindred Healthcare, LLC is based in Louisville, Kentucky.
</t>
  </si>
  <si>
    <t>Almost Family, Inc.</t>
  </si>
  <si>
    <t>Almost Family, Inc., together with its subsidiaries, operates through three segments: Home Health, Other Home-Based Services, and Healthcare Innovations. The Home Health segment offers a range of Medicare-certified home health nursing services to patients in need of recuperative health care.</t>
  </si>
  <si>
    <t xml:space="preserve">"As of March 29, 2018, Almost Family, Inc. was acquired by LHC Group, Inc. Almost Family, Inc., together with its subsidiaries, provides home healthcare services in the United States. The company operates through three segments: Home Health, Other Home-Based Services, and Healthcare Innovations. The Home Health segment offers a range of Medicare-certified home health nursing services to patients in need of recuperative health care, as well as services to patients in lieu of additional care in other settings, including long term acute care hospitals, inpatient rehabilitation hospitals, or skilled nursing facilities. This segment also provides special clinically-based protocols to medically complex, chronic, and co-morbid patients. The Other Home-Based Services segment offers personal care, medication management, meal preparation, caregiver respite, and homemaking services in patients’ homes primarily on an as-needed, hourly basis, as well as to patients who would otherwise be admitted to skilled nursing facilities for long term custodial care. The Healthcare Innovations segment engages in the technology, information, population health management, risk-sharing, assessment, care coordination and transition, clinical advancements, enhanced patient engagement, and informed clinical decision activities. As of February 26, 2018, the company offered its home healthcare services with approximately 330 branch locations in 26 states. Almost Family, Inc. was founded in 1976 and is based in Louisville, Kentucky.
"
</t>
  </si>
  <si>
    <t>PharMerica Corporation</t>
  </si>
  <si>
    <t xml:space="preserve">PharMerica Corporation offers services to healthcare facilities; pharmacy management services to hospitals; specialty infusion services to patients outside hospitals; and oncology pharmacy services. </t>
  </si>
  <si>
    <t xml:space="preserve">PharMerica Corporation operates as an institutional pharmacy services company in the United States. The company offers services to healthcare facilities; pharmacy management services to hospitals; specialty infusion services to patients outside hospitals; and oncology pharmacy services. It purchases, repackages, and dispenses prescription and non-prescription pharmaceuticals in accordance with physician orders and delivers such medication to healthcare facilities for administration to individual patients and residents. The company also provides hospital pharmacy management services, including hospital pharmacy operations, regulatory and financial management services, and clinical pharmacy programs; consultant pharmacist services and medical records services; and care management and other related services to patients, oncology practices, and hospitals. It operates 99 institutional, 19 specialty infusion, and 4 specialty oncology pharmacies in 45 states. The company serves institutional healthcare providers, such as skilled nursing facilities, nursing centers, assisted living facilities, hospitals, individuals receiving in-home care, and other long-term alternative care providers. PharMerica Corporation was founded in 2006 and is headquartered in Louisville, Kentucky. As of December 7, 2017, PharMerica Corporation was taken private.
</t>
  </si>
  <si>
    <t>Pulse Health Limited</t>
  </si>
  <si>
    <t>Pulse Health Limited, together with its subsidiaries, acquires, develops, and operates specialist private hospitals and day surgeries in Australia. The company operates rehabilitation hospitals and units that provide interdisciplinary rehabilitation services for inpatients and outpatient/day therapy programs; and provides a range of surgical services.</t>
  </si>
  <si>
    <t>Pulse Health Limited, together with its subsidiaries, acquires, develops, and operates specialist private hospitals and day surgeries in Australia. The company operates rehabilitation hospitals and units that provide interdisciplinary rehabilitation services for inpatients and outpatient/day therapy programs; and provides a range of surgical services. Its rehabilitation services include joint replacements and fractures; musculoskeletal; multi-trauma rehabilitation; amputation rehabilitation and gait retraining; stroke, traumatic brain injury, multiple sclerosis, and Parkinson’s disease; spasticity management; pain management; reconditioning; cancer rehabilitation; cardiac (Phase II) and pulmonary programs; falls prevention and balance programs; and hydrotherapy. The company offers surgical services in the areas of ophthalmology; general surgery, including endoscopy; gynecology; orthopedics; plastic surgery; ear, nose, and throat; and oral and maxillofacial specialties. Pulse Health Limited is headquartered in Sydney, Australia. Pulse Health Limited operates as a subsidiary of Health Care Australia Pty Ltd.</t>
  </si>
  <si>
    <t>Health Net, Inc.</t>
  </si>
  <si>
    <t xml:space="preserve">Health Net, Inc. provides managed health care services through health and government-sponsored managed care plans in the United States. It operates through Western Region Operations and Government Contracts segments. The company offers various health care services, including ambulatory and outpatient physician care, hospital care, pharmacy services, behavioral health, and ancillary diagnostic and therapeutic services. </t>
  </si>
  <si>
    <t>Health Net, Inc. provides managed health care services through health and government-sponsored managed care plans in the United States. It operates through Western Region Operations and Government Contracts segments. The company offers various health care services, including ambulatory and outpatient physician care, hospital care, pharmacy services, behavioral health, and ancillary diagnostic and therapeutic services. It also offers health plans, such as a matrix package, which allows employers and members to select their desired coverage from various alternatives; and commercial health care products comprising health maintenance organization, preferred provider organization (PPO), point of service, and exclusive provider organization (EPO) plans. In addition, the company provides various Medicare products, including Medicare advantage plans with and without prescription drug coverage; and Medicare supplement products that supplement traditional fee-for-service Medicare coverage. Further, the company offers Medicaid and related products; insured PPO, EPO, and indemnity products; auxiliary non-health products, such as life, accidental death and dismemberment, dental, vision, and behavioral health insurance; and other specialty services and products comprising pharmacy benefits, as well as managed care products for hospitals, health plans, and other entities. Additionally, it is involved in government-sponsored managed care federal contract with the Department of Defense under the TRICARE program; and other health care, mental health, and behavioral health government contracts. The company also provides administrative services comprising provider network management, referral management, medical management, disease management, enrollment, customer service, clinical support service, and claims processing. Health Net, Inc. was founded in 1979 and is based in Woodland Hills, California. As of March 24, 2016, Health Net, Inc. operates as a subsidiary of Centene Corp.</t>
  </si>
  <si>
    <t>Omnicare Inc.</t>
  </si>
  <si>
    <t>Omnicare, Inc. operates as a healthcare services company that specializes in the management of pharmaceutical care in the United States. The company’s Long-Term Care Group segment offers pharmaceuticals, and related pharmacy and ancillary services to long-term care facilities; and chronic care facilities and other settings. This segment also operates institutional pharmacy business serving skilled nursing and assisted living facilities, independent living communities, hospitals, correctional facilities, and other healthcare service providers; and provides monthly patient drug therapy evaluations, and assistance in compliance with state and federal regulations, as well as offers proprietary clinical and health management programs.</t>
  </si>
  <si>
    <t>Omnicare, Inc. operates as a healthcare services company that specializes in the management of pharmaceutical care in the United States. The company’s Long-Term Care Group segment offers pharmaceuticals, and related pharmacy and ancillary services to long-term care facilities; and chronic care facilities and other settings. This segment also operates institutional pharmacy business serving skilled nursing and assisted living facilities, independent living communities, hospitals, correctional facilities, and other healthcare service providers; and provides monthly patient drug therapy evaluations, and assistance in compliance with state and federal regulations, as well as offers proprietary clinical and health management programs. In addition, it provides a suite of technology solutions based on its Omniview Web-based platform as the electronic ordering of prescription refills, proof-of-delivery tracking, and real-time validation of Medicare Part D coverage; intravenous medications and nutrition products, respiratory therapy services, and clinical care planning services; and pharmaceutical case management services for retirees, employees, and dependents. Its Specialty Care Group segment provides specialty pharmacy and commercialization services for the biopharmaceutical industry; and provides brand support services, supply chain solutions, patient support services, and specialty pharmacy platforms. This segments specialized drugs deal primarily with drugs and disease states, such as rheumatoid arthritis, multiple sclerosis, oncology, and growth hormones. Omnicare, Inc. was founded in 1981 and is headquartered in Cincinnati, Ohio. As of August 18, 2015, Omnicare Inc. operates as a subsidiary of CVS Pharmacy, Inc.</t>
  </si>
  <si>
    <t>MergerStat</t>
  </si>
  <si>
    <t>Mergerstat Control Premium</t>
  </si>
  <si>
    <t>Surgery Partners, Inc.</t>
  </si>
  <si>
    <t xml:space="preserve">Surgery Partners, Inc. operates through three segments: Surgical Facility Services, Ancillary Services, and Optical Services. The company’s surgical hospitals also provide a diagnostic laboratory, multi-specialty physician practices, urgent care facilities, anesthesia services, and optical services. </t>
  </si>
  <si>
    <t>BD sourced from CapIQ</t>
  </si>
  <si>
    <t>Surgery Partners, Inc., through its subsidiaries, operates surgical facilities in the United States. The company operates through three segments: Surgical Facility Services, Ancillary Services, and Optical Services. Its surgical facilities comprise ambulatory surgery centers and surgical hospitals that offer non-emergency surgical procedures in various specialties, including gastroenterology, general surgery, ophthalmology, orthopedics, and pain management. The company’s surgical hospitals also provide ancillary services, such as diagnostic imaging, pharmacy, laboratory, obstetrics, oncology, physical therapy, and wound care; and a suite of ancillary services, which consist of a diagnostic laboratory, multi-specialty physician practices, urgent care facilities, anesthesia services, and optical services. It also operates optical laboratory that manufactures eyewear. As of March 12, 2018, the company operated approximately 180 locations in 32 states, including ambulatory surgery centers, surgical hospitals, a diagnostic laboratory, multi-specialty physician practices, and urgent care facilities. Surgery Partners, Inc. was founded in 2004 and is headquartered in Brentwood, Tennessee.</t>
  </si>
  <si>
    <t>Clinica Baviera SA</t>
  </si>
  <si>
    <t>Clínica Baviera, S.A. is involved in the diagnosis, treatment, and monitoring of various types of ophthalmological disorders. The company’s clinics offers surgery services.</t>
  </si>
  <si>
    <t>Clínica Baviera, S.A. operates a network of ophthalmological clinics. It is involved in the diagnosis, treatment, and monitoring of various types of ophthalmological disorders. The company’s clinics offers myopia, hypermetropia, astigmatism, presbyopia, cataract, retina, pediatric ophthalmology and estrabology, glaucoma, oculoplasty, cornea, neuroftalmología, lagrimal track, and other treatments, as well as refractive surgery services. It operates approximately 80 centers in Spain, Germany, Austria, and Italy. The company is based in Madrid, Spain. Clínica Baviera, S.A. is a subsidiary of Aier Eye International (Europe), S.L.U.</t>
  </si>
  <si>
    <t>Circle Holdings PLC</t>
  </si>
  <si>
    <t xml:space="preserve">Circle Holdings Plc, together with its subsidiaries, owns and operates hospitals. The company provides healthcare services to privately insured, self-pay, and NHS-funded patients. </t>
  </si>
  <si>
    <t>Circle Holdings Plc, together with its subsidiaries, owns and operates hospitals. The company provides healthcare services to privately insured, self-pay, and NHS-funded patients. It is also involved in property ownership and development, and management activities; and provision of medical practice and financing services. Circle Holdings Plc was incorporated in 2008 and is headquartered in London, United Kingdom.</t>
  </si>
  <si>
    <t xml:space="preserve">Healthway Medical Corp. Ltd. </t>
  </si>
  <si>
    <t xml:space="preserve">Healthway Medical Corporation Limited, operates in two segments, Primary Healthcare, and Specialist and Wellness Healthcare. </t>
  </si>
  <si>
    <t>Healthway Medical Corporation Limited, an investment holding company, provides healthcare management services primarily in Singapore and China. The company operates in two segments, Primary Healthcare, and Specialist and Wellness Healthcare. The Primary Healthcare segment offers services in family medicine, dentistry, and healthcare benefit management areas, as well as invests in strategic medical related business. The Specialist and Wellness Healthcare segment serves in the areas of pediatrics, orthopedics, aesthetic medicine, obstetrics, and gynecology; and cardiology, gastroenterology, psychiatry, ophthalmology, otorhinolaryngology, and general surgery. The company also provides managed healthcare, medical, and consultancy services; offers products and services related to wellness and beauty; and deals in pharmaceutical and medical products. It owns, operates, and manages approximately 91 clinics medical centers. Healthway Medical Corporation Limited was founded in 1990 and is based in Singapore. Healthway Medical Corporation Limited operates as a subsidiary of Lippo China Resources Limited.</t>
  </si>
  <si>
    <t xml:space="preserve">Surgical Care Affiliates, Inc. </t>
  </si>
  <si>
    <t>Surgical Care Affiliates, LLC operates a network of surgery centers and surgical hospitals in the United States. It has partnerships with health plans, physician groups, and health systems to develop and optimize surgical facilities. The company was founded in 1982 and is headquartered in Deerfield, Illinois. Surgical Care Affiliates, LLC operates as a subsidiary of Surgical Care Affiliates, Inc.</t>
  </si>
  <si>
    <t xml:space="preserve">USMD Holdings, Inc. </t>
  </si>
  <si>
    <t>USMD Holdings, Inc., provides healthcare services to patients in physician clinics, hospitals, cancer treatment centers, and anatomical pathology and clinical laboratories in the United States.</t>
  </si>
  <si>
    <t>USMD Holdings, Inc., an early-stage physician-led integrated health system, provides healthcare services to patients in physician clinics, hospitals, cancer treatment centers, and anatomical pathology and clinical laboratories in the United States. It also provides management and operational services to two general acute care hospitals in Arlington and Fort Worth, Texas; and management and/or operational services to three cancer treatment centers in three states. In addition, the company owns and operates one independent diagnostic testing facility, one cancer treatment center, two clinical laboratories, one anatomical pathology laboratory, and one multi-specialty physician group practice in the Dallas-Fort Worth, Texas metropolitan area. Further, it offers managed entities with management, information technology, operations, and/or revenue cycle support services; and provision of healthcare information technology consulting services to third parties. The company is headquartered in Irving, Texas. USMD Holdings, Inc. is a subsidiary of UANT Ventures, L.P. As of September 30, 2016, USMD Holdings, Inc. operates as a subsidiary of WellMed Medical Management Inc.</t>
  </si>
  <si>
    <t>Alliance HealthCare Services, Inc.</t>
  </si>
  <si>
    <t>Alliance Healthcare Services, Inc. operates through three segments: Radiology, Oncology, and Interventional. The company offers radiology services, such as magnetic resonance imaging (MRI). It also provides oncology services, including conventional beam therapy.</t>
  </si>
  <si>
    <t>Alliance Healthcare Services, Inc. provides outsourced healthcare services to hospitals and healthcare providers in the United States. It operates through three segments: Radiology, Oncology, and Interventional. The company offers radiology services, such as magnetic resonance imaging (MRI), positron emission tomography (PET) and computed tomography (CT), nuclear medicine, ultrasound, X-Ray, mammography, and bone density screening services. It also provides oncology services, including conventional beam therapy, three-dimensional conformal radiation therapy, intensity modulated radiation therapy, image guided radiation therapy, stereotactic radiosurgery and stereotactic body radiotherapy, and low dose rate and high dose rate brachytherapy, as well as planning and preparation for treatment, simulation of treatment, delivery of radiation therapy, therapy management, and follow-up care services. In addition, the company offers minimally invasive interventional radiology and pain management services for a range of conditions and diseases, as well as laboratory testing and other services. As of December 31, 2015, it operated 625 diagnostic imaging and radiation therapy systems, including 113 fixed-site radiology centers, 33 radiation therapy centers and stereotactic radiosurgery facilities, 298 MRI systems, and 128 PET/CT systems. The company was founded in 1983 and is headquartered in Newport Beach, California. As of August 21, 2017, Alliance Healthcare Services, Inc. was taken private.</t>
  </si>
  <si>
    <t xml:space="preserve">Message Co., Ltd. </t>
  </si>
  <si>
    <t>Operates nursing homes.</t>
  </si>
  <si>
    <t>Source: Surgisite Boston</t>
  </si>
  <si>
    <t xml:space="preserve">IPC Healthcare, Inc. </t>
  </si>
  <si>
    <t xml:space="preserve">IPC Healthcare, Inc. provides, manages, and coordinates the care of hospitalized patients; and serves as the inpatient partner of primary care physicians and specialists. </t>
  </si>
  <si>
    <t>IPC Healthcare, Inc. provides acute hospitalist and post-acute care services the United States. The company provides, manages, and coordinates the care of hospitalized patients; and serves as the inpatient partner of primary care physicians and specialists. It also offers information management system, transition management, regional management, recruiting, training, financial reporting, billing and collections, risk management, and compliance services to affiliated clinicians. As of December 31, 2014, the company had 1,860 affiliated clinicians, including physicians, nurse practitioners, and physician assistants practice in approximately 410 hospitals, and 1,500 other inpatient and post-acute care facilities primarily in 28 states. The company was formerly known as IPC The Hospitalist Company, Inc. and changed its name to IPC Healthcare, Inc. in January 2015. IPC Healthcare, Inc. was founded in 1995 and is headquartered in North Hollywood, California. As of November 23, 2015, IPC Healthcare, Inc. operates as a subsidiary of Team Health Holdings, Inc.</t>
  </si>
  <si>
    <t>Vision Eye Institute Ltd.</t>
  </si>
  <si>
    <t>Vision Eye Institute Limited offers a range of services, including specialist eye care in the areas of corneal, refractive, cataract, and vitreo-retinal surgery; ocular plastics; glaucoma treatment and surgery; and treatment for macular degeneration.</t>
  </si>
  <si>
    <t>Vision Eye Institute Limited, together with its subsidiaries, provides ophthalmic services in Australia. The company offers a range of services, including specialist eye care in the areas of corneal, refractive, cataract, and vitreo-retinal surgery; ocular plastics; glaucoma treatment and surgery; and treatment for macular degeneration. It operates 18 consulting clinics, 8 day surgeries, and 7 refractive surgery facilities in Victoria, New South Wales, and Queensland. The company was founded in 2001 and is headquartered in Melbourne, Australia. As of October 21, 2015, Vision Eye Institute Limited operates as a subsidiary of Jangho Group Co., Ltd.</t>
  </si>
  <si>
    <t>Selected Control Premium (Common)</t>
  </si>
  <si>
    <t>Implied Discount for Lack of Control ("DLOC") - Common</t>
  </si>
  <si>
    <t>VD</t>
  </si>
  <si>
    <t>Risk-Free Rates</t>
  </si>
  <si>
    <t>Exit Term Ranges (Years)</t>
  </si>
  <si>
    <t>Cap IQ</t>
  </si>
  <si>
    <t>Term (Years)</t>
  </si>
  <si>
    <t>Min</t>
  </si>
  <si>
    <t>Max</t>
  </si>
  <si>
    <t>United States Treasury Constant Maturity - 1 Month</t>
  </si>
  <si>
    <t>IQ36183813</t>
  </si>
  <si>
    <t>United States Treasury Constant Maturity - 3 Month</t>
  </si>
  <si>
    <t>IQ36183816</t>
  </si>
  <si>
    <t>United States Treasury Constant Maturity - 6 Month</t>
  </si>
  <si>
    <t>IQ36183819</t>
  </si>
  <si>
    <t>United States Treasury Constant Maturity - 1 Year</t>
  </si>
  <si>
    <t>IQ36183822</t>
  </si>
  <si>
    <t>United States Treasury Constant Maturity - 2 Year</t>
  </si>
  <si>
    <t>IQ36183825</t>
  </si>
  <si>
    <t>United States Treasury Constant Maturity - 3 Year</t>
  </si>
  <si>
    <t>IQ36183828</t>
  </si>
  <si>
    <t>United States Treasury Constant Maturity - 5 Year</t>
  </si>
  <si>
    <t>IQ36183831</t>
  </si>
  <si>
    <t>United States Treasury Constant Maturity - 7 Year</t>
  </si>
  <si>
    <t>IQ36183834</t>
  </si>
  <si>
    <t>United States Treasury Constant Maturity - 10 Year</t>
  </si>
  <si>
    <t>IQ36183837</t>
  </si>
  <si>
    <t>United States Treasury Constant Maturity - 20 Year</t>
  </si>
  <si>
    <t>IQ36183840</t>
  </si>
  <si>
    <t>United States Treasury Constant Maturity - 30 Year</t>
  </si>
  <si>
    <t>IQ36183843</t>
  </si>
  <si>
    <t>Term Same As Risk-Free Rate Duration</t>
  </si>
  <si>
    <t>Interpolated Risk-Free Rate</t>
  </si>
  <si>
    <t>Equity Volatility</t>
  </si>
  <si>
    <r>
      <t xml:space="preserve">Volatility </t>
    </r>
    <r>
      <rPr>
        <sz val="10"/>
        <color theme="1"/>
        <rFont val="Times New Roman"/>
        <family val="1"/>
      </rPr>
      <t>(1)</t>
    </r>
  </si>
  <si>
    <t>Years Lookback</t>
  </si>
  <si>
    <t>For certain Guideline Public Companies that were not public beyond the selected period, no historical volatility is available for the selected term. As such, we considered the latest available historical volatility for the purpose of analysis. These companies are highlighted in gray.</t>
  </si>
  <si>
    <t>CIQ Formula</t>
  </si>
  <si>
    <t>IQ_PRICE_VOL_HIST_3MTH</t>
  </si>
  <si>
    <t>IQ_PRICE_VOL_HIST_6MTH</t>
  </si>
  <si>
    <t>IQ_PRICE_VOL_HIST_YR</t>
  </si>
  <si>
    <t>IQ_PRICE_VOL_HIST_2YR</t>
  </si>
  <si>
    <t>IQ_PRICE_VOL_HIST_5YR</t>
  </si>
  <si>
    <t>Knowcraft Analytics</t>
  </si>
  <si>
    <t>Workpaper</t>
  </si>
  <si>
    <t>Valuation Date</t>
  </si>
  <si>
    <t>YEARLY VOLATILITY - OUTPUT</t>
  </si>
  <si>
    <t>Company Name</t>
  </si>
  <si>
    <t>Year 1</t>
  </si>
  <si>
    <t>Year 2</t>
  </si>
  <si>
    <t>Year 3</t>
  </si>
  <si>
    <t>Year 4</t>
  </si>
  <si>
    <t>Year 5</t>
  </si>
  <si>
    <t>Year 6</t>
  </si>
  <si>
    <t>Year 7</t>
  </si>
  <si>
    <t>Year 8</t>
  </si>
  <si>
    <t>First Pricing Date</t>
  </si>
  <si>
    <t>Fresenius SE &amp; Co. KGaA</t>
  </si>
  <si>
    <t>DaVita Inc.</t>
  </si>
  <si>
    <t>American Renal Associates Holdings, Inc.</t>
  </si>
  <si>
    <t>n/a</t>
  </si>
  <si>
    <t>(Invalid Identifier)</t>
  </si>
  <si>
    <t>MergerStat (2)</t>
  </si>
  <si>
    <t>DB:FRE</t>
  </si>
  <si>
    <t>NYSE:DVA</t>
  </si>
  <si>
    <t>NYSE:ARA</t>
  </si>
  <si>
    <t>CapitalIQ</t>
  </si>
  <si>
    <t>XTRA:FME</t>
  </si>
  <si>
    <t>IQ115544</t>
  </si>
  <si>
    <t>Fresenius Medical Care AG &amp; Co. KGaA</t>
  </si>
  <si>
    <t>NxStage Medical, Inc.</t>
  </si>
  <si>
    <t>Limited risk since Satellite is majority/controlling member, and the facility is relatively mature with stable revenues.</t>
  </si>
  <si>
    <t>Term of the Agreement expected to be until the end of the LLC's existence.</t>
  </si>
  <si>
    <t>Single center only in a particular geographical area; home program only.</t>
  </si>
  <si>
    <t>- Wellbound Santa Cruz</t>
  </si>
  <si>
    <t>Based on the above data, we concluded on a control premium close to the first quartile of the range exhibited by the transactions. The selected premium reflects pure control (and excludes transaction synergies).</t>
  </si>
  <si>
    <t>CONCLUDED EV</t>
  </si>
  <si>
    <t>*FROM MAIN MODEL</t>
  </si>
  <si>
    <t>Kindred Healthcare LLC</t>
  </si>
  <si>
    <t xml:space="preserve">Kindred Healthcare LLA os a private group led by TGP Capital, Welsh, Carson, Anderston &amp; Stowe and Humana Inc. It operates long-term acute care (LTAC) hospitals and inpatient rehabilitation facilities, as well as offers contract rehabilitation services. </t>
  </si>
  <si>
    <t xml:space="preserve">Outliers Above: </t>
  </si>
  <si>
    <t>CBA Florida, Inc.</t>
  </si>
  <si>
    <t>CBA Florida, Inc. does not have significant operations. Previously, the company provided umbilical cord blood and cord tissue stem cell processing and storage to families in the United States. The company was formerly known as Cord Blood America, Inc. and changed its name to CBA Florida, Inc. in May 2018. CBA Florida, Inc. is headquartered in Las Vegas, Nevada.</t>
  </si>
  <si>
    <t>Based on the average of Finnerty, Protective Put (European), and Asian Put.</t>
  </si>
  <si>
    <t>Transaction Premium</t>
  </si>
  <si>
    <t>(4)</t>
  </si>
  <si>
    <t>1-Month Transaction Premium</t>
  </si>
  <si>
    <t>1-Day Transaction Premium (4)</t>
  </si>
  <si>
    <t xml:space="preserve">Mergerstat considers prices 1-day prior to the announcement date, if no significant price and volume fluctuations occur. </t>
  </si>
  <si>
    <t>Source: Capital IQ.</t>
  </si>
  <si>
    <t>Source: 2018 Control Premium Study, MergerStat.</t>
  </si>
  <si>
    <t>Minority members have very limited control legally, but practically, the envisioned JV members will have meaningful influence on facility operations. Matters such as change of business activity, change in Membership Interest (based on admission/withdrawal of members), tax elections, sale/merger and liquidation or dissolution of the Company, require consent of Super Majority-in-Interest, (i.e. Satellite). Notwithstanding, the business is highly regulated and would require adherence regardless of the party in control.</t>
  </si>
  <si>
    <t>Positive EBITDA and EBIT for ~8 years with fluctuating margins; margins meaningfully positive when adjusting for management fees; upside potential given physical capacity for patient growth.</t>
  </si>
  <si>
    <t>Members cannot transfer interest without consent of Majority-in-Interest of Members (i.e. Satellite); however, Satellite Management represented that Satellite has historically provided JV partners liquidity options by either purchasing stakes or finding other potential buyers/investors. Possibility of relocating facility may impact ability (and timelines) of selling interest.</t>
  </si>
  <si>
    <t>CHECK</t>
  </si>
  <si>
    <t>*LINKED TO MAIN MODEL</t>
  </si>
  <si>
    <t>2128 Soquel Avenue</t>
  </si>
  <si>
    <t>Santa Cruz, CA 95062</t>
  </si>
  <si>
    <t>AwABTAVMT0NBTAFI/////wFQRgAAACdDSVEuREI6RlJFLklRX0RJVklERU5EX1lJRUxELjEyLzMxLzIwMTgBAAAAw2sNAAIAAAAGMS43NzY0AJMdhtJ/2NYIBg9f03/Y1ghDQ0lRLklRMTE1NTQ0LklRX01JTk9SSVRZX0lOVEVSRVNUX1RPVEFMLjIwMDAuMTIvMzEvMjAxOC5MRlIuRi5VU0QuSAEAAABYwwEAAgAAAAUwLjQyMQEIAAAABQAAAAExAQAAAAoxOTE5OTg2NDAzAwAAAAMxNjACAAAABDEzMTIEAAAAATAHAAAACjEyLzMxLzIwMTgIAAAACTkvMzAvMjAxOAkAAAABMJMdhtJ/2NYIX3Fh03/Y1ggSQ0lRLi5JUV9URVYuLlVTRC5IBQAAAAEAAAAIAAAAFChJbnZhbGlkIElkZW50aWZpZXIpR0xa03/Y1ghHTFrTf9jWCCRDSVEuSVExMTU1NDQuSVFfVEVWLjEyLzMxLzIwMTguVVNELkgBAAAAWMMBAAIAAAALMTg0MC4yOTg4ODUBBgAAAAUAAAABMQEAAAAKMTkxOTk4NjMyMAMAAAADMTYwAgAAAAYxMDAwNjAEAAAAATAHAAAACjEyLzMxLzIwMTiTHYbSf9jWCF9xYdN/2NYIKkNJUS5YVFJBOkZNRS5JUV9NQVJLRVRDQVAuMTIvMzEvMjAxOC5VU0QuSAEAAAAK3gUAAgAAAAwxOTg5OC45MzEzMzMBBgAAAAUAAAABMQEAAAAKMTkxNzI4NDM4OQMAAAADMTYwAgAAAAYxMDAwNTQEAAAAATAHAAAACjEyLzMxLzIwMTiTHYbSf9jWCAYPX9N/2NYIKUNJUS5YVFJBOkZNRS5JUV9ESVZJREVORF9ZSUVMRC4xMi8z</t>
  </si>
  <si>
    <t>MS8yMDE4AQAAAAreBQACAAAABjEuODcxNACTHYbSf9jWCAYPX9N/2NYINkNJUS5OWVNFOkFSQS5JUV9UT1RBTF9ERUJULjIwMDAuMTIvMzEvMjAxOC5MRlIuRi5VU0QuSAEAAAA9Gy8IAgAAAAc1NTMuOTU2AQgAAAAFAAAAATEBAAAACjE5MjExNjk0NTYDAAAAAzE2MAIAAAAENDE3MwQAAAABMAcAAAAKMTIvMzEvMjAxOAgAAAAJOS8zMC8yMDE4CQAAAAEwkx2G0n/Y1ghfcWHTf9jWCCpDSVEuSVEzNjE4MzgzNC5JUV9MQVNUU0FMRVBSSUNFLjEyLzMxLzIwMTgBAAAAGh8oAgIAAAAEMi41OQCTHYbSf9jWCF9xYdN/2NYIHENJUS5OWVNFOkRWQS5JUV9DT01QQU5ZX05BTUUBAAAAPIsAAAMAAAALRGFWaXRhIEluYy4Akx2G0n/Y1gj+F8TSf9jWCCBDSVEuSVEzNjE4MzgyOC5JUV9MQVNUU0FMRVBSSUNFLgEAAAAUHygCAgAAAAQyLjE1AEdMWtN/2NYIR0xa03/Y1ggqQ0lRLklRMzYxODM4MTMuSVFfTEFTVFNBTEVQUklDRS4xMi8zMS8yMDE4AQAAAAUfKAICAAAABDIuNDQAkx2G0n/Y1ghfcWHTf9jWCDpDSVEuWFRSQTpGTUUuSVFfQ0FTSF9TVF9JTlZFU1QuMjAwMC4xMi8zMS8yMDE4LkxGUi5GLlVTRC5IAQAAAAreBQACAAAACzIwMzcuOTM2NTYzAQgAAAAFAAAAATEBAAAACjE5MTcyODQ0NjcDAAAAAzE2MAIAAAAEMTAwMgQAAAABMAcAAAAKMTIvMzEvMjAxOAgAAAAJOS8zMC8yMDE4CQAAAAEwkx2G0n/Y</t>
  </si>
  <si>
    <t>1ggGD1/Tf9jWCCpDSVEuSVEzNjE4Mzg0MC5JUV9MQVNUU0FMRVBSSUNFLjEyLzMxLzIwMTgBAAAAIB8oAgIAAAAEMi44NwCTHYbSf9jWCF9xYdN/2NYIKkNJUS5JUTM2MTgzODIyLklRX0xBU1RTQUxFUFJJQ0UuMTIvMzEvMjAxOAEAAAAOHygCAgAAAAQyLjYzAJMdhtJ/2NYIX3Fh03/Y1gg3Q0lRLk5ZU0U6RFZBLklRX1BSRUZfRVFVSVRZLjIwMDAuMTIvMzEvMjAxOC5MRlIuRi5VU0QuSAEAAAA8iwAAAwAAAAAAkx2G0n/Y1ghfcWHTf9jWCCpDSVEuSVEzNjE4MzgyNS5JUV9MQVNUU0FMRVBSSUNFLjEyLzMxLzIwMTgBAAAAER8oAgIAAAAEMi40OACTHYbSf9jWCF9xYdN/2NYIOkNJUS5JUTExNTU0NC5JUV9DQVNIX1NUX0lOVkVTVC4yMDAwLjEyLzMxLzIwMTguTEZSLkYuVVNELkgBAAAAWMMBAAIAAAAGODEuOTQ0AQgAAAAFAAAAATEBAAAACjE5MTk5ODY0MDMDAAAAAzE2MAIAAAAEMTAwMgQAAAABMAcAAAAKMTIvMzEvMjAxOAgAAAAJOS8zMC8yMDE4CQAAAAEwkx2G0n/Y1ghfcWHTf9jWCClDSVEuTllTRTpBUkEuSVFfRElWSURFTkRfWUlFTEQuMTIvMzEvMjAxOAEAAAA9Gy8IAwAAAAAAkx2G0n/Y1ghfcWHTf9jWCCRDSVEuWFRSQTpGTUUuSVFfVEVWLjEyLzMxLzIwMTguVVNELkgBAAAACt4FAAIAAAAMMjc2MjIuMDQxMDE3AQYAAAAFAAAAATEBAAAACjE5MTcyODQzODkDAAAAAzE2MAIAAAAGMTAw</t>
  </si>
  <si>
    <t>MDYwBAAAAAEwBwAAAAoxMi8zMS8yMDE4kx2G0n/Y1ggGD1/Tf9jWCCJDSVEuREI6RlJFLklRX1RFVi4xMi8zMS8yMDE4LlVTRC5IAQAAAMNrDQACAAAADDU2MjkxLjM2MzMzMgEGAAAABQAAAAExAQAAAAoxOTE3NzY3NTY5AwAAAAMxNjACAAAABjEwMDA2MAQAAAABMAcAAAAKMTIvMzEvMjAxOJMdhtJ/2NYIBg9f03/Y1gggQ0lRLklRMzYxODM4MTYuSVFfTEFTVFNBTEVQUklDRS4BAAAACB8oAgIAAAAEMi40MQBHTFrTf9jWCEdMWtN/2NYIJENJUS4uSVFfVE9UQUxfREVCVC4yMDAwLi5MRlIuRi5VU0QuSAUAAAABAAAACAAAABQoSW52YWxpZCBJZGVudGlmaWVyKUdMWtN/2NYIR0xa03/Y1ggoQ0lRLi5JUV9DQVNIX1NUX0lOVkVTVC4yMDAwLi5MRlIuRi5VU0QuSAUAAAABAAAACAAAABQoSW52YWxpZCBJZGVudGlmaWVyKUdMWtN/2NYIR0xa03/Y1gglQ0lRLi5JUV9QUkVGX0VRVUlUWS4yMDAwLi5MRlIuRi5VU0QuSAUAAAABAAAACAAAABQoSW52YWxpZCBJZGVudGlmaWVyKUdMWtN/2NYIR0xa03/Y1ggXQ0lRLi5JUV9ESVZJREVORF9ZSUVMRC4FAAAAAQAAAAgAAAAUKEludmFsaWQgSWRlbnRpZmllcilHTFrTf9jWCEdMWtN/2NYINkNJUS5JUTExNTU0NC5JUV9UT1RBTF9ERUJULjIwMDAuMTIvMzEvMjAxOC5MRlIuRi5VU0QuSAEAAABYwwEAAgAAAAYxMy4zMDYBCAAAAAUAAAABMQEAAAAKMTkxOTk4</t>
  </si>
  <si>
    <t>NjQwMwMAAAADMTYwAgAAAAQ0MTczBAAAAAEwBwAAAAoxMi8zMS8yMDE4CAAAAAk5LzMwLzIwMTgJAAAAATCTHYbSf9jWCF9xYdN/2NYIKUNJUS5JUTExNTU0NC5JUV9ESVZJREVORF9ZSUVMRC4xMi8zMS8yMDE4AQAAAFjDAQADAAAAAACTHYbSf9jWCF9xYdN/2NYIMUNJUS4uSVFfTUlOT1JJVFlfSU5URVJFU1RfVE9UQUwuMjAwMC4uTEZSLkYuVVNELkgFAAAAAQAAAAgAAAAUKEludmFsaWQgSWRlbnRpZmllcilHTFrTf9jWCEdMWtN/2NYIKUNJUS5OWVNFOkRWQS5JUV9ESVZJREVORF9ZSUVMRC4xMi8zMS8yMDE4AQAAADyLAAADAAAAAACTHYbSf9jWCF9xYdN/2NYIIENJUS5JUTM2MTgzODM3LklRX0xBU1RTQUxFUFJJQ0UuAQAAAB0fKAICAAAAAzIuNABHTFrTf9jWCEdMWtN/2NYIQ0NJUS5OWVNFOkFSQS5JUV9NSU5PUklUWV9JTlRFUkVTVF9UT1RBTC4yMDAwLjEyLzMxLzIwMTguTEZSLkYuVVNELkgBAAAAPRsvCAIAAAAHMzE2LjEwNQEIAAAABQAAAAExAQAAAAoxOTIxMTY5NDU2AwAAAAMxNjACAAAABDEzMTIEAAAAATAHAAAACjEyLzMxLzIwMTgIAAAACTkvMzAvMjAxOAkAAAABMJMdhtJ/2NYIX3Fh03/Y1ggqQ0lRLk5ZU0U6RFZBLklRX01BUktFVENBUC4xMi8zMS8yMDE4LlVTRC5IAQAAADyLAAACAAAACzg1NDEuNTYxMzQxAQYAAAAFAAAAATEBAAAACjE5MjAzMTgyMjkDAAAAAzE2MAIAAAAG</t>
  </si>
  <si>
    <t>MTAwMDU0BAAAAAEwBwAAAAoxMi8zMS8yMDE4kx2G0n/Y1ggGD1/Tf9jWCCBDSVEuSVEzNjE4MzgzNC5JUV9MQVNUU0FMRVBSSUNFLgEAAAAaHygCAgAAAAQyLjI4AEdMWtN/2NYIR0xa03/Y1ggcQ0lRLklRMTE1NTQ0LklRX0NPTVBBTllfTkFNRQEAAABYwwEAAwAAABVOeFN0YWdlIE1lZGljYWwsIEluYy4Akx2G0n/Y1ghoesbSf9jWCCpDSVEuSVEzNjE4MzgzNy5JUV9MQVNUU0FMRVBSSUNFLjEyLzMxLzIwMTgBAAAAHR8oAgIAAAAEMi42OQCTHYbSf9jWCF9xYdN/2NYIIENJUS5JUTM2MTgzODMxLklRX0xBU1RTQUxFUFJJQ0UuAQAAABcfKAICAAAABDIuMTgAR0xa03/Y1ghHTFrTf9jWCCBDSVEuSVEzNjE4MzgxOS5JUV9MQVNUU0FMRVBSSUNFLgEAAAALHygCAgAAAAQyLjQyAEdMWtN/2NYIR0xa03/Y1gg2Q0lRLlhUUkE6Rk1FLklRX1RPVEFMX0RFQlQuMjAwMC4xMi8zMS8yMDE4LkxGUi5GLlVTRC5IAQAAAAreBQACAAAACzg1NjIuODYwNDYzAQgAAAAFAAAAATEBAAAACjE5MTcyODQ0NjcDAAAAAzE2MAIAAAAENDE3MwQAAAABMAcAAAAKMTIvMzEvMjAxOAgAAAAJOS8zMC8yMDE4CQAAAAEwkx2G0n/Y1ggGD1/Tf9jWCCpDSVEuTllTRTpBUkEuSVFfTUFSS0VUQ0FQLjEyLzMxLzIwMTguVVNELkgBAAAAPRsvCAIAAAAKMzc0LjU5NjU4OQEGAAAABQAAAAExAQAAAAoxOTIxMTY2ODU1AwAAAAMxNjAC</t>
  </si>
  <si>
    <t>AAAABjEwMDA1NAQAAAABMAcAAAAKMTIvMzEvMjAxOJMdhtJ/2NYIX3Fh03/Y1ghDQ0lRLk5ZU0U6RFZBLklRX01JTk9SSVRZX0lOVEVSRVNUX1RPVEFMLjIwMDAuMTIvMzEvMjAxOC5MRlIuRi5VU0QuSAEAAAA8iwAAAgAAAAgxMjY5LjAyNQEIAAAABQAAAAExAQAAAAoxOTIwMzE4NDM2AwAAAAMxNjACAAAABDEzMTIEAAAAATAHAAAACjEyLzMxLzIwMTgIAAAACTkvMzAvMjAxOAkAAAABMJMdhtJ/2NYIBg9f03/Y1gg1Q0lRLkRCOkZSRS5JUV9QUkVGX0VRVUlUWS4yMDAwLjEyLzMxLzIwMTguTEZSLkYuVVNELkgBAAAAw2sNAAMAAAAAAJMdhtJ/2NYIBg9f03/Y1ggqQ0lRLklRMzYxODM4MTYuSVFfTEFTVFNBTEVQUklDRS4xMi8zMS8yMDE4AQAAAAgfKAICAAAABDIuNDUAkx2G0n/Y1ghfcWHTf9jWCDRDSVEuREI6RlJFLklRX1RPVEFMX0RFQlQuMjAwMC4xMi8zMS8yMDE4LkxGUi5GLlVTRC5IAQAAAMNrDQACAAAADDIyMDI5Ljc0MzIzNQEIAAAABQAAAAExAQAAAAoxOTE3NzY3NjA5AwAAAAMxNjACAAAABDQxNzMEAAAAATAHAAAACjEyLzMxLzIwMTgIAAAACTkvMzAvMjAxOAkAAAABMJMdhtJ/2NYIBg9f03/Y1gggQ0lRLklRMzYxODM4NDMuSVFfTEFTVFNBTEVQUklDRS4BAAAAIx8oAgIAAAAEMi44MwBHTFrTf9jWCEdMWtN/2NYIN0NJUS5YVFJBOkZNRS5JUV9QUkVGX0VRVUlUWS4yMDAwLjEyLzMx</t>
  </si>
  <si>
    <t>LzIwMTguTEZSLkYuVVNELkgBAAAACt4FAAMAAAAAAJMdhtJ/2NYIBg9f03/Y1ggcQ0lRLlhUUkE6Rk1FLklRX0NPTVBBTllfTkFNRQEAAAAK3gUAAwAAACRGcmVzZW5pdXMgTWVkaWNhbCBDYXJlIEFHICYgQ28uIEtHYUEAkx2G0n/Y1gj+F8TSf9jWCCRDSVEuTllTRTpBUkEuSVFfVEVWLjEyLzMxLzIwMTguVVNELkgBAAAAPRsvCAIAAAALMTE4MS43NTg1ODgBBgAAAAUAAAABMQEAAAAKMTkyMTE2Njg1NQMAAAADMTYwAgAAAAYxMDAwNjAEAAAAATAHAAAACjEyLzMxLzIwMTiTHYbSf9jWCF9xYdN/2NYIKkNJUS5JUTM2MTgzODQzLklRX0xBU1RTQUxFUFJJQ0UuMTIvMzEvMjAxOAEAAAAjHygCAgAAAAQzLjAyAJMdhtJ/2NYIX3Fh03/Y1ggoQ0lRLkRCOkZSRS5JUV9NQVJLRVRDQVAuMTIvMzEvMjAxOC5VU0QuSAEAAADDaw0AAgAAAAsyNjg4MS4wMTI5OAEGAAAABQAAAAExAQAAAAoxOTE3NzY3NTY5AwAAAAMxNjACAAAABjEwMDA1NAQAAAABMAcAAAAKMTIvMzEvMjAxOJMdhtJ/2NYIBg9f03/Y1gggQ0lRLklRMzYxODM4NDAuSVFfTEFTVFNBTEVQUklDRS4BAAAAIB8oAgIAAAAEMi42NQBHTFrTf9jWCEdMWtN/2NYIGENJUS4uSVFfTUFSS0VUQ0FQLi5VU0QuSAUAAAABAAAACAAAABQoSW52YWxpZCBJZGVudGlmaWVyKUdMWtN/2NYIR0xa03/Y1ggqQ0lRLklRMzYxODM4MTkuSVFfTEFTVFNBTEVQUklD</t>
  </si>
  <si>
    <t>RS4xMi8zMS8yMDE4AQAAAAsfKAICAAAABDIuNTYAkx2G0n/Y1ghfcWHTf9jWCDpDSVEuTllTRTpEVkEuSVFfQ0FTSF9TVF9JTlZFU1QuMjAwMC4xMi8zMS8yMDE4LkxGUi5GLlVTRC5IAQAAADyLAAACAAAABzQ1Mi45NDUBCAAAAAUAAAABMQEAAAAKMTkyMDMxODQzNgMAAAADMTYwAgAAAAQxMDAyBAAAAAEwBwAAAAoxMi8zMS8yMDE4CAAAAAk5LzMwLzIwMTgJAAAAATCTHYbSf9jWCF9xYdN/2NYIIENJUS5JUTM2MTgzODEzLklRX0xBU1RTQUxFUFJJQ0UuAQAAAAUfKAICAAAABDIuNDEAR0xa03/Y1ghHTFrTf9jWCDdDSVEuTllTRTpBUkEuSVFfUFJFRl9FUVVJVFkuMjAwMC4xMi8zMS8yMDE4LkxGUi5GLlVTRC5IAQAAAD0bLwgDAAAAAACTHYbSf9jWCF9xYdN/2NYIQ0NJUS5YVFJBOkZNRS5JUV9NSU5PUklUWV9JTlRFUkVTVF9UT1RBTC4yMDAwLjEyLzMxLzIwMTguTEZSLkYuVVNELkgBAAAACt4FAAIAAAALMTMxMi4xNDM2MDQBCAAAAAUAAAABMQEAAAAKMTkxNzI4NDQ2NwMAAAADMTYwAgAAAAQxMzEyBAAAAAEwBwAAAAoxMi8zMS8yMDE4CAAAAAk5LzMwLzIwMTgJAAAAATCTHYbSf9jWCAYPX9N/2NYIFENJUS4uSVFfQ09NUEFOWV9OQU1FBQAAAAAAAAAIAAAAFChJbnZhbGlkIElkZW50aWZpZXIpkx2G0n/Y1girtcHSf9jWCDdDSVEuSVExMTU1NDQuSVFfUFJFRl9FUVVJVFkuMjAwMC4xMi8zMS8y</t>
  </si>
  <si>
    <t>MDE4LkxGUi5GLlVTRC5IAQAAAFjDAQADAAAAAACTHYbSf9jWCF9xYdN/2NYIGkNJUS5EQjpGUkUuSVFfQ09NUEFOWV9OQU1FAQAAAMNrDQADAAAAF0ZyZXNlbml1cyBTRSAmIENvLiBLR2FBAJMdhtJ/2NYI/hfE0n/Y1ggqQ0lRLklRMzYxODM4MzEuSVFfTEFTVFNBTEVQUklDRS4xMi8zMS8yMDE4AQAAABcfKAICAAAABDIuNTEAkx2G0n/Y1ghfcWHTf9jWCDhDSVEuREI6RlJFLklRX0NBU0hfU1RfSU5WRVNULjIwMDAuMTIvMzEvMjAxOC5MRlIuRi5VU0QuSAEAAADDaw0AAgAAAAsyODUzLjQ5MTM0NQEIAAAABQAAAAExAQAAAAoxOTE3NzY3NjA5AwAAAAMxNjACAAAABDEwMDIEAAAAATAHAAAACjEyLzMxLzIwMTgIAAAACTkvMzAvMjAxOAkAAAABMJMdhtJ/2NYIBg9f03/Y1gggQ0lRLklRMzYxODM4MjIuSVFfTEFTVFNBTEVQUklDRS4BAAAADh8oAgIAAAAEMi4zMgBHTFrTf9jWCEdMWtN/2NYIKkNJUS5JUTExNTU0NC5JUV9NQVJLRVRDQVAuMTIvMzEvMjAxOC5VU0QuSAEAAABYwwEAAgAAAAsxOTA4LjUxNTg4NQEGAAAABQAAAAExAQAAAAoxOTE5OTg2MzIwAwAAAAMxNjACAAAABjEwMDA1NAQAAAABMAcAAAAKMTIvMzEvMjAxOJMdhtJ/2NYIX3Fh03/Y1gggQ0lRLklRMzYxODM4MjUuSVFfTEFTVFNBTEVQUklDRS4BAAAAER8oAgIAAAAEMi4xOABHTFrTf9jWCEdMWtN/2NYIQUNJUS5EQjpGUkUuSVFf</t>
  </si>
  <si>
    <t>TUlOT1JJVFlfSU5URVJFU1RfVE9UQUwuMjAwMC4xMi8zMS8yMDE4LkxGUi5GLlVTRC5IAQAAAMNrDQACAAAADDEwNjY4LjA2MDg4MgEIAAAABQAAAAExAQAAAAoxOTE3NzY3NjA5AwAAAAMxNjACAAAABDEzMTIEAAAAATAHAAAACjEyLzMxLzIwMTgIAAAACTkvMzAvMjAxOAkAAAABMJMdhtJ/2NYIBg9f03/Y1ggcQ0lRLk5ZU0U6QVJBLklRX0NPTVBBTllfTkFNRQEAAAA9Gy8IAwAAAChBbWVyaWNhbiBSZW5hbCBBc3NvY2lhdGVzIEhvbGRpbmdzLCBJbmMuAJMdhtJ/2NYIaHrG0n/Y1ggqQ0lRLklRMzYxODM4MjguSVFfTEFTVFNBTEVQUklDRS4xMi8zMS8yMDE4AQAAABQfKAICAAAABDIuNDYAkx2G0n/Y1ghfcWHTf9jWCDZDSVEuTllTRTpEVkEuSVFfVE9UQUxfREVCVC4yMDAwLjEyLzMxLzIwMTguTEZSLkYuVVNELkgBAAAAPIsAAAIAAAAJMTAyMjQuNzM4AQgAAAAFAAAAATEBAAAACjE5MjAzMTg0MzYDAAAAAzE2MAIAAAAENDE3MwQAAAABMAcAAAAKMTIvMzEvMjAxOAgAAAAJOS8zMC8yMDE4CQAAAAEwkx2G0n/Y1ggGD1/Tf9jWCDpDSVEuTllTRTpBUkEuSVFfQ0FTSF9TVF9JTlZFU1QuMjAwMC4xMi8zMS8yMDE4LkxGUi5GLlVTRC5IAQAAAD0bLwgCAAAABjYyLjg5OQEIAAAABQAAAAExAQAAAAoxOTIxMTY5NDU2AwAAAAMxNjACAAAABDEwMDIEAAAAATAHAAAACjEyLzMxLzIwMTgIAAAACTkvMzAv</t>
  </si>
  <si>
    <t>MjAxOAkAAAABMJMdhtJ/2NYIX3Fh03/Y1ggkQ0lRLk5ZU0U6RFZBLklRX1RFVi4xMi8zMS8yMDE4LlVTRC5IAQAAADyLAAACAAAACzE5NTgyLjM3OTM0AQYAAAAFAAAAATEBAAAACjE5MjAzMTgyMjkDAAAAAzE2MAIAAAAGMTAwMDYwBAAAAAEwBwAAAAoxMi8zMS8yMDE4kx2G0n/Y1ggGD1/Tf9jWCA==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</si>
</sst>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43" formatCode="_(* #,##0.00_);_(* \(#,##0.00\);_(* &quot;-&quot;??_);_(@_)"/>
    <numFmt numFmtId="164" formatCode="[$-409]mmmm\ d\,\ yyyy;@"/>
    <numFmt numFmtId="165" formatCode="0.0%"/>
    <numFmt numFmtId="166" formatCode="_(* #,##0_);_(* \(#,##0\);_(* &quot;-&quot;??_);_(@_)"/>
    <numFmt numFmtId="167" formatCode="_(&quot;$&quot;* #,##0.0_);_(&quot;$&quot;* \(#,##0.0\);_(&quot;$&quot;* &quot;-&quot;??_);_(@_)"/>
    <numFmt numFmtId="168" formatCode="_(* #,##0.0_);_(* \(#,##0.0\);_(* &quot;-&quot;??_);_(@_)"/>
    <numFmt numFmtId="169" formatCode="_(* #,##0.0_);_(* \(#,##0.0\);_(* &quot;-&quot;_);_(@_)"/>
    <numFmt numFmtId="170" formatCode="_(* #,##0.00_);_(* \(#,##0.00\);_(* &quot;-&quot;_);_(@_)"/>
    <numFmt numFmtId="171" formatCode="_(* #,##0.00000_);_(* \(#,##0.00000\);_(* &quot;-&quot;??_);_(@_)"/>
    <numFmt numFmtId="172" formatCode="mm/dd/yy;@"/>
  </numFmts>
  <fonts count="59" x14ac:knownFonts="1">
    <font>
      <sz val="11"/>
      <color theme="1"/>
      <name val="Calibri"/>
      <family val="2"/>
      <scheme val="minor"/>
    </font>
    <font>
      <sz val="11"/>
      <color theme="1"/>
      <name val="Calibri"/>
      <family val="2"/>
      <scheme val="minor"/>
    </font>
    <font>
      <sz val="11"/>
      <color theme="1"/>
      <name val="Times New Roman"/>
      <family val="2"/>
    </font>
    <font>
      <b/>
      <sz val="11"/>
      <color theme="4" tint="-0.499984740745262"/>
      <name val="Times New Roman"/>
      <family val="1"/>
    </font>
    <font>
      <sz val="11"/>
      <color theme="4" tint="-0.499984740745262"/>
      <name val="Times New Roman"/>
      <family val="2"/>
    </font>
    <font>
      <sz val="32"/>
      <color theme="1"/>
      <name val="Times New Roman"/>
      <family val="2"/>
    </font>
    <font>
      <b/>
      <sz val="32"/>
      <color theme="4" tint="-0.499984740745262"/>
      <name val="Times New Roman"/>
      <family val="2"/>
    </font>
    <font>
      <b/>
      <sz val="40"/>
      <color theme="4" tint="-0.499984740745262"/>
      <name val="Times New Roman"/>
      <family val="2"/>
    </font>
    <font>
      <i/>
      <sz val="28"/>
      <color theme="4" tint="-0.499984740745262"/>
      <name val="Times New Roman"/>
      <family val="1"/>
    </font>
    <font>
      <b/>
      <sz val="11"/>
      <color theme="4" tint="-0.499984740745262"/>
      <name val="Times New Roman"/>
      <family val="2"/>
    </font>
    <font>
      <i/>
      <sz val="11"/>
      <color theme="4" tint="-0.499984740745262"/>
      <name val="Times New Roman"/>
      <family val="2"/>
    </font>
    <font>
      <i/>
      <sz val="16"/>
      <color theme="4" tint="-0.499984740745262"/>
      <name val="Times New Roman"/>
      <family val="1"/>
    </font>
    <font>
      <i/>
      <sz val="20"/>
      <color theme="4" tint="-0.499984740745262"/>
      <name val="Times New Roman"/>
      <family val="1"/>
    </font>
    <font>
      <i/>
      <sz val="20"/>
      <color theme="1"/>
      <name val="Times New Roman"/>
      <family val="1"/>
    </font>
    <font>
      <sz val="11"/>
      <color theme="1"/>
      <name val="Times New Roman"/>
      <family val="1"/>
    </font>
    <font>
      <u val="singleAccounting"/>
      <sz val="11"/>
      <color theme="1"/>
      <name val="Times New Roman"/>
      <family val="1"/>
    </font>
    <font>
      <b/>
      <sz val="12"/>
      <color theme="4" tint="-0.499984740745262"/>
      <name val="Times New Roman"/>
      <family val="1"/>
    </font>
    <font>
      <sz val="11"/>
      <color theme="6" tint="0.79998168889431442"/>
      <name val="Times New Roman"/>
      <family val="1"/>
    </font>
    <font>
      <sz val="12"/>
      <color theme="1"/>
      <name val="Times New Roman"/>
      <family val="1"/>
    </font>
    <font>
      <b/>
      <sz val="11"/>
      <color theme="1"/>
      <name val="Times New Roman"/>
      <family val="1"/>
    </font>
    <font>
      <sz val="10"/>
      <color theme="1"/>
      <name val="Garamond"/>
      <family val="2"/>
    </font>
    <font>
      <sz val="10"/>
      <color theme="1"/>
      <name val="Times New Roman"/>
      <family val="1"/>
    </font>
    <font>
      <b/>
      <sz val="10"/>
      <color rgb="FFFFFFFF"/>
      <name val="Times New Roman"/>
      <family val="1"/>
    </font>
    <font>
      <b/>
      <sz val="10"/>
      <color theme="1"/>
      <name val="Times New Roman"/>
      <family val="1"/>
    </font>
    <font>
      <sz val="10"/>
      <color rgb="FF008000"/>
      <name val="Times New Roman"/>
      <family val="1"/>
    </font>
    <font>
      <b/>
      <sz val="10"/>
      <color theme="0"/>
      <name val="Times New Roman"/>
      <family val="1"/>
    </font>
    <font>
      <sz val="10"/>
      <color rgb="FF0000FF"/>
      <name val="Times New Roman"/>
      <family val="1"/>
    </font>
    <font>
      <sz val="10"/>
      <name val="Times New Roman"/>
      <family val="1"/>
    </font>
    <font>
      <sz val="10"/>
      <color indexed="17"/>
      <name val="Times New Roman"/>
      <family val="1"/>
    </font>
    <font>
      <sz val="10"/>
      <color indexed="12"/>
      <name val="Times New Roman"/>
      <family val="1"/>
    </font>
    <font>
      <b/>
      <sz val="10"/>
      <name val="Times New Roman"/>
      <family val="1"/>
    </font>
    <font>
      <i/>
      <sz val="10"/>
      <color theme="1"/>
      <name val="Times New Roman"/>
      <family val="1"/>
    </font>
    <font>
      <i/>
      <sz val="11"/>
      <color theme="1"/>
      <name val="Times New Roman"/>
      <family val="1"/>
    </font>
    <font>
      <sz val="10"/>
      <name val="Arial"/>
      <family val="2"/>
    </font>
    <font>
      <sz val="8"/>
      <name val="Times New Roman"/>
      <family val="1"/>
    </font>
    <font>
      <sz val="10"/>
      <name val="Garamond"/>
      <family val="1"/>
    </font>
    <font>
      <sz val="9"/>
      <name val="Times New Roman"/>
      <family val="1"/>
    </font>
    <font>
      <sz val="10"/>
      <color indexed="10"/>
      <name val="Times New Roman"/>
      <family val="1"/>
    </font>
    <font>
      <i/>
      <sz val="10"/>
      <color rgb="FFFF0000"/>
      <name val="Times New Roman"/>
      <family val="1"/>
    </font>
    <font>
      <sz val="10"/>
      <color rgb="FFFF0000"/>
      <name val="Times New Roman"/>
      <family val="1"/>
    </font>
    <font>
      <b/>
      <sz val="10"/>
      <color rgb="FF0000FF"/>
      <name val="Times New Roman"/>
      <family val="1"/>
    </font>
    <font>
      <b/>
      <sz val="10"/>
      <color rgb="FFC00000"/>
      <name val="Times New Roman"/>
      <family val="1"/>
    </font>
    <font>
      <b/>
      <sz val="10"/>
      <color indexed="17"/>
      <name val="Times New Roman"/>
      <family val="1"/>
    </font>
    <font>
      <b/>
      <sz val="10"/>
      <color indexed="12"/>
      <name val="Times New Roman"/>
      <family val="1"/>
    </font>
    <font>
      <sz val="10"/>
      <name val="Garamond"/>
      <family val="2"/>
    </font>
    <font>
      <sz val="8"/>
      <name val="Arial"/>
      <family val="2"/>
    </font>
    <font>
      <sz val="8"/>
      <color indexed="8"/>
      <name val="Arial"/>
      <family val="2"/>
    </font>
    <font>
      <b/>
      <sz val="10"/>
      <color indexed="9"/>
      <name val="Times New Roman"/>
      <family val="1"/>
    </font>
    <font>
      <sz val="10"/>
      <color indexed="39"/>
      <name val="Times New Roman"/>
      <family val="1"/>
    </font>
    <font>
      <b/>
      <sz val="20"/>
      <name val="Times New Roman"/>
      <family val="1"/>
    </font>
    <font>
      <sz val="10"/>
      <name val="Palatino Linotype"/>
      <family val="1"/>
    </font>
    <font>
      <i/>
      <sz val="15"/>
      <name val="Times New Roman"/>
      <family val="1"/>
    </font>
    <font>
      <sz val="11"/>
      <name val="Times New Roman"/>
      <family val="1"/>
    </font>
    <font>
      <sz val="15"/>
      <name val="Times New Roman"/>
      <family val="1"/>
    </font>
    <font>
      <sz val="12"/>
      <name val="Times New Roman"/>
      <family val="1"/>
    </font>
    <font>
      <b/>
      <sz val="11"/>
      <name val="Times New Roman"/>
      <family val="1"/>
    </font>
    <font>
      <b/>
      <sz val="11"/>
      <color theme="0"/>
      <name val="Times New Roman"/>
      <family val="1"/>
    </font>
    <font>
      <sz val="8"/>
      <color rgb="FF0000FF"/>
      <name val="Times New Roman"/>
      <family val="1"/>
    </font>
    <font>
      <b/>
      <sz val="10"/>
      <color rgb="FF008000"/>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
      <patternFill patternType="solid">
        <fgColor rgb="FF005DA6"/>
        <bgColor indexed="64"/>
      </patternFill>
    </fill>
    <fill>
      <patternFill patternType="solid">
        <fgColor rgb="FFDCE6F1"/>
        <bgColor indexed="64"/>
      </patternFill>
    </fill>
    <fill>
      <patternFill patternType="solid">
        <fgColor rgb="FF92D050"/>
        <bgColor indexed="64"/>
      </patternFill>
    </fill>
    <fill>
      <patternFill patternType="solid">
        <fgColor rgb="FF5A5A5A"/>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s>
  <borders count="21">
    <border>
      <left/>
      <right/>
      <top/>
      <bottom/>
      <diagonal/>
    </border>
    <border>
      <left/>
      <right/>
      <top/>
      <bottom style="thick">
        <color theme="8" tint="-0.499984740745262"/>
      </bottom>
      <diagonal/>
    </border>
    <border>
      <left/>
      <right/>
      <top style="thick">
        <color theme="8" tint="-0.499984740745262"/>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auto="1"/>
      </left>
      <right style="thin">
        <color indexed="64"/>
      </right>
      <top style="thin">
        <color auto="1"/>
      </top>
      <bottom style="thin">
        <color auto="1"/>
      </bottom>
      <diagonal/>
    </border>
    <border>
      <left/>
      <right/>
      <top style="thin">
        <color auto="1"/>
      </top>
      <bottom style="double">
        <color auto="1"/>
      </bottom>
      <diagonal/>
    </border>
    <border>
      <left/>
      <right style="thin">
        <color indexed="64"/>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0" fontId="2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20" fillId="0" borderId="0" applyFont="0" applyFill="0" applyBorder="0" applyAlignment="0" applyProtection="0"/>
    <xf numFmtId="0" fontId="33" fillId="0" borderId="0"/>
    <xf numFmtId="43" fontId="35" fillId="0" borderId="0" applyFont="0" applyFill="0" applyBorder="0" applyAlignment="0" applyProtection="0"/>
    <xf numFmtId="9" fontId="35" fillId="0" borderId="0" applyFont="0" applyFill="0" applyBorder="0" applyAlignment="0" applyProtection="0"/>
    <xf numFmtId="0" fontId="46" fillId="0" borderId="0" applyAlignment="0"/>
    <xf numFmtId="0" fontId="45" fillId="0" borderId="0"/>
    <xf numFmtId="0" fontId="1" fillId="0" borderId="0"/>
    <xf numFmtId="9" fontId="33" fillId="0" borderId="0" applyFont="0" applyFill="0" applyBorder="0" applyAlignment="0" applyProtection="0"/>
    <xf numFmtId="0" fontId="1" fillId="0" borderId="0"/>
    <xf numFmtId="0" fontId="33" fillId="0" borderId="0"/>
    <xf numFmtId="0" fontId="50" fillId="0" borderId="0"/>
    <xf numFmtId="0" fontId="35" fillId="0" borderId="0"/>
    <xf numFmtId="0" fontId="27" fillId="0" borderId="0"/>
  </cellStyleXfs>
  <cellXfs count="414">
    <xf numFmtId="0" fontId="0" fillId="0" borderId="0" xfId="0"/>
    <xf numFmtId="0" fontId="2" fillId="0" borderId="0" xfId="3" applyProtection="1">
      <protection locked="0" hidden="1"/>
    </xf>
    <xf numFmtId="0" fontId="2" fillId="0" borderId="0" xfId="3" applyAlignment="1" applyProtection="1">
      <alignment horizontal="center"/>
      <protection locked="0" hidden="1"/>
    </xf>
    <xf numFmtId="0" fontId="2" fillId="0" borderId="1" xfId="3" applyBorder="1" applyProtection="1">
      <protection locked="0" hidden="1"/>
    </xf>
    <xf numFmtId="0" fontId="3" fillId="0" borderId="1" xfId="3" applyFont="1" applyBorder="1" applyProtection="1">
      <protection locked="0" hidden="1"/>
    </xf>
    <xf numFmtId="0" fontId="3" fillId="0" borderId="1" xfId="3" applyFont="1" applyBorder="1" applyAlignment="1" applyProtection="1">
      <alignment horizontal="center"/>
      <protection locked="0" hidden="1"/>
    </xf>
    <xf numFmtId="0" fontId="3" fillId="2" borderId="0" xfId="3" applyFont="1" applyFill="1" applyProtection="1">
      <protection locked="0" hidden="1"/>
    </xf>
    <xf numFmtId="0" fontId="2" fillId="2" borderId="0" xfId="3" applyFill="1" applyProtection="1">
      <protection locked="0" hidden="1"/>
    </xf>
    <xf numFmtId="0" fontId="4" fillId="2" borderId="0" xfId="3" applyFont="1" applyFill="1" applyAlignment="1" applyProtection="1">
      <alignment horizontal="center"/>
      <protection locked="0" hidden="1"/>
    </xf>
    <xf numFmtId="0" fontId="5" fillId="0" borderId="0" xfId="3" applyFont="1" applyProtection="1">
      <protection locked="0" hidden="1"/>
    </xf>
    <xf numFmtId="0" fontId="6" fillId="2" borderId="0" xfId="3" applyFont="1" applyFill="1" applyProtection="1">
      <protection locked="0" hidden="1"/>
    </xf>
    <xf numFmtId="0" fontId="5" fillId="2" borderId="0" xfId="3" applyFont="1" applyFill="1" applyProtection="1">
      <protection locked="0" hidden="1"/>
    </xf>
    <xf numFmtId="0" fontId="7" fillId="2" borderId="0" xfId="3" applyFont="1" applyFill="1" applyAlignment="1" applyProtection="1">
      <alignment horizontal="center"/>
      <protection locked="0" hidden="1"/>
    </xf>
    <xf numFmtId="0" fontId="8" fillId="2" borderId="0" xfId="3" applyFont="1" applyFill="1" applyAlignment="1" applyProtection="1">
      <alignment horizontal="center"/>
      <protection locked="0" hidden="1"/>
    </xf>
    <xf numFmtId="0" fontId="9" fillId="2" borderId="0" xfId="3" applyFont="1" applyFill="1" applyProtection="1">
      <protection locked="0" hidden="1"/>
    </xf>
    <xf numFmtId="0" fontId="10" fillId="2" borderId="0" xfId="3" applyFont="1" applyFill="1" applyAlignment="1" applyProtection="1">
      <alignment horizontal="center"/>
      <protection locked="0" hidden="1"/>
    </xf>
    <xf numFmtId="0" fontId="11" fillId="2" borderId="0" xfId="3" applyFont="1" applyFill="1" applyAlignment="1" applyProtection="1">
      <alignment horizontal="center"/>
      <protection locked="0" hidden="1"/>
    </xf>
    <xf numFmtId="0" fontId="3" fillId="2" borderId="1" xfId="3" applyFont="1" applyFill="1" applyBorder="1" applyProtection="1">
      <protection locked="0" hidden="1"/>
    </xf>
    <xf numFmtId="0" fontId="2" fillId="2" borderId="1" xfId="3" applyFill="1" applyBorder="1" applyProtection="1">
      <protection locked="0" hidden="1"/>
    </xf>
    <xf numFmtId="0" fontId="4" fillId="2" borderId="1" xfId="3" applyFont="1" applyFill="1" applyBorder="1" applyAlignment="1" applyProtection="1">
      <alignment horizontal="center"/>
      <protection locked="0" hidden="1"/>
    </xf>
    <xf numFmtId="0" fontId="12" fillId="0" borderId="0" xfId="3" applyFont="1" applyAlignment="1" applyProtection="1">
      <alignment horizontal="center"/>
      <protection locked="0" hidden="1"/>
    </xf>
    <xf numFmtId="164" fontId="13" fillId="0" borderId="0" xfId="3" applyNumberFormat="1" applyFont="1" applyAlignment="1" applyProtection="1">
      <alignment horizontal="center"/>
      <protection locked="0" hidden="1"/>
    </xf>
    <xf numFmtId="0" fontId="14" fillId="0" borderId="1" xfId="3" applyFont="1" applyBorder="1" applyProtection="1">
      <protection locked="0" hidden="1"/>
    </xf>
    <xf numFmtId="43" fontId="15" fillId="0" borderId="0" xfId="4" applyFont="1" applyAlignment="1" applyProtection="1">
      <alignment horizontal="center" wrapText="1"/>
      <protection locked="0" hidden="1"/>
    </xf>
    <xf numFmtId="0" fontId="14" fillId="0" borderId="0" xfId="3" applyFont="1" applyProtection="1">
      <protection locked="0" hidden="1"/>
    </xf>
    <xf numFmtId="43" fontId="16" fillId="2" borderId="0" xfId="4" applyFont="1" applyFill="1" applyProtection="1">
      <protection locked="0" hidden="1"/>
    </xf>
    <xf numFmtId="0" fontId="14" fillId="2" borderId="0" xfId="3" applyFont="1" applyFill="1" applyProtection="1">
      <protection locked="0" hidden="1"/>
    </xf>
    <xf numFmtId="0" fontId="17" fillId="2" borderId="0" xfId="3" applyFont="1" applyFill="1" applyProtection="1">
      <protection locked="0" hidden="1"/>
    </xf>
    <xf numFmtId="43" fontId="16" fillId="2" borderId="1" xfId="4" applyFont="1" applyFill="1" applyBorder="1" applyProtection="1">
      <protection locked="0" hidden="1"/>
    </xf>
    <xf numFmtId="0" fontId="14" fillId="2" borderId="1" xfId="3" applyFont="1" applyFill="1" applyBorder="1" applyProtection="1">
      <protection locked="0" hidden="1"/>
    </xf>
    <xf numFmtId="0" fontId="18" fillId="0" borderId="0" xfId="3" applyFont="1" applyProtection="1">
      <protection locked="0" hidden="1"/>
    </xf>
    <xf numFmtId="0" fontId="19" fillId="0" borderId="0" xfId="3" applyFont="1" applyProtection="1">
      <protection locked="0" hidden="1"/>
    </xf>
    <xf numFmtId="0" fontId="14" fillId="0" borderId="0" xfId="3" applyFont="1" applyAlignment="1" applyProtection="1">
      <alignment horizontal="center"/>
      <protection locked="0" hidden="1"/>
    </xf>
    <xf numFmtId="43" fontId="14" fillId="0" borderId="0" xfId="3" applyNumberFormat="1" applyFont="1" applyProtection="1">
      <protection locked="0" hidden="1"/>
    </xf>
    <xf numFmtId="0" fontId="21" fillId="0" borderId="0" xfId="5" applyFont="1"/>
    <xf numFmtId="43" fontId="16" fillId="2" borderId="2" xfId="1" applyFont="1" applyFill="1" applyBorder="1" applyProtection="1">
      <protection locked="0" hidden="1"/>
    </xf>
    <xf numFmtId="43" fontId="16" fillId="2" borderId="0" xfId="1" applyFont="1" applyFill="1" applyProtection="1">
      <protection locked="0" hidden="1"/>
    </xf>
    <xf numFmtId="43" fontId="16" fillId="2" borderId="1" xfId="1" applyFont="1" applyFill="1" applyBorder="1" applyProtection="1">
      <protection locked="0" hidden="1"/>
    </xf>
    <xf numFmtId="0" fontId="22" fillId="3" borderId="3" xfId="5" applyFont="1" applyFill="1" applyBorder="1" applyAlignment="1">
      <alignment horizontal="left" vertical="center"/>
    </xf>
    <xf numFmtId="0" fontId="23" fillId="0" borderId="0" xfId="5" applyFont="1"/>
    <xf numFmtId="0" fontId="23" fillId="0" borderId="0" xfId="5" applyFont="1" applyAlignment="1">
      <alignment horizontal="center"/>
    </xf>
    <xf numFmtId="0" fontId="23" fillId="0" borderId="0" xfId="5" applyFont="1" applyAlignment="1">
      <alignment horizontal="centerContinuous"/>
    </xf>
    <xf numFmtId="165" fontId="24" fillId="0" borderId="0" xfId="2" applyNumberFormat="1" applyFont="1"/>
    <xf numFmtId="0" fontId="21" fillId="0" borderId="0" xfId="5" applyFont="1" applyAlignment="1">
      <alignment horizontal="center"/>
    </xf>
    <xf numFmtId="43" fontId="21" fillId="0" borderId="0" xfId="6" applyFont="1"/>
    <xf numFmtId="166" fontId="21" fillId="0" borderId="0" xfId="6" applyNumberFormat="1" applyFont="1"/>
    <xf numFmtId="165" fontId="21" fillId="0" borderId="0" xfId="7" applyNumberFormat="1" applyFont="1" applyAlignment="1">
      <alignment horizontal="center"/>
    </xf>
    <xf numFmtId="167" fontId="21" fillId="0" borderId="0" xfId="8" applyNumberFormat="1" applyFont="1"/>
    <xf numFmtId="0" fontId="21" fillId="0" borderId="6" xfId="5" applyFont="1" applyBorder="1"/>
    <xf numFmtId="167" fontId="21" fillId="0" borderId="6" xfId="8" applyNumberFormat="1" applyFont="1" applyBorder="1"/>
    <xf numFmtId="165" fontId="21" fillId="0" borderId="6" xfId="2" applyNumberFormat="1" applyFont="1" applyBorder="1"/>
    <xf numFmtId="0" fontId="23" fillId="0" borderId="6" xfId="5" applyFont="1" applyBorder="1"/>
    <xf numFmtId="168" fontId="21" fillId="0" borderId="6" xfId="6" applyNumberFormat="1" applyFont="1" applyBorder="1"/>
    <xf numFmtId="165" fontId="23" fillId="0" borderId="6" xfId="2" applyNumberFormat="1" applyFont="1" applyBorder="1"/>
    <xf numFmtId="0" fontId="20" fillId="0" borderId="0" xfId="5"/>
    <xf numFmtId="0" fontId="22" fillId="3" borderId="7" xfId="5" applyFont="1" applyFill="1" applyBorder="1" applyAlignment="1">
      <alignment horizontal="centerContinuous" vertical="center"/>
    </xf>
    <xf numFmtId="0" fontId="22" fillId="3" borderId="6" xfId="5" applyFont="1" applyFill="1" applyBorder="1" applyAlignment="1">
      <alignment horizontal="centerContinuous" vertical="center"/>
    </xf>
    <xf numFmtId="0" fontId="22" fillId="3" borderId="8" xfId="5" applyFont="1" applyFill="1" applyBorder="1" applyAlignment="1">
      <alignment horizontal="centerContinuous" vertical="center"/>
    </xf>
    <xf numFmtId="0" fontId="23" fillId="0" borderId="3" xfId="5" applyFont="1" applyBorder="1"/>
    <xf numFmtId="0" fontId="23" fillId="0" borderId="4" xfId="5" applyFont="1" applyBorder="1" applyAlignment="1">
      <alignment horizontal="center"/>
    </xf>
    <xf numFmtId="0" fontId="23" fillId="0" borderId="4" xfId="5" applyFont="1" applyBorder="1" applyAlignment="1">
      <alignment horizontal="center" wrapText="1"/>
    </xf>
    <xf numFmtId="0" fontId="23" fillId="0" borderId="4" xfId="5" applyFont="1" applyBorder="1" applyAlignment="1">
      <alignment horizontal="right"/>
    </xf>
    <xf numFmtId="0" fontId="23" fillId="0" borderId="4" xfId="5" applyFont="1" applyBorder="1" applyAlignment="1">
      <alignment horizontal="centerContinuous"/>
    </xf>
    <xf numFmtId="0" fontId="23" fillId="0" borderId="5" xfId="5" applyFont="1" applyBorder="1" applyAlignment="1">
      <alignment horizontal="centerContinuous"/>
    </xf>
    <xf numFmtId="0" fontId="25" fillId="5" borderId="7" xfId="0" applyFont="1" applyFill="1" applyBorder="1"/>
    <xf numFmtId="0" fontId="25" fillId="5" borderId="8" xfId="0" applyFont="1" applyFill="1" applyBorder="1" applyAlignment="1">
      <alignment horizontal="right"/>
    </xf>
    <xf numFmtId="0" fontId="23" fillId="0" borderId="7" xfId="5" applyFont="1" applyBorder="1"/>
    <xf numFmtId="0" fontId="21" fillId="0" borderId="6" xfId="5" applyFont="1" applyBorder="1" applyAlignment="1">
      <alignment horizontal="center"/>
    </xf>
    <xf numFmtId="0" fontId="21" fillId="0" borderId="6" xfId="5" applyFont="1" applyBorder="1" applyAlignment="1">
      <alignment horizontal="right"/>
    </xf>
    <xf numFmtId="0" fontId="21" fillId="0" borderId="8" xfId="5" applyFont="1" applyBorder="1"/>
    <xf numFmtId="0" fontId="21" fillId="0" borderId="9" xfId="0" applyFont="1" applyBorder="1"/>
    <xf numFmtId="0" fontId="21" fillId="0" borderId="10" xfId="0" applyFont="1" applyBorder="1"/>
    <xf numFmtId="0" fontId="21" fillId="0" borderId="9" xfId="5" applyFont="1" applyBorder="1" applyAlignment="1">
      <alignment vertical="top"/>
    </xf>
    <xf numFmtId="165" fontId="21" fillId="0" borderId="0" xfId="7" applyNumberFormat="1" applyFont="1" applyAlignment="1">
      <alignment horizontal="center" vertical="top"/>
    </xf>
    <xf numFmtId="165" fontId="21" fillId="0" borderId="0" xfId="2" applyNumberFormat="1" applyFont="1" applyAlignment="1">
      <alignment vertical="top"/>
    </xf>
    <xf numFmtId="0" fontId="21" fillId="0" borderId="11" xfId="0" applyFont="1" applyBorder="1"/>
    <xf numFmtId="0" fontId="21" fillId="0" borderId="12" xfId="0" applyFont="1" applyBorder="1"/>
    <xf numFmtId="0" fontId="21" fillId="0" borderId="9" xfId="5" applyFont="1" applyBorder="1"/>
    <xf numFmtId="0" fontId="21" fillId="0" borderId="10" xfId="5" applyFont="1" applyBorder="1"/>
    <xf numFmtId="165" fontId="21" fillId="0" borderId="0" xfId="5" applyNumberFormat="1" applyFont="1" applyAlignment="1">
      <alignment vertical="top"/>
    </xf>
    <xf numFmtId="0" fontId="21" fillId="0" borderId="0" xfId="5" applyFont="1" applyAlignment="1">
      <alignment vertical="top"/>
    </xf>
    <xf numFmtId="165" fontId="21" fillId="0" borderId="10" xfId="7" applyNumberFormat="1" applyFont="1" applyBorder="1" applyAlignment="1">
      <alignment vertical="top"/>
    </xf>
    <xf numFmtId="0" fontId="21" fillId="0" borderId="11" xfId="5" applyFont="1" applyBorder="1"/>
    <xf numFmtId="0" fontId="21" fillId="0" borderId="12" xfId="5" applyFont="1" applyBorder="1"/>
    <xf numFmtId="0" fontId="23" fillId="0" borderId="9" xfId="5" applyFont="1" applyBorder="1" applyAlignment="1">
      <alignment horizontal="left" indent="7"/>
    </xf>
    <xf numFmtId="165" fontId="23" fillId="0" borderId="0" xfId="7" applyNumberFormat="1" applyFont="1"/>
    <xf numFmtId="165" fontId="23" fillId="0" borderId="0" xfId="5" applyNumberFormat="1" applyFont="1" applyAlignment="1">
      <alignment horizontal="left" indent="7"/>
    </xf>
    <xf numFmtId="165" fontId="23" fillId="0" borderId="10" xfId="7" applyNumberFormat="1" applyFont="1" applyBorder="1"/>
    <xf numFmtId="0" fontId="23" fillId="0" borderId="11" xfId="5" applyFont="1" applyBorder="1"/>
    <xf numFmtId="0" fontId="23" fillId="0" borderId="13" xfId="5" applyFont="1" applyBorder="1"/>
    <xf numFmtId="165" fontId="23" fillId="0" borderId="4" xfId="5" applyNumberFormat="1" applyFont="1" applyBorder="1"/>
    <xf numFmtId="0" fontId="23" fillId="0" borderId="12" xfId="5" applyFont="1" applyBorder="1"/>
    <xf numFmtId="0" fontId="22" fillId="3" borderId="3" xfId="5" applyFont="1" applyFill="1" applyBorder="1" applyAlignment="1">
      <alignment horizontal="centerContinuous"/>
    </xf>
    <xf numFmtId="0" fontId="22" fillId="3" borderId="4" xfId="5" applyFont="1" applyFill="1" applyBorder="1" applyAlignment="1">
      <alignment horizontal="centerContinuous"/>
    </xf>
    <xf numFmtId="0" fontId="22" fillId="3" borderId="5" xfId="5" applyFont="1" applyFill="1" applyBorder="1" applyAlignment="1">
      <alignment horizontal="centerContinuous"/>
    </xf>
    <xf numFmtId="0" fontId="22" fillId="3" borderId="14" xfId="5" applyFont="1" applyFill="1" applyBorder="1" applyAlignment="1">
      <alignment horizontal="center"/>
    </xf>
    <xf numFmtId="0" fontId="21" fillId="0" borderId="7" xfId="5" applyFont="1" applyBorder="1"/>
    <xf numFmtId="0" fontId="27" fillId="0" borderId="0" xfId="5" quotePrefix="1" applyFont="1" applyAlignment="1">
      <alignment horizontal="center"/>
    </xf>
    <xf numFmtId="10" fontId="28" fillId="0" borderId="0" xfId="5" applyNumberFormat="1" applyFont="1" applyAlignment="1">
      <alignment horizontal="right"/>
    </xf>
    <xf numFmtId="10" fontId="28" fillId="0" borderId="10" xfId="5" applyNumberFormat="1" applyFont="1" applyBorder="1" applyAlignment="1">
      <alignment horizontal="right"/>
    </xf>
    <xf numFmtId="43" fontId="27" fillId="0" borderId="0" xfId="5" applyNumberFormat="1" applyFont="1" applyAlignment="1">
      <alignment horizontal="center"/>
    </xf>
    <xf numFmtId="10" fontId="29" fillId="0" borderId="0" xfId="5" applyNumberFormat="1" applyFont="1"/>
    <xf numFmtId="10" fontId="29" fillId="0" borderId="10" xfId="5" applyNumberFormat="1" applyFont="1" applyBorder="1"/>
    <xf numFmtId="0" fontId="27" fillId="0" borderId="0" xfId="5" applyFont="1"/>
    <xf numFmtId="165" fontId="28" fillId="0" borderId="0" xfId="5" applyNumberFormat="1" applyFont="1"/>
    <xf numFmtId="165" fontId="28" fillId="0" borderId="10" xfId="5" applyNumberFormat="1" applyFont="1" applyBorder="1"/>
    <xf numFmtId="170" fontId="21" fillId="0" borderId="0" xfId="5" applyNumberFormat="1" applyFont="1"/>
    <xf numFmtId="170" fontId="21" fillId="0" borderId="10" xfId="5" applyNumberFormat="1" applyFont="1" applyBorder="1"/>
    <xf numFmtId="171" fontId="21" fillId="0" borderId="0" xfId="5" applyNumberFormat="1" applyFont="1"/>
    <xf numFmtId="171" fontId="21" fillId="0" borderId="10" xfId="5" applyNumberFormat="1" applyFont="1" applyBorder="1"/>
    <xf numFmtId="165" fontId="23" fillId="0" borderId="13" xfId="5" applyNumberFormat="1" applyFont="1" applyBorder="1"/>
    <xf numFmtId="165" fontId="23" fillId="0" borderId="12" xfId="5" applyNumberFormat="1" applyFont="1" applyBorder="1"/>
    <xf numFmtId="8" fontId="21" fillId="0" borderId="6" xfId="5" applyNumberFormat="1" applyFont="1" applyBorder="1"/>
    <xf numFmtId="8" fontId="21" fillId="0" borderId="8" xfId="5" applyNumberFormat="1" applyFont="1" applyBorder="1"/>
    <xf numFmtId="8" fontId="21" fillId="0" borderId="0" xfId="5" applyNumberFormat="1" applyFont="1"/>
    <xf numFmtId="8" fontId="21" fillId="0" borderId="10" xfId="5" applyNumberFormat="1" applyFont="1" applyBorder="1"/>
    <xf numFmtId="169" fontId="21" fillId="0" borderId="0" xfId="5" applyNumberFormat="1" applyFont="1"/>
    <xf numFmtId="0" fontId="27" fillId="0" borderId="0" xfId="5" applyFont="1" applyAlignment="1">
      <alignment horizontal="center"/>
    </xf>
    <xf numFmtId="10" fontId="21" fillId="0" borderId="0" xfId="5" applyNumberFormat="1" applyFont="1"/>
    <xf numFmtId="10" fontId="21" fillId="0" borderId="10" xfId="5" applyNumberFormat="1" applyFont="1" applyBorder="1"/>
    <xf numFmtId="165" fontId="21" fillId="0" borderId="0" xfId="5" applyNumberFormat="1" applyFont="1"/>
    <xf numFmtId="165" fontId="21" fillId="0" borderId="10" xfId="5" applyNumberFormat="1" applyFont="1" applyBorder="1"/>
    <xf numFmtId="0" fontId="21" fillId="0" borderId="13" xfId="5" applyFont="1" applyBorder="1"/>
    <xf numFmtId="0" fontId="23" fillId="6" borderId="3" xfId="5" applyFont="1" applyFill="1" applyBorder="1"/>
    <xf numFmtId="0" fontId="23" fillId="6" borderId="4" xfId="5" applyFont="1" applyFill="1" applyBorder="1"/>
    <xf numFmtId="165" fontId="30" fillId="6" borderId="4" xfId="9" applyNumberFormat="1" applyFont="1" applyFill="1" applyBorder="1"/>
    <xf numFmtId="165" fontId="30" fillId="6" borderId="5" xfId="9" applyNumberFormat="1" applyFont="1" applyFill="1" applyBorder="1"/>
    <xf numFmtId="0" fontId="31" fillId="0" borderId="0" xfId="5" applyFont="1"/>
    <xf numFmtId="0" fontId="21" fillId="0" borderId="0" xfId="5" quotePrefix="1" applyFont="1" applyAlignment="1">
      <alignment vertical="top"/>
    </xf>
    <xf numFmtId="0" fontId="22" fillId="3" borderId="7" xfId="5" applyFont="1" applyFill="1" applyBorder="1" applyAlignment="1">
      <alignment horizontal="left"/>
    </xf>
    <xf numFmtId="0" fontId="22" fillId="3" borderId="6" xfId="5" applyFont="1" applyFill="1" applyBorder="1" applyAlignment="1">
      <alignment horizontal="centerContinuous"/>
    </xf>
    <xf numFmtId="0" fontId="22" fillId="3" borderId="8" xfId="5" applyFont="1" applyFill="1" applyBorder="1" applyAlignment="1">
      <alignment horizontal="right"/>
    </xf>
    <xf numFmtId="0" fontId="23" fillId="0" borderId="4" xfId="5" applyFont="1" applyBorder="1"/>
    <xf numFmtId="0" fontId="23" fillId="0" borderId="5" xfId="5" applyFont="1" applyBorder="1" applyAlignment="1">
      <alignment horizontal="right"/>
    </xf>
    <xf numFmtId="0" fontId="23" fillId="0" borderId="9" xfId="5" applyFont="1" applyBorder="1"/>
    <xf numFmtId="165" fontId="21" fillId="0" borderId="0" xfId="7" applyNumberFormat="1" applyFont="1"/>
    <xf numFmtId="165" fontId="21" fillId="0" borderId="10" xfId="7" applyNumberFormat="1" applyFont="1" applyBorder="1"/>
    <xf numFmtId="168" fontId="21" fillId="0" borderId="0" xfId="6" applyNumberFormat="1" applyFont="1"/>
    <xf numFmtId="165" fontId="21" fillId="0" borderId="10" xfId="7" applyNumberFormat="1" applyFont="1" applyBorder="1" applyAlignment="1">
      <alignment horizontal="right"/>
    </xf>
    <xf numFmtId="165" fontId="21" fillId="0" borderId="13" xfId="7" applyNumberFormat="1" applyFont="1" applyBorder="1"/>
    <xf numFmtId="165" fontId="21" fillId="0" borderId="12" xfId="7" applyNumberFormat="1" applyFont="1" applyBorder="1"/>
    <xf numFmtId="165" fontId="23" fillId="0" borderId="15" xfId="7" applyNumberFormat="1" applyFont="1" applyBorder="1"/>
    <xf numFmtId="0" fontId="23" fillId="0" borderId="0" xfId="5" applyFont="1" applyAlignment="1">
      <alignment horizontal="left" indent="7"/>
    </xf>
    <xf numFmtId="165" fontId="23" fillId="0" borderId="16" xfId="7" applyNumberFormat="1" applyFont="1" applyBorder="1"/>
    <xf numFmtId="43" fontId="32" fillId="2" borderId="1" xfId="1" applyFont="1" applyFill="1" applyBorder="1" applyAlignment="1" applyProtection="1">
      <alignment horizontal="right"/>
      <protection locked="0" hidden="1"/>
    </xf>
    <xf numFmtId="169" fontId="28" fillId="0" borderId="0" xfId="5" applyNumberFormat="1" applyFont="1" applyAlignment="1">
      <alignment horizontal="right"/>
    </xf>
    <xf numFmtId="169" fontId="28" fillId="0" borderId="0" xfId="5" applyNumberFormat="1" applyFont="1"/>
    <xf numFmtId="10" fontId="22" fillId="3" borderId="4" xfId="5" applyNumberFormat="1" applyFont="1" applyFill="1" applyBorder="1" applyAlignment="1">
      <alignment horizontal="centerContinuous"/>
    </xf>
    <xf numFmtId="0" fontId="30" fillId="0" borderId="14" xfId="5" applyFont="1" applyBorder="1" applyAlignment="1">
      <alignment horizontal="left" wrapText="1"/>
    </xf>
    <xf numFmtId="0" fontId="21" fillId="0" borderId="0" xfId="5" applyFont="1" applyAlignment="1">
      <alignment wrapText="1"/>
    </xf>
    <xf numFmtId="0" fontId="30" fillId="0" borderId="3" xfId="5" applyFont="1" applyBorder="1" applyAlignment="1">
      <alignment horizontal="right" wrapText="1"/>
    </xf>
    <xf numFmtId="0" fontId="30" fillId="0" borderId="4" xfId="5" applyFont="1" applyBorder="1" applyAlignment="1">
      <alignment horizontal="right" wrapText="1"/>
    </xf>
    <xf numFmtId="0" fontId="30" fillId="0" borderId="5" xfId="5" applyFont="1" applyBorder="1" applyAlignment="1">
      <alignment horizontal="right" wrapText="1"/>
    </xf>
    <xf numFmtId="0" fontId="21" fillId="0" borderId="0" xfId="5" applyFont="1" applyAlignment="1">
      <alignment horizontal="right" wrapText="1"/>
    </xf>
    <xf numFmtId="0" fontId="30" fillId="0" borderId="0" xfId="5" applyFont="1" applyAlignment="1">
      <alignment horizontal="right" wrapText="1"/>
    </xf>
    <xf numFmtId="0" fontId="30" fillId="0" borderId="14" xfId="5" applyFont="1" applyBorder="1" applyAlignment="1">
      <alignment horizontal="right" wrapText="1"/>
    </xf>
    <xf numFmtId="0" fontId="21" fillId="0" borderId="0" xfId="5" quotePrefix="1" applyFont="1" applyAlignment="1">
      <alignment horizontal="center"/>
    </xf>
    <xf numFmtId="0" fontId="30" fillId="0" borderId="0" xfId="5" applyFont="1" applyAlignment="1">
      <alignment horizontal="center" wrapText="1"/>
    </xf>
    <xf numFmtId="0" fontId="23" fillId="0" borderId="0" xfId="5" applyFont="1" applyAlignment="1">
      <alignment horizontal="center" wrapText="1"/>
    </xf>
    <xf numFmtId="0" fontId="23" fillId="0" borderId="0" xfId="5" applyFont="1" applyAlignment="1">
      <alignment wrapText="1"/>
    </xf>
    <xf numFmtId="43" fontId="21" fillId="0" borderId="0" xfId="5" applyNumberFormat="1" applyFont="1"/>
    <xf numFmtId="168" fontId="36" fillId="0" borderId="0" xfId="11" applyNumberFormat="1" applyFont="1" applyAlignment="1">
      <alignment horizontal="right"/>
    </xf>
    <xf numFmtId="168" fontId="34" fillId="0" borderId="0" xfId="11" applyNumberFormat="1" applyFont="1" applyAlignment="1">
      <alignment horizontal="right"/>
    </xf>
    <xf numFmtId="168" fontId="27" fillId="0" borderId="0" xfId="11" applyNumberFormat="1" applyFont="1" applyAlignment="1">
      <alignment horizontal="right"/>
    </xf>
    <xf numFmtId="165" fontId="27" fillId="0" borderId="0" xfId="12" applyNumberFormat="1" applyFont="1" applyAlignment="1">
      <alignment horizontal="right"/>
    </xf>
    <xf numFmtId="165" fontId="21" fillId="0" borderId="0" xfId="5" applyNumberFormat="1" applyFont="1" applyAlignment="1">
      <alignment horizontal="right"/>
    </xf>
    <xf numFmtId="10" fontId="27" fillId="0" borderId="0" xfId="5" applyNumberFormat="1" applyFont="1"/>
    <xf numFmtId="165" fontId="27" fillId="0" borderId="0" xfId="0" applyNumberFormat="1" applyFont="1" applyAlignment="1">
      <alignment horizontal="right"/>
    </xf>
    <xf numFmtId="170" fontId="21" fillId="0" borderId="0" xfId="5" applyNumberFormat="1" applyFont="1" applyAlignment="1">
      <alignment horizontal="right"/>
    </xf>
    <xf numFmtId="170" fontId="27" fillId="0" borderId="0" xfId="5" applyNumberFormat="1" applyFont="1" applyAlignment="1">
      <alignment horizontal="right"/>
    </xf>
    <xf numFmtId="169" fontId="27" fillId="0" borderId="0" xfId="5" applyNumberFormat="1" applyFont="1" applyAlignment="1">
      <alignment horizontal="right"/>
    </xf>
    <xf numFmtId="165" fontId="27" fillId="0" borderId="0" xfId="5" applyNumberFormat="1" applyFont="1" applyAlignment="1">
      <alignment horizontal="right"/>
    </xf>
    <xf numFmtId="0" fontId="28" fillId="0" borderId="0" xfId="5" applyFont="1"/>
    <xf numFmtId="169" fontId="37" fillId="0" borderId="0" xfId="5" applyNumberFormat="1" applyFont="1"/>
    <xf numFmtId="0" fontId="29" fillId="0" borderId="0" xfId="5" applyFont="1"/>
    <xf numFmtId="0" fontId="21" fillId="0" borderId="0" xfId="5" quotePrefix="1" applyFont="1"/>
    <xf numFmtId="0" fontId="23" fillId="6" borderId="7" xfId="5" applyFont="1" applyFill="1" applyBorder="1"/>
    <xf numFmtId="0" fontId="23" fillId="6" borderId="6" xfId="5" applyFont="1" applyFill="1" applyBorder="1"/>
    <xf numFmtId="169" fontId="23" fillId="6" borderId="6" xfId="5" applyNumberFormat="1" applyFont="1" applyFill="1" applyBorder="1"/>
    <xf numFmtId="165" fontId="23" fillId="6" borderId="6" xfId="5" applyNumberFormat="1" applyFont="1" applyFill="1" applyBorder="1"/>
    <xf numFmtId="10" fontId="30" fillId="6" borderId="6" xfId="5" applyNumberFormat="1" applyFont="1" applyFill="1" applyBorder="1"/>
    <xf numFmtId="165" fontId="30" fillId="6" borderId="6" xfId="5" applyNumberFormat="1" applyFont="1" applyFill="1" applyBorder="1"/>
    <xf numFmtId="0" fontId="30" fillId="6" borderId="6" xfId="5" applyFont="1" applyFill="1" applyBorder="1"/>
    <xf numFmtId="170" fontId="23" fillId="6" borderId="6" xfId="5" applyNumberFormat="1" applyFont="1" applyFill="1" applyBorder="1" applyAlignment="1">
      <alignment horizontal="right"/>
    </xf>
    <xf numFmtId="170" fontId="30" fillId="6" borderId="6" xfId="5" applyNumberFormat="1" applyFont="1" applyFill="1" applyBorder="1" applyAlignment="1">
      <alignment horizontal="right"/>
    </xf>
    <xf numFmtId="169" fontId="30" fillId="6" borderId="6" xfId="5" applyNumberFormat="1" applyFont="1" applyFill="1" applyBorder="1" applyAlignment="1">
      <alignment horizontal="right"/>
    </xf>
    <xf numFmtId="165" fontId="30" fillId="6" borderId="8" xfId="5" applyNumberFormat="1" applyFont="1" applyFill="1" applyBorder="1" applyAlignment="1">
      <alignment horizontal="right"/>
    </xf>
    <xf numFmtId="165" fontId="21" fillId="0" borderId="7" xfId="9" applyNumberFormat="1" applyFont="1" applyBorder="1"/>
    <xf numFmtId="0" fontId="21" fillId="0" borderId="6" xfId="0" applyFont="1" applyBorder="1"/>
    <xf numFmtId="0" fontId="21" fillId="0" borderId="8" xfId="0" applyFont="1" applyBorder="1"/>
    <xf numFmtId="0" fontId="23" fillId="6" borderId="9" xfId="5" applyFont="1" applyFill="1" applyBorder="1"/>
    <xf numFmtId="0" fontId="23" fillId="6" borderId="0" xfId="5" applyFont="1" applyFill="1"/>
    <xf numFmtId="169" fontId="23" fillId="6" borderId="0" xfId="5" applyNumberFormat="1" applyFont="1" applyFill="1"/>
    <xf numFmtId="165" fontId="23" fillId="6" borderId="0" xfId="5" applyNumberFormat="1" applyFont="1" applyFill="1"/>
    <xf numFmtId="10" fontId="30" fillId="6" borderId="0" xfId="5" applyNumberFormat="1" applyFont="1" applyFill="1"/>
    <xf numFmtId="165" fontId="30" fillId="6" borderId="0" xfId="5" applyNumberFormat="1" applyFont="1" applyFill="1"/>
    <xf numFmtId="0" fontId="30" fillId="6" borderId="0" xfId="5" applyFont="1" applyFill="1"/>
    <xf numFmtId="170" fontId="23" fillId="6" borderId="0" xfId="5" applyNumberFormat="1" applyFont="1" applyFill="1" applyAlignment="1">
      <alignment horizontal="right"/>
    </xf>
    <xf numFmtId="170" fontId="30" fillId="6" borderId="0" xfId="5" applyNumberFormat="1" applyFont="1" applyFill="1" applyAlignment="1">
      <alignment horizontal="right"/>
    </xf>
    <xf numFmtId="169" fontId="30" fillId="6" borderId="0" xfId="5" applyNumberFormat="1" applyFont="1" applyFill="1" applyAlignment="1">
      <alignment horizontal="right"/>
    </xf>
    <xf numFmtId="165" fontId="30" fillId="6" borderId="10" xfId="5" applyNumberFormat="1" applyFont="1" applyFill="1" applyBorder="1" applyAlignment="1">
      <alignment horizontal="right"/>
    </xf>
    <xf numFmtId="165" fontId="21" fillId="0" borderId="9" xfId="9" applyNumberFormat="1" applyFont="1" applyBorder="1"/>
    <xf numFmtId="0" fontId="21" fillId="0" borderId="0" xfId="0" applyFont="1"/>
    <xf numFmtId="0" fontId="38" fillId="0" borderId="10" xfId="0" applyFont="1" applyBorder="1"/>
    <xf numFmtId="0" fontId="39" fillId="0" borderId="9" xfId="0" applyFont="1" applyBorder="1"/>
    <xf numFmtId="0" fontId="39" fillId="0" borderId="11" xfId="0" applyFont="1" applyBorder="1"/>
    <xf numFmtId="0" fontId="21" fillId="0" borderId="13" xfId="0" applyFont="1" applyBorder="1"/>
    <xf numFmtId="0" fontId="39" fillId="0" borderId="0" xfId="0" applyFont="1"/>
    <xf numFmtId="0" fontId="23" fillId="6" borderId="3" xfId="0" applyFont="1" applyFill="1" applyBorder="1"/>
    <xf numFmtId="0" fontId="21" fillId="6" borderId="4" xfId="5" quotePrefix="1" applyFont="1" applyFill="1" applyBorder="1" applyAlignment="1">
      <alignment horizontal="center"/>
    </xf>
    <xf numFmtId="169" fontId="23" fillId="6" borderId="4" xfId="5" applyNumberFormat="1" applyFont="1" applyFill="1" applyBorder="1"/>
    <xf numFmtId="165" fontId="23" fillId="6" borderId="4" xfId="5" applyNumberFormat="1" applyFont="1" applyFill="1" applyBorder="1"/>
    <xf numFmtId="10" fontId="30" fillId="6" borderId="4" xfId="5" applyNumberFormat="1" applyFont="1" applyFill="1" applyBorder="1"/>
    <xf numFmtId="165" fontId="30" fillId="6" borderId="4" xfId="5" applyNumberFormat="1" applyFont="1" applyFill="1" applyBorder="1"/>
    <xf numFmtId="0" fontId="30" fillId="6" borderId="4" xfId="5" applyFont="1" applyFill="1" applyBorder="1"/>
    <xf numFmtId="170" fontId="23" fillId="6" borderId="4" xfId="5" applyNumberFormat="1" applyFont="1" applyFill="1" applyBorder="1" applyAlignment="1">
      <alignment horizontal="right"/>
    </xf>
    <xf numFmtId="170" fontId="30" fillId="6" borderId="4" xfId="5" applyNumberFormat="1" applyFont="1" applyFill="1" applyBorder="1" applyAlignment="1">
      <alignment horizontal="right"/>
    </xf>
    <xf numFmtId="169" fontId="30" fillId="6" borderId="4" xfId="5" applyNumberFormat="1" applyFont="1" applyFill="1" applyBorder="1" applyAlignment="1">
      <alignment horizontal="right"/>
    </xf>
    <xf numFmtId="165" fontId="40" fillId="6" borderId="5" xfId="5" applyNumberFormat="1" applyFont="1" applyFill="1" applyBorder="1" applyAlignment="1">
      <alignment horizontal="right"/>
    </xf>
    <xf numFmtId="0" fontId="41" fillId="0" borderId="14" xfId="0" applyFont="1" applyBorder="1"/>
    <xf numFmtId="0" fontId="41" fillId="0" borderId="0" xfId="0" applyFont="1"/>
    <xf numFmtId="0" fontId="23" fillId="6" borderId="3" xfId="5" applyFont="1" applyFill="1" applyBorder="1" applyAlignment="1">
      <alignment horizontal="left"/>
    </xf>
    <xf numFmtId="169" fontId="40" fillId="6" borderId="4" xfId="5" applyNumberFormat="1" applyFont="1" applyFill="1" applyBorder="1"/>
    <xf numFmtId="0" fontId="40" fillId="6" borderId="4" xfId="5" applyFont="1" applyFill="1" applyBorder="1"/>
    <xf numFmtId="165" fontId="42" fillId="6" borderId="4" xfId="5" applyNumberFormat="1" applyFont="1" applyFill="1" applyBorder="1"/>
    <xf numFmtId="10" fontId="23" fillId="6" borderId="4" xfId="5" applyNumberFormat="1" applyFont="1" applyFill="1" applyBorder="1"/>
    <xf numFmtId="165" fontId="43" fillId="6" borderId="4" xfId="5" applyNumberFormat="1" applyFont="1" applyFill="1" applyBorder="1"/>
    <xf numFmtId="165" fontId="30" fillId="6" borderId="5" xfId="5" applyNumberFormat="1" applyFont="1" applyFill="1" applyBorder="1" applyAlignment="1">
      <alignment horizontal="right"/>
    </xf>
    <xf numFmtId="169" fontId="30" fillId="6" borderId="4" xfId="5" applyNumberFormat="1" applyFont="1" applyFill="1" applyBorder="1"/>
    <xf numFmtId="0" fontId="44" fillId="0" borderId="0" xfId="5" applyFont="1"/>
    <xf numFmtId="165" fontId="26" fillId="0" borderId="0" xfId="9" applyNumberFormat="1" applyFont="1"/>
    <xf numFmtId="0" fontId="39" fillId="0" borderId="0" xfId="5" applyFont="1"/>
    <xf numFmtId="0" fontId="23" fillId="0" borderId="0" xfId="5" applyFont="1" applyAlignment="1">
      <alignment horizontal="left" vertical="top"/>
    </xf>
    <xf numFmtId="0" fontId="23" fillId="0" borderId="0" xfId="5" applyFont="1" applyAlignment="1">
      <alignment horizontal="left"/>
    </xf>
    <xf numFmtId="0" fontId="25" fillId="3" borderId="3" xfId="5" applyFont="1" applyFill="1" applyBorder="1" applyAlignment="1">
      <alignment vertical="top"/>
    </xf>
    <xf numFmtId="0" fontId="25" fillId="3" borderId="5" xfId="5" applyFont="1" applyFill="1" applyBorder="1" applyAlignment="1">
      <alignment wrapText="1"/>
    </xf>
    <xf numFmtId="0" fontId="22" fillId="3" borderId="3" xfId="5" applyFont="1" applyFill="1" applyBorder="1" applyAlignment="1">
      <alignment horizontal="centerContinuous" vertical="top"/>
    </xf>
    <xf numFmtId="0" fontId="22" fillId="3" borderId="14" xfId="5" applyFont="1" applyFill="1" applyBorder="1" applyAlignment="1">
      <alignment horizontal="right" wrapText="1"/>
    </xf>
    <xf numFmtId="165" fontId="27" fillId="0" borderId="0" xfId="9" applyNumberFormat="1" applyFont="1" applyAlignment="1">
      <alignment vertical="top"/>
    </xf>
    <xf numFmtId="0" fontId="22" fillId="3" borderId="14" xfId="5" applyFont="1" applyFill="1" applyBorder="1" applyAlignment="1">
      <alignment horizontal="left" vertical="top"/>
    </xf>
    <xf numFmtId="0" fontId="22" fillId="0" borderId="0" xfId="5" applyFont="1" applyAlignment="1">
      <alignment horizontal="centerContinuous" wrapText="1"/>
    </xf>
    <xf numFmtId="0" fontId="23" fillId="0" borderId="17" xfId="5" applyFont="1" applyBorder="1"/>
    <xf numFmtId="170" fontId="23" fillId="0" borderId="17" xfId="5" applyNumberFormat="1" applyFont="1" applyBorder="1" applyAlignment="1">
      <alignment horizontal="right" wrapText="1"/>
    </xf>
    <xf numFmtId="170" fontId="23" fillId="0" borderId="0" xfId="5" applyNumberFormat="1" applyFont="1" applyAlignment="1">
      <alignment horizontal="right" wrapText="1"/>
    </xf>
    <xf numFmtId="165" fontId="21" fillId="0" borderId="0" xfId="9" applyNumberFormat="1" applyFont="1"/>
    <xf numFmtId="165" fontId="27" fillId="0" borderId="0" xfId="9" applyNumberFormat="1" applyFont="1"/>
    <xf numFmtId="0" fontId="23" fillId="0" borderId="17" xfId="5" applyFont="1" applyBorder="1" applyAlignment="1">
      <alignment vertical="top"/>
    </xf>
    <xf numFmtId="170" fontId="23" fillId="0" borderId="17" xfId="5" applyNumberFormat="1" applyFont="1" applyBorder="1"/>
    <xf numFmtId="0" fontId="23" fillId="0" borderId="0" xfId="5" applyFont="1" applyAlignment="1">
      <alignment vertical="top"/>
    </xf>
    <xf numFmtId="9" fontId="21" fillId="0" borderId="0" xfId="9" applyFont="1"/>
    <xf numFmtId="165" fontId="25" fillId="3" borderId="3" xfId="9" applyNumberFormat="1" applyFont="1" applyFill="1" applyBorder="1" applyAlignment="1">
      <alignment horizontal="center" vertical="top"/>
    </xf>
    <xf numFmtId="0" fontId="25" fillId="3" borderId="4" xfId="5" applyFont="1" applyFill="1" applyBorder="1" applyAlignment="1">
      <alignment vertical="top"/>
    </xf>
    <xf numFmtId="165" fontId="25" fillId="3" borderId="4" xfId="9" applyNumberFormat="1" applyFont="1" applyFill="1" applyBorder="1" applyAlignment="1">
      <alignment vertical="top"/>
    </xf>
    <xf numFmtId="165" fontId="25" fillId="3" borderId="4" xfId="9" applyNumberFormat="1" applyFont="1" applyFill="1" applyBorder="1" applyAlignment="1">
      <alignment horizontal="right" vertical="top"/>
    </xf>
    <xf numFmtId="165" fontId="25" fillId="3" borderId="4" xfId="9" applyNumberFormat="1" applyFont="1" applyFill="1" applyBorder="1" applyAlignment="1">
      <alignment horizontal="right" vertical="top" wrapText="1"/>
    </xf>
    <xf numFmtId="165" fontId="25" fillId="3" borderId="5" xfId="9" applyNumberFormat="1" applyFont="1" applyFill="1" applyBorder="1" applyAlignment="1">
      <alignment horizontal="right" vertical="top" wrapText="1"/>
    </xf>
    <xf numFmtId="172" fontId="27" fillId="0" borderId="0" xfId="9" applyNumberFormat="1" applyFont="1" applyAlignment="1">
      <alignment horizontal="center" vertical="top" wrapText="1"/>
    </xf>
    <xf numFmtId="0" fontId="27" fillId="0" borderId="0" xfId="5" applyFont="1" applyAlignment="1">
      <alignment vertical="top" wrapText="1"/>
    </xf>
    <xf numFmtId="165" fontId="27" fillId="0" borderId="0" xfId="9" applyNumberFormat="1" applyFont="1" applyAlignment="1">
      <alignment vertical="top" wrapText="1"/>
    </xf>
    <xf numFmtId="0" fontId="21" fillId="0" borderId="0" xfId="5" applyFont="1" applyAlignment="1">
      <alignment vertical="top" wrapText="1"/>
    </xf>
    <xf numFmtId="0" fontId="21" fillId="6" borderId="6" xfId="5" applyFont="1" applyFill="1" applyBorder="1"/>
    <xf numFmtId="0" fontId="21" fillId="6" borderId="6" xfId="5" quotePrefix="1" applyFont="1" applyFill="1" applyBorder="1"/>
    <xf numFmtId="165" fontId="40" fillId="6" borderId="8" xfId="5" applyNumberFormat="1" applyFont="1" applyFill="1" applyBorder="1"/>
    <xf numFmtId="0" fontId="23" fillId="6" borderId="11" xfId="5" applyFont="1" applyFill="1" applyBorder="1"/>
    <xf numFmtId="0" fontId="23" fillId="6" borderId="13" xfId="5" applyFont="1" applyFill="1" applyBorder="1"/>
    <xf numFmtId="165" fontId="23" fillId="6" borderId="13" xfId="9" applyNumberFormat="1" applyFont="1" applyFill="1" applyBorder="1"/>
    <xf numFmtId="165" fontId="23" fillId="6" borderId="12" xfId="5" applyNumberFormat="1" applyFont="1" applyFill="1" applyBorder="1"/>
    <xf numFmtId="0" fontId="21" fillId="0" borderId="0" xfId="5" quotePrefix="1" applyFont="1" applyAlignment="1">
      <alignment horizontal="right" vertical="top"/>
    </xf>
    <xf numFmtId="0" fontId="21" fillId="0" borderId="0" xfId="5" applyFont="1" applyAlignment="1">
      <alignment horizontal="justify" vertical="top"/>
    </xf>
    <xf numFmtId="0" fontId="46" fillId="7" borderId="0" xfId="13" applyFill="1" applyAlignment="1">
      <alignment horizontal="left" vertical="top" wrapText="1"/>
    </xf>
    <xf numFmtId="0" fontId="34" fillId="0" borderId="0" xfId="10" applyFont="1"/>
    <xf numFmtId="0" fontId="24" fillId="0" borderId="0" xfId="0" applyFont="1" applyAlignment="1">
      <alignment horizontal="right"/>
    </xf>
    <xf numFmtId="0" fontId="22" fillId="3" borderId="14" xfId="5" applyFont="1" applyFill="1" applyBorder="1" applyAlignment="1">
      <alignment wrapText="1"/>
    </xf>
    <xf numFmtId="0" fontId="22" fillId="3" borderId="3" xfId="5" applyFont="1" applyFill="1" applyBorder="1" applyAlignment="1">
      <alignment horizontal="right" wrapText="1"/>
    </xf>
    <xf numFmtId="0" fontId="22" fillId="3" borderId="5" xfId="5" applyFont="1" applyFill="1" applyBorder="1" applyAlignment="1">
      <alignment horizontal="right" wrapText="1"/>
    </xf>
    <xf numFmtId="0" fontId="47" fillId="8" borderId="0" xfId="5" applyFont="1" applyFill="1" applyAlignment="1">
      <alignment horizontal="center" wrapText="1"/>
    </xf>
    <xf numFmtId="0" fontId="47" fillId="8" borderId="3" xfId="0" applyFont="1" applyFill="1" applyBorder="1" applyAlignment="1">
      <alignment horizontal="center" wrapText="1"/>
    </xf>
    <xf numFmtId="0" fontId="47" fillId="8" borderId="5" xfId="0" applyFont="1" applyFill="1" applyBorder="1" applyAlignment="1">
      <alignment horizontal="center" wrapText="1"/>
    </xf>
    <xf numFmtId="0" fontId="27" fillId="0" borderId="0" xfId="14" applyFont="1" applyAlignment="1">
      <alignment horizontal="left"/>
    </xf>
    <xf numFmtId="2" fontId="27" fillId="0" borderId="0" xfId="15" applyNumberFormat="1" applyFont="1" applyAlignment="1">
      <alignment horizontal="right"/>
    </xf>
    <xf numFmtId="10" fontId="27" fillId="0" borderId="0" xfId="16" applyNumberFormat="1" applyFont="1" applyAlignment="1">
      <alignment horizontal="right"/>
    </xf>
    <xf numFmtId="14" fontId="27" fillId="0" borderId="0" xfId="5" applyNumberFormat="1" applyFont="1"/>
    <xf numFmtId="170" fontId="27" fillId="0" borderId="9" xfId="5" applyNumberFormat="1" applyFont="1" applyBorder="1"/>
    <xf numFmtId="14" fontId="21" fillId="0" borderId="0" xfId="17" applyNumberFormat="1" applyFont="1" applyAlignment="1">
      <alignment horizontal="left"/>
    </xf>
    <xf numFmtId="170" fontId="21" fillId="0" borderId="9" xfId="5" applyNumberFormat="1" applyFont="1" applyBorder="1"/>
    <xf numFmtId="170" fontId="21" fillId="0" borderId="11" xfId="5" applyNumberFormat="1" applyFont="1" applyBorder="1"/>
    <xf numFmtId="170" fontId="21" fillId="9" borderId="12" xfId="5" applyNumberFormat="1" applyFont="1" applyFill="1" applyBorder="1"/>
    <xf numFmtId="0" fontId="21" fillId="6" borderId="8" xfId="5" applyFont="1" applyFill="1" applyBorder="1"/>
    <xf numFmtId="0" fontId="21" fillId="6" borderId="9" xfId="5" applyFont="1" applyFill="1" applyBorder="1" applyAlignment="1">
      <alignment horizontal="left" indent="1"/>
    </xf>
    <xf numFmtId="0" fontId="21" fillId="6" borderId="0" xfId="5" applyFont="1" applyFill="1"/>
    <xf numFmtId="169" fontId="21" fillId="6" borderId="0" xfId="5" applyNumberFormat="1" applyFont="1" applyFill="1"/>
    <xf numFmtId="10" fontId="21" fillId="6" borderId="10" xfId="5" applyNumberFormat="1" applyFont="1" applyFill="1" applyBorder="1" applyAlignment="1">
      <alignment horizontal="right"/>
    </xf>
    <xf numFmtId="0" fontId="21" fillId="6" borderId="9" xfId="5" applyFont="1" applyFill="1" applyBorder="1"/>
    <xf numFmtId="10" fontId="21" fillId="6" borderId="10" xfId="5" applyNumberFormat="1" applyFont="1" applyFill="1" applyBorder="1"/>
    <xf numFmtId="10" fontId="23" fillId="6" borderId="12" xfId="5" applyNumberFormat="1" applyFont="1" applyFill="1" applyBorder="1" applyAlignment="1">
      <alignment horizontal="right"/>
    </xf>
    <xf numFmtId="0" fontId="30" fillId="0" borderId="0" xfId="5" applyFont="1"/>
    <xf numFmtId="9" fontId="26" fillId="0" borderId="0" xfId="9" applyFont="1" applyAlignment="1">
      <alignment horizontal="right"/>
    </xf>
    <xf numFmtId="172" fontId="28" fillId="0" borderId="0" xfId="5" applyNumberFormat="1" applyFont="1" applyAlignment="1">
      <alignment horizontal="center"/>
    </xf>
    <xf numFmtId="170" fontId="30" fillId="0" borderId="3" xfId="5" applyNumberFormat="1" applyFont="1" applyBorder="1" applyAlignment="1">
      <alignment horizontal="center"/>
    </xf>
    <xf numFmtId="170" fontId="30" fillId="0" borderId="4" xfId="5" applyNumberFormat="1" applyFont="1" applyBorder="1" applyAlignment="1">
      <alignment horizontal="center"/>
    </xf>
    <xf numFmtId="170" fontId="30" fillId="0" borderId="5" xfId="5" applyNumberFormat="1" applyFont="1" applyBorder="1" applyAlignment="1">
      <alignment horizontal="center"/>
    </xf>
    <xf numFmtId="14" fontId="24" fillId="0" borderId="0" xfId="5" applyNumberFormat="1" applyFont="1" applyAlignment="1">
      <alignment horizontal="center"/>
    </xf>
    <xf numFmtId="165" fontId="21" fillId="10" borderId="0" xfId="5" applyNumberFormat="1" applyFont="1" applyFill="1" applyAlignment="1">
      <alignment horizontal="right"/>
    </xf>
    <xf numFmtId="165" fontId="23" fillId="6" borderId="8" xfId="5" applyNumberFormat="1" applyFont="1" applyFill="1" applyBorder="1"/>
    <xf numFmtId="165" fontId="23" fillId="6" borderId="10" xfId="5" applyNumberFormat="1" applyFont="1" applyFill="1" applyBorder="1"/>
    <xf numFmtId="0" fontId="21" fillId="6" borderId="13" xfId="5" applyFont="1" applyFill="1" applyBorder="1"/>
    <xf numFmtId="165" fontId="23" fillId="6" borderId="13" xfId="5" applyNumberFormat="1" applyFont="1" applyFill="1" applyBorder="1"/>
    <xf numFmtId="0" fontId="21" fillId="0" borderId="0" xfId="5" quotePrefix="1" applyFont="1" applyAlignment="1">
      <alignment horizontal="right"/>
    </xf>
    <xf numFmtId="0" fontId="48" fillId="0" borderId="3" xfId="5" applyFont="1" applyBorder="1" applyAlignment="1">
      <alignment wrapText="1"/>
    </xf>
    <xf numFmtId="0" fontId="21" fillId="0" borderId="4" xfId="5" applyFont="1" applyBorder="1" applyAlignment="1">
      <alignment wrapText="1"/>
    </xf>
    <xf numFmtId="0" fontId="29" fillId="0" borderId="4" xfId="5" applyFont="1" applyBorder="1" applyAlignment="1">
      <alignment wrapText="1"/>
    </xf>
    <xf numFmtId="0" fontId="29" fillId="0" borderId="5" xfId="5" applyFont="1" applyBorder="1" applyAlignment="1">
      <alignment wrapText="1"/>
    </xf>
    <xf numFmtId="0" fontId="29" fillId="0" borderId="0" xfId="5" applyFont="1" applyAlignment="1">
      <alignment wrapText="1"/>
    </xf>
    <xf numFmtId="0" fontId="21" fillId="0" borderId="0" xfId="5" applyFont="1" applyAlignment="1">
      <alignment horizontal="center" wrapText="1"/>
    </xf>
    <xf numFmtId="0" fontId="49" fillId="11" borderId="0" xfId="18" applyFont="1" applyFill="1" applyProtection="1">
      <protection locked="0"/>
    </xf>
    <xf numFmtId="0" fontId="27" fillId="11" borderId="0" xfId="18" applyFont="1" applyFill="1" applyProtection="1">
      <protection locked="0"/>
    </xf>
    <xf numFmtId="0" fontId="51" fillId="11" borderId="0" xfId="19" applyFont="1" applyFill="1" applyAlignment="1" applyProtection="1">
      <alignment horizontal="right"/>
      <protection locked="0"/>
    </xf>
    <xf numFmtId="0" fontId="27" fillId="11" borderId="0" xfId="18" applyFont="1" applyFill="1" applyAlignment="1" applyProtection="1">
      <alignment horizontal="center"/>
      <protection locked="0"/>
    </xf>
    <xf numFmtId="0" fontId="53" fillId="11" borderId="0" xfId="18" applyFont="1" applyFill="1" applyProtection="1">
      <protection locked="0"/>
    </xf>
    <xf numFmtId="0" fontId="54" fillId="11" borderId="0" xfId="19" applyFont="1" applyFill="1" applyAlignment="1" applyProtection="1">
      <alignment horizontal="right"/>
      <protection locked="0"/>
    </xf>
    <xf numFmtId="14" fontId="55" fillId="11" borderId="18" xfId="21" applyNumberFormat="1" applyFont="1" applyFill="1" applyBorder="1"/>
    <xf numFmtId="14" fontId="52" fillId="11" borderId="18" xfId="21" applyNumberFormat="1" applyFont="1" applyFill="1" applyBorder="1" applyAlignment="1">
      <alignment horizontal="left"/>
    </xf>
    <xf numFmtId="43" fontId="52" fillId="12" borderId="0" xfId="11" applyFont="1" applyFill="1"/>
    <xf numFmtId="14" fontId="52" fillId="11" borderId="19" xfId="21" applyNumberFormat="1" applyFont="1" applyFill="1" applyBorder="1" applyAlignment="1">
      <alignment horizontal="left"/>
    </xf>
    <xf numFmtId="14" fontId="52" fillId="11" borderId="20" xfId="21" applyNumberFormat="1" applyFont="1" applyFill="1" applyBorder="1" applyAlignment="1">
      <alignment horizontal="left"/>
    </xf>
    <xf numFmtId="0" fontId="26" fillId="0" borderId="0" xfId="5" applyFont="1"/>
    <xf numFmtId="172" fontId="26" fillId="0" borderId="8" xfId="5" applyNumberFormat="1" applyFont="1" applyBorder="1" applyAlignment="1">
      <alignment horizontal="right"/>
    </xf>
    <xf numFmtId="0" fontId="26" fillId="0" borderId="10" xfId="5" applyFont="1" applyBorder="1" applyAlignment="1">
      <alignment horizontal="right"/>
    </xf>
    <xf numFmtId="0" fontId="57" fillId="0" borderId="10" xfId="10" applyFont="1" applyBorder="1" applyAlignment="1">
      <alignment horizontal="right"/>
    </xf>
    <xf numFmtId="0" fontId="26" fillId="0" borderId="12" xfId="5" applyFont="1" applyBorder="1" applyAlignment="1">
      <alignment horizontal="right"/>
    </xf>
    <xf numFmtId="172" fontId="24" fillId="0" borderId="0" xfId="5" applyNumberFormat="1" applyFont="1"/>
    <xf numFmtId="172" fontId="24" fillId="0" borderId="8" xfId="5" applyNumberFormat="1" applyFont="1" applyBorder="1" applyAlignment="1">
      <alignment horizontal="right"/>
    </xf>
    <xf numFmtId="166" fontId="26" fillId="0" borderId="0" xfId="6" applyNumberFormat="1" applyFont="1" applyAlignment="1">
      <alignment vertical="top"/>
    </xf>
    <xf numFmtId="167" fontId="26" fillId="0" borderId="0" xfId="8" applyNumberFormat="1" applyFont="1" applyAlignment="1">
      <alignment vertical="top"/>
    </xf>
    <xf numFmtId="0" fontId="26" fillId="0" borderId="0" xfId="5" applyFont="1" applyAlignment="1">
      <alignment horizontal="right" vertical="top"/>
    </xf>
    <xf numFmtId="43" fontId="21" fillId="0" borderId="0" xfId="5" applyNumberFormat="1" applyFont="1" applyAlignment="1">
      <alignment horizontal="center"/>
    </xf>
    <xf numFmtId="0" fontId="22" fillId="3" borderId="5" xfId="5" applyFont="1" applyFill="1" applyBorder="1" applyAlignment="1">
      <alignment horizontal="center" vertical="center"/>
    </xf>
    <xf numFmtId="43" fontId="21" fillId="0" borderId="0" xfId="6" applyFont="1" applyAlignment="1">
      <alignment horizontal="center" vertical="top"/>
    </xf>
    <xf numFmtId="167" fontId="21" fillId="0" borderId="0" xfId="8" applyNumberFormat="1" applyFont="1" applyAlignment="1">
      <alignment horizontal="center" vertical="top"/>
    </xf>
    <xf numFmtId="165" fontId="25" fillId="0" borderId="0" xfId="9" applyNumberFormat="1" applyFont="1" applyAlignment="1">
      <alignment horizontal="center" vertical="top"/>
    </xf>
    <xf numFmtId="0" fontId="25" fillId="0" borderId="0" xfId="5" applyFont="1" applyAlignment="1">
      <alignment vertical="top"/>
    </xf>
    <xf numFmtId="165" fontId="25" fillId="0" borderId="0" xfId="9" applyNumberFormat="1" applyFont="1" applyAlignment="1">
      <alignment vertical="top"/>
    </xf>
    <xf numFmtId="165" fontId="25" fillId="0" borderId="0" xfId="9" applyNumberFormat="1" applyFont="1" applyAlignment="1">
      <alignment horizontal="left" vertical="top"/>
    </xf>
    <xf numFmtId="165" fontId="25" fillId="0" borderId="0" xfId="9" applyNumberFormat="1" applyFont="1" applyAlignment="1">
      <alignment horizontal="right" vertical="top"/>
    </xf>
    <xf numFmtId="165" fontId="25" fillId="0" borderId="0" xfId="9" applyNumberFormat="1" applyFont="1" applyAlignment="1">
      <alignment horizontal="right" vertical="top" wrapText="1"/>
    </xf>
    <xf numFmtId="0" fontId="14" fillId="2" borderId="0" xfId="3" quotePrefix="1" applyFont="1" applyFill="1" applyProtection="1">
      <protection locked="0" hidden="1"/>
    </xf>
    <xf numFmtId="0" fontId="52" fillId="12" borderId="0" xfId="0" applyFont="1" applyFill="1"/>
    <xf numFmtId="0" fontId="49" fillId="12" borderId="0" xfId="0" applyFont="1" applyFill="1"/>
    <xf numFmtId="0" fontId="52" fillId="11" borderId="0" xfId="0" applyFont="1" applyFill="1"/>
    <xf numFmtId="0" fontId="49" fillId="12" borderId="0" xfId="0" applyFont="1" applyFill="1" applyAlignment="1">
      <alignment horizontal="right"/>
    </xf>
    <xf numFmtId="0" fontId="52" fillId="12" borderId="0" xfId="0" applyFont="1" applyFill="1" applyAlignment="1">
      <alignment horizontal="center"/>
    </xf>
    <xf numFmtId="0" fontId="55" fillId="11" borderId="0" xfId="0" applyFont="1" applyFill="1" applyAlignment="1">
      <alignment horizontal="center"/>
    </xf>
    <xf numFmtId="0" fontId="49" fillId="11" borderId="0" xfId="0" applyFont="1" applyFill="1" applyAlignment="1">
      <alignment horizontal="right"/>
    </xf>
    <xf numFmtId="14" fontId="52" fillId="11" borderId="14" xfId="0" applyNumberFormat="1" applyFont="1" applyFill="1" applyBorder="1" applyAlignment="1">
      <alignment horizontal="center"/>
    </xf>
    <xf numFmtId="0" fontId="55" fillId="11" borderId="3" xfId="0" applyFont="1" applyFill="1" applyBorder="1" applyAlignment="1">
      <alignment horizontal="centerContinuous"/>
    </xf>
    <xf numFmtId="0" fontId="55" fillId="11" borderId="4" xfId="0" applyFont="1" applyFill="1" applyBorder="1" applyAlignment="1">
      <alignment horizontal="centerContinuous"/>
    </xf>
    <xf numFmtId="0" fontId="55" fillId="11" borderId="5" xfId="0" applyFont="1" applyFill="1" applyBorder="1" applyAlignment="1">
      <alignment horizontal="centerContinuous"/>
    </xf>
    <xf numFmtId="14" fontId="55" fillId="11" borderId="3" xfId="0" applyNumberFormat="1" applyFont="1" applyFill="1" applyBorder="1" applyAlignment="1">
      <alignment horizontal="center"/>
    </xf>
    <xf numFmtId="14" fontId="55" fillId="11" borderId="4" xfId="0" applyNumberFormat="1" applyFont="1" applyFill="1" applyBorder="1" applyAlignment="1">
      <alignment horizontal="center"/>
    </xf>
    <xf numFmtId="14" fontId="55" fillId="11" borderId="5" xfId="0" applyNumberFormat="1" applyFont="1" applyFill="1" applyBorder="1" applyAlignment="1">
      <alignment horizontal="center"/>
    </xf>
    <xf numFmtId="0" fontId="55" fillId="12" borderId="0" xfId="0" applyFont="1" applyFill="1" applyAlignment="1">
      <alignment horizontal="center"/>
    </xf>
    <xf numFmtId="0" fontId="52" fillId="11" borderId="0" xfId="0" applyFont="1" applyFill="1" applyAlignment="1">
      <alignment horizontal="left"/>
    </xf>
    <xf numFmtId="165" fontId="52" fillId="11" borderId="9" xfId="0" applyNumberFormat="1" applyFont="1" applyFill="1" applyBorder="1" applyAlignment="1">
      <alignment horizontal="center"/>
    </xf>
    <xf numFmtId="165" fontId="52" fillId="11" borderId="0" xfId="0" applyNumberFormat="1" applyFont="1" applyFill="1" applyAlignment="1">
      <alignment horizontal="center"/>
    </xf>
    <xf numFmtId="165" fontId="52" fillId="11" borderId="10" xfId="0" applyNumberFormat="1" applyFont="1" applyFill="1" applyBorder="1" applyAlignment="1">
      <alignment horizontal="center"/>
    </xf>
    <xf numFmtId="14" fontId="27" fillId="12" borderId="0" xfId="0" applyNumberFormat="1" applyFont="1" applyFill="1" applyAlignment="1">
      <alignment horizontal="center"/>
    </xf>
    <xf numFmtId="165" fontId="52" fillId="12" borderId="0" xfId="0" applyNumberFormat="1" applyFont="1" applyFill="1"/>
    <xf numFmtId="165" fontId="52" fillId="11" borderId="11" xfId="0" applyNumberFormat="1" applyFont="1" applyFill="1" applyBorder="1" applyAlignment="1">
      <alignment horizontal="center"/>
    </xf>
    <xf numFmtId="165" fontId="52" fillId="11" borderId="13" xfId="0" applyNumberFormat="1" applyFont="1" applyFill="1" applyBorder="1" applyAlignment="1">
      <alignment horizontal="center"/>
    </xf>
    <xf numFmtId="165" fontId="52" fillId="11" borderId="12" xfId="0" applyNumberFormat="1" applyFont="1" applyFill="1" applyBorder="1" applyAlignment="1">
      <alignment horizontal="center"/>
    </xf>
    <xf numFmtId="165" fontId="56" fillId="13" borderId="7" xfId="0" applyNumberFormat="1" applyFont="1" applyFill="1" applyBorder="1" applyAlignment="1">
      <alignment horizontal="center"/>
    </xf>
    <xf numFmtId="165" fontId="56" fillId="13" borderId="6" xfId="0" applyNumberFormat="1" applyFont="1" applyFill="1" applyBorder="1" applyAlignment="1">
      <alignment horizontal="center"/>
    </xf>
    <xf numFmtId="165" fontId="56" fillId="13" borderId="8" xfId="0" applyNumberFormat="1" applyFont="1" applyFill="1" applyBorder="1" applyAlignment="1">
      <alignment horizontal="center"/>
    </xf>
    <xf numFmtId="14" fontId="56" fillId="13" borderId="9" xfId="0" applyNumberFormat="1" applyFont="1" applyFill="1" applyBorder="1" applyAlignment="1">
      <alignment horizontal="center"/>
    </xf>
    <xf numFmtId="14" fontId="56" fillId="13" borderId="0" xfId="0" applyNumberFormat="1" applyFont="1" applyFill="1" applyAlignment="1">
      <alignment horizontal="center"/>
    </xf>
    <xf numFmtId="14" fontId="56" fillId="13" borderId="10" xfId="0" applyNumberFormat="1" applyFont="1" applyFill="1" applyBorder="1" applyAlignment="1">
      <alignment horizontal="center"/>
    </xf>
    <xf numFmtId="165" fontId="52" fillId="11" borderId="7" xfId="0" applyNumberFormat="1" applyFont="1" applyFill="1" applyBorder="1" applyAlignment="1">
      <alignment horizontal="center"/>
    </xf>
    <xf numFmtId="165" fontId="52" fillId="11" borderId="6" xfId="0" applyNumberFormat="1" applyFont="1" applyFill="1" applyBorder="1" applyAlignment="1">
      <alignment horizontal="center"/>
    </xf>
    <xf numFmtId="165" fontId="52" fillId="11" borderId="8" xfId="0" applyNumberFormat="1" applyFont="1" applyFill="1" applyBorder="1" applyAlignment="1">
      <alignment horizontal="center"/>
    </xf>
    <xf numFmtId="169" fontId="42" fillId="6" borderId="4" xfId="5" applyNumberFormat="1" applyFont="1" applyFill="1" applyBorder="1"/>
    <xf numFmtId="165" fontId="27" fillId="0" borderId="0" xfId="9" applyNumberFormat="1" applyFont="1" applyAlignment="1">
      <alignment horizontal="right" vertical="top" wrapText="1"/>
    </xf>
    <xf numFmtId="0" fontId="0" fillId="0" borderId="3" xfId="0" applyBorder="1"/>
    <xf numFmtId="9" fontId="21" fillId="0" borderId="5" xfId="5" applyNumberFormat="1" applyFont="1" applyBorder="1"/>
    <xf numFmtId="0" fontId="52" fillId="11" borderId="6" xfId="0" applyFont="1" applyFill="1" applyBorder="1"/>
    <xf numFmtId="165" fontId="52" fillId="12" borderId="6" xfId="0" applyNumberFormat="1" applyFont="1" applyFill="1" applyBorder="1"/>
    <xf numFmtId="0" fontId="0" fillId="0" borderId="0" xfId="0" applyAlignment="1">
      <alignment horizontal="right" wrapText="1"/>
    </xf>
    <xf numFmtId="0" fontId="22" fillId="3" borderId="3" xfId="5" applyFont="1" applyFill="1" applyBorder="1" applyAlignment="1">
      <alignment horizontal="centerContinuous" wrapText="1"/>
    </xf>
    <xf numFmtId="0" fontId="22" fillId="3" borderId="4" xfId="5" applyFont="1" applyFill="1" applyBorder="1" applyAlignment="1">
      <alignment horizontal="centerContinuous" wrapText="1"/>
    </xf>
    <xf numFmtId="0" fontId="22" fillId="3" borderId="5" xfId="5" applyFont="1" applyFill="1" applyBorder="1" applyAlignment="1">
      <alignment horizontal="centerContinuous" wrapText="1"/>
    </xf>
    <xf numFmtId="165" fontId="21" fillId="0" borderId="0" xfId="6" applyNumberFormat="1" applyFont="1"/>
    <xf numFmtId="165" fontId="21" fillId="0" borderId="0" xfId="8" applyNumberFormat="1" applyFont="1"/>
    <xf numFmtId="170" fontId="43" fillId="0" borderId="5" xfId="5" applyNumberFormat="1" applyFont="1" applyBorder="1"/>
    <xf numFmtId="170" fontId="58" fillId="0" borderId="5" xfId="5" applyNumberFormat="1" applyFont="1" applyBorder="1"/>
    <xf numFmtId="0" fontId="14" fillId="4" borderId="4" xfId="0" applyFont="1" applyFill="1" applyBorder="1"/>
    <xf numFmtId="0" fontId="14" fillId="0" borderId="0" xfId="0" applyFont="1"/>
    <xf numFmtId="0" fontId="23" fillId="0" borderId="5" xfId="5" applyFont="1" applyBorder="1"/>
    <xf numFmtId="170" fontId="26" fillId="0" borderId="6" xfId="5" applyNumberFormat="1" applyFont="1" applyBorder="1"/>
    <xf numFmtId="170" fontId="26" fillId="0" borderId="8" xfId="5" applyNumberFormat="1" applyFont="1" applyBorder="1"/>
    <xf numFmtId="170" fontId="21" fillId="0" borderId="6" xfId="5" applyNumberFormat="1" applyFont="1" applyBorder="1"/>
    <xf numFmtId="170" fontId="21" fillId="0" borderId="8" xfId="5" applyNumberFormat="1" applyFont="1" applyBorder="1"/>
    <xf numFmtId="0" fontId="21" fillId="0" borderId="0" xfId="5" applyFont="1" applyAlignment="1">
      <alignment horizontal="justify" vertical="top"/>
    </xf>
    <xf numFmtId="0" fontId="21" fillId="0" borderId="10" xfId="5" applyFont="1" applyBorder="1" applyAlignment="1">
      <alignment horizontal="justify" vertical="top"/>
    </xf>
    <xf numFmtId="0" fontId="21" fillId="0" borderId="0" xfId="5" applyFont="1" applyFill="1" applyAlignment="1">
      <alignment horizontal="justify" vertical="top"/>
    </xf>
    <xf numFmtId="0" fontId="21" fillId="0" borderId="10" xfId="5" applyFont="1" applyFill="1" applyBorder="1" applyAlignment="1">
      <alignment horizontal="justify" vertical="top"/>
    </xf>
    <xf numFmtId="0" fontId="21" fillId="0" borderId="0" xfId="5" quotePrefix="1" applyFont="1" applyAlignment="1">
      <alignment horizontal="justify" vertical="top"/>
    </xf>
    <xf numFmtId="0" fontId="21" fillId="0" borderId="0" xfId="5" quotePrefix="1" applyFont="1" applyAlignment="1">
      <alignment horizontal="justify" vertical="top" wrapText="1"/>
    </xf>
    <xf numFmtId="0" fontId="45" fillId="7" borderId="0" xfId="0" applyFont="1" applyFill="1" applyAlignment="1">
      <alignment horizontal="justify" vertical="top" wrapText="1"/>
    </xf>
    <xf numFmtId="165" fontId="27" fillId="0" borderId="0" xfId="9" applyNumberFormat="1" applyFont="1" applyAlignment="1">
      <alignment horizontal="justify" vertical="top" wrapText="1"/>
    </xf>
    <xf numFmtId="165" fontId="27" fillId="0" borderId="0" xfId="9" applyNumberFormat="1" applyFont="1" applyAlignment="1">
      <alignment horizontal="left" vertical="top" wrapText="1"/>
    </xf>
    <xf numFmtId="165" fontId="25" fillId="3" borderId="4" xfId="9" applyNumberFormat="1" applyFont="1" applyFill="1" applyBorder="1" applyAlignment="1">
      <alignment horizontal="left" vertical="top"/>
    </xf>
    <xf numFmtId="0" fontId="21" fillId="0" borderId="0" xfId="5" applyFont="1" applyAlignment="1">
      <alignment horizontal="justify" vertical="top" wrapText="1"/>
    </xf>
    <xf numFmtId="0" fontId="20" fillId="0" borderId="0" xfId="5" applyAlignment="1">
      <alignment horizontal="justify" vertical="top" wrapText="1"/>
    </xf>
    <xf numFmtId="14" fontId="56" fillId="13" borderId="18" xfId="21" applyNumberFormat="1" applyFont="1" applyFill="1" applyBorder="1" applyAlignment="1">
      <alignment horizontal="left"/>
    </xf>
    <xf numFmtId="14" fontId="56" fillId="13" borderId="19" xfId="21" applyNumberFormat="1" applyFont="1" applyFill="1" applyBorder="1" applyAlignment="1">
      <alignment horizontal="left"/>
    </xf>
  </cellXfs>
  <cellStyles count="22">
    <cellStyle name="Comma" xfId="1" builtinId="3"/>
    <cellStyle name="Comma 13" xfId="6" xr:uid="{00000000-0005-0000-0000-000001000000}"/>
    <cellStyle name="Comma 2" xfId="4" xr:uid="{00000000-0005-0000-0000-000002000000}"/>
    <cellStyle name="Comma 4 5" xfId="11" xr:uid="{00000000-0005-0000-0000-000003000000}"/>
    <cellStyle name="Currency 2 2 2 2" xfId="8" xr:uid="{00000000-0005-0000-0000-000004000000}"/>
    <cellStyle name="Normal" xfId="0" builtinId="0"/>
    <cellStyle name="Normal 10 11 2 2" xfId="17" xr:uid="{00000000-0005-0000-0000-000006000000}"/>
    <cellStyle name="Normal 10 2" xfId="18" xr:uid="{00000000-0005-0000-0000-000007000000}"/>
    <cellStyle name="Normal 11 3" xfId="15" xr:uid="{00000000-0005-0000-0000-000008000000}"/>
    <cellStyle name="Normal 12" xfId="10" xr:uid="{00000000-0005-0000-0000-000009000000}"/>
    <cellStyle name="Normal 2" xfId="3" xr:uid="{00000000-0005-0000-0000-00000A000000}"/>
    <cellStyle name="Normal 38" xfId="5" xr:uid="{00000000-0005-0000-0000-00000B000000}"/>
    <cellStyle name="Normal 40" xfId="20" xr:uid="{00000000-0005-0000-0000-00000C000000}"/>
    <cellStyle name="Normal_Input Sheet" xfId="14" xr:uid="{00000000-0005-0000-0000-00000D000000}"/>
    <cellStyle name="Normal_Template- DCF_Final_060606" xfId="21" xr:uid="{00000000-0005-0000-0000-00000E000000}"/>
    <cellStyle name="Normal_Vayusa_Valuation Model Update #1_06_22" xfId="19" xr:uid="{00000000-0005-0000-0000-00000F000000}"/>
    <cellStyle name="Percent" xfId="2" builtinId="5"/>
    <cellStyle name="Percent 10" xfId="9" xr:uid="{00000000-0005-0000-0000-000011000000}"/>
    <cellStyle name="Percent 10 2" xfId="7" xr:uid="{00000000-0005-0000-0000-000012000000}"/>
    <cellStyle name="Percent 7 3" xfId="12" xr:uid="{00000000-0005-0000-0000-000013000000}"/>
    <cellStyle name="Percent 8 2" xfId="16" xr:uid="{00000000-0005-0000-0000-000014000000}"/>
    <cellStyle name="TextNormal" xfId="13" xr:uid="{00000000-0005-0000-0000-000015000000}"/>
  </cellStyles>
  <dxfs count="33">
    <dxf>
      <fill>
        <patternFill>
          <bgColor rgb="FFFF0000"/>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3"/>
      </font>
      <fill>
        <patternFill>
          <bgColor indexed="1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ill>
        <patternFill>
          <bgColor rgb="FFFF0000"/>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ill>
        <patternFill>
          <bgColor rgb="FFFF0000"/>
        </patternFill>
      </fill>
    </dxf>
    <dxf>
      <font>
        <b/>
        <i val="0"/>
        <condense val="0"/>
        <extend val="0"/>
        <color indexed="13"/>
      </font>
      <fill>
        <patternFill>
          <bgColor indexed="12"/>
        </patternFill>
      </fill>
    </dxf>
    <dxf>
      <font>
        <b/>
        <i val="0"/>
        <condense val="0"/>
        <extend val="0"/>
        <color indexed="13"/>
      </font>
      <fill>
        <patternFill>
          <bgColor indexed="12"/>
        </patternFill>
      </fill>
    </dxf>
    <dxf>
      <font>
        <b/>
        <i val="0"/>
        <condense val="0"/>
        <extend val="0"/>
        <color indexed="13"/>
      </font>
      <fill>
        <patternFill>
          <bgColor indexed="12"/>
        </patternFill>
      </fill>
    </dxf>
    <dxf>
      <font>
        <b/>
        <i val="0"/>
        <condense val="0"/>
        <extend val="0"/>
        <color indexed="13"/>
      </font>
      <fill>
        <patternFill>
          <bgColor indexed="12"/>
        </patternFill>
      </fill>
    </dxf>
    <dxf>
      <font>
        <color theme="0"/>
      </font>
    </dxf>
  </dxfs>
  <tableStyles count="0" defaultTableStyle="TableStyleMedium2" defaultPivotStyle="PivotStyleLight16"/>
  <colors>
    <mruColors>
      <color rgb="FF008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defRPr>
            </a:pPr>
            <a:r>
              <a:rPr lang="en-US" sz="1400" b="1" cap="none" spc="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rPr>
              <a:t>Equity Volatility</a:t>
            </a:r>
            <a:endParaRPr lang="en-US" sz="1400" b="1" cap="none" spc="0">
              <a:ln w="0"/>
              <a:solidFill>
                <a:schemeClr val="tx2"/>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endParaRPr>
          </a:p>
        </c:rich>
      </c:tx>
      <c:layout>
        <c:manualLayout>
          <c:xMode val="edge"/>
          <c:yMode val="edge"/>
          <c:x val="0.33054766983558492"/>
          <c:y val="1.3308151979157587E-2"/>
        </c:manualLayout>
      </c:layout>
      <c:overlay val="0"/>
      <c:spPr>
        <a:solidFill>
          <a:schemeClr val="lt1"/>
        </a:solidFill>
        <a:ln w="25400" cap="flat" cmpd="sng" algn="ctr">
          <a:noFill/>
          <a:prstDash val="solid"/>
        </a:ln>
        <a:effectLst/>
      </c:spPr>
      <c:txPr>
        <a:bodyPr rot="0" spcFirstLastPara="1" vertOverflow="ellipsis" vert="horz" wrap="square" anchor="ctr" anchorCtr="1"/>
        <a:lstStyle/>
        <a:p>
          <a:pPr>
            <a:defRPr sz="1400" b="1" i="0" u="none" strike="noStrike" kern="1200" cap="none" spc="0" baseline="0">
              <a:ln w="0"/>
              <a:solidFill>
                <a:schemeClr val="tx2"/>
              </a:solidFill>
              <a:effectLst>
                <a:outerShdw blurRad="38100" dist="25400" dir="5400000" algn="ctr" rotWithShape="0">
                  <a:srgbClr val="6E747A">
                    <a:alpha val="43000"/>
                  </a:srgb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8.2522669616130764E-2"/>
          <c:y val="0.14550925925925925"/>
          <c:w val="0.62622143803930863"/>
          <c:h val="0.75635061242344703"/>
        </c:manualLayout>
      </c:layout>
      <c:stockChart>
        <c:ser>
          <c:idx val="2"/>
          <c:order val="0"/>
          <c:tx>
            <c:strRef>
              <c:f>'Equity Vol'!$B$24</c:f>
              <c:strCache>
                <c:ptCount val="1"/>
                <c:pt idx="0">
                  <c:v>1st Quartile</c:v>
                </c:pt>
              </c:strCache>
            </c:strRef>
          </c:tx>
          <c:spPr>
            <a:ln w="28575" cap="rnd">
              <a:noFill/>
              <a:round/>
            </a:ln>
            <a:effectLst/>
          </c:spPr>
          <c:marker>
            <c:symbol val="none"/>
          </c:marker>
          <c:cat>
            <c:numRef>
              <c:f>'Equity Vol'!$D$8:$H$8</c:f>
              <c:numCache>
                <c:formatCode>_(* #,##0.00_);_(* \(#,##0.00\);_(* "-"_);_(@_)</c:formatCode>
                <c:ptCount val="5"/>
                <c:pt idx="0">
                  <c:v>1</c:v>
                </c:pt>
                <c:pt idx="1">
                  <c:v>2</c:v>
                </c:pt>
                <c:pt idx="2">
                  <c:v>3</c:v>
                </c:pt>
                <c:pt idx="3">
                  <c:v>4</c:v>
                </c:pt>
                <c:pt idx="4">
                  <c:v>5</c:v>
                </c:pt>
              </c:numCache>
            </c:numRef>
          </c:cat>
          <c:val>
            <c:numRef>
              <c:f>'Equity Vol'!$D$24:$H$24</c:f>
              <c:numCache>
                <c:formatCode>0.0%</c:formatCode>
                <c:ptCount val="5"/>
                <c:pt idx="0">
                  <c:v>0.30365987198958466</c:v>
                </c:pt>
                <c:pt idx="1">
                  <c:v>0.28856512088536501</c:v>
                </c:pt>
                <c:pt idx="2">
                  <c:v>0.27417917042017009</c:v>
                </c:pt>
                <c:pt idx="3">
                  <c:v>0.25314608513358555</c:v>
                </c:pt>
                <c:pt idx="4">
                  <c:v>0.24063986816606325</c:v>
                </c:pt>
              </c:numCache>
            </c:numRef>
          </c:val>
          <c:smooth val="0"/>
          <c:extLst>
            <c:ext xmlns:c16="http://schemas.microsoft.com/office/drawing/2014/chart" uri="{C3380CC4-5D6E-409C-BE32-E72D297353CC}">
              <c16:uniqueId val="{00000000-3967-4F06-A3C1-8963EE5AEF08}"/>
            </c:ext>
          </c:extLst>
        </c:ser>
        <c:ser>
          <c:idx val="0"/>
          <c:order val="1"/>
          <c:tx>
            <c:strRef>
              <c:f>'Equity Vol'!$B$20</c:f>
              <c:strCache>
                <c:ptCount val="1"/>
                <c:pt idx="0">
                  <c:v>High</c:v>
                </c:pt>
              </c:strCache>
            </c:strRef>
          </c:tx>
          <c:spPr>
            <a:ln w="28575" cap="rnd">
              <a:noFill/>
              <a:round/>
            </a:ln>
            <a:effectLst>
              <a:outerShdw blurRad="50800" dist="88900" dir="5400000" algn="ctr" rotWithShape="0">
                <a:srgbClr val="000000">
                  <a:alpha val="43137"/>
                </a:srgbClr>
              </a:outerShdw>
            </a:effectLst>
          </c:spPr>
          <c:marker>
            <c:symbol val="dash"/>
            <c:size val="7"/>
            <c:spPr>
              <a:solidFill>
                <a:schemeClr val="accent2">
                  <a:lumMod val="75000"/>
                </a:schemeClr>
              </a:solidFill>
              <a:ln w="9525">
                <a:noFill/>
              </a:ln>
              <a:effectLst>
                <a:outerShdw blurRad="50800" dist="88900" dir="5400000" algn="ctr" rotWithShape="0">
                  <a:srgbClr val="000000">
                    <a:alpha val="43137"/>
                  </a:srgbClr>
                </a:outerShdw>
              </a:effectLst>
              <a:scene3d>
                <a:camera prst="orthographicFront"/>
                <a:lightRig rig="twoPt" dir="t"/>
              </a:scene3d>
              <a:sp3d prstMaterial="flat">
                <a:bevelT prst="slope"/>
                <a:bevelB prst="slope"/>
              </a:sp3d>
            </c:spPr>
          </c:marker>
          <c:cat>
            <c:numRef>
              <c:f>'Equity Vol'!$D$8:$H$8</c:f>
              <c:numCache>
                <c:formatCode>_(* #,##0.00_);_(* \(#,##0.00\);_(* "-"_);_(@_)</c:formatCode>
                <c:ptCount val="5"/>
                <c:pt idx="0">
                  <c:v>1</c:v>
                </c:pt>
                <c:pt idx="1">
                  <c:v>2</c:v>
                </c:pt>
                <c:pt idx="2">
                  <c:v>3</c:v>
                </c:pt>
                <c:pt idx="3">
                  <c:v>4</c:v>
                </c:pt>
                <c:pt idx="4">
                  <c:v>5</c:v>
                </c:pt>
              </c:numCache>
            </c:numRef>
          </c:cat>
          <c:val>
            <c:numRef>
              <c:f>'Equity Vol'!$D$20:$H$20</c:f>
              <c:numCache>
                <c:formatCode>0.0%</c:formatCode>
                <c:ptCount val="5"/>
                <c:pt idx="0">
                  <c:v>0.50552024995048173</c:v>
                </c:pt>
                <c:pt idx="1">
                  <c:v>0.49317678642885571</c:v>
                </c:pt>
                <c:pt idx="2">
                  <c:v>0.48823549668578248</c:v>
                </c:pt>
                <c:pt idx="3">
                  <c:v>0.48823549668578248</c:v>
                </c:pt>
                <c:pt idx="4">
                  <c:v>0.48823549668578248</c:v>
                </c:pt>
              </c:numCache>
            </c:numRef>
          </c:val>
          <c:smooth val="0"/>
          <c:extLst>
            <c:ext xmlns:c16="http://schemas.microsoft.com/office/drawing/2014/chart" uri="{C3380CC4-5D6E-409C-BE32-E72D297353CC}">
              <c16:uniqueId val="{00000001-3967-4F06-A3C1-8963EE5AEF08}"/>
            </c:ext>
          </c:extLst>
        </c:ser>
        <c:ser>
          <c:idx val="1"/>
          <c:order val="2"/>
          <c:tx>
            <c:strRef>
              <c:f>'Equity Vol'!$B$25</c:f>
              <c:strCache>
                <c:ptCount val="1"/>
                <c:pt idx="0">
                  <c:v>Years to Maturity</c:v>
                </c:pt>
              </c:strCache>
            </c:strRef>
          </c:tx>
          <c:spPr>
            <a:ln w="28575" cap="rnd">
              <a:noFill/>
              <a:round/>
            </a:ln>
            <a:effectLst/>
          </c:spPr>
          <c:marker>
            <c:symbol val="dash"/>
            <c:size val="10"/>
            <c:spPr>
              <a:solidFill>
                <a:schemeClr val="accent2">
                  <a:lumMod val="75000"/>
                </a:schemeClr>
              </a:solidFill>
              <a:ln w="9525">
                <a:noFill/>
              </a:ln>
              <a:effectLst/>
              <a:scene3d>
                <a:camera prst="orthographicFront"/>
                <a:lightRig rig="twoPt" dir="t"/>
              </a:scene3d>
              <a:sp3d prstMaterial="flat">
                <a:bevelT prst="slope"/>
                <a:bevelB prst="slope"/>
              </a:sp3d>
            </c:spPr>
          </c:marker>
          <c:cat>
            <c:numRef>
              <c:f>'Equity Vol'!$D$8:$H$8</c:f>
              <c:numCache>
                <c:formatCode>_(* #,##0.00_);_(* \(#,##0.00\);_(* "-"_);_(@_)</c:formatCode>
                <c:ptCount val="5"/>
                <c:pt idx="0">
                  <c:v>1</c:v>
                </c:pt>
                <c:pt idx="1">
                  <c:v>2</c:v>
                </c:pt>
                <c:pt idx="2">
                  <c:v>3</c:v>
                </c:pt>
                <c:pt idx="3">
                  <c:v>4</c:v>
                </c:pt>
                <c:pt idx="4">
                  <c:v>5</c:v>
                </c:pt>
              </c:numCache>
            </c:numRef>
          </c:cat>
          <c:val>
            <c:numRef>
              <c:f>'Equity Vol'!$D$25:$H$25</c:f>
              <c:numCache>
                <c:formatCode>0.0%</c:formatCode>
                <c:ptCount val="5"/>
                <c:pt idx="0">
                  <c:v>0.15034732733466866</c:v>
                </c:pt>
                <c:pt idx="1">
                  <c:v>0.26144451973052713</c:v>
                </c:pt>
                <c:pt idx="2">
                  <c:v>0.2554441388710581</c:v>
                </c:pt>
                <c:pt idx="3">
                  <c:v>0.249978823765203</c:v>
                </c:pt>
                <c:pt idx="4">
                  <c:v>0.23373755616110109</c:v>
                </c:pt>
              </c:numCache>
            </c:numRef>
          </c:val>
          <c:smooth val="0"/>
          <c:extLst>
            <c:ext xmlns:c16="http://schemas.microsoft.com/office/drawing/2014/chart" uri="{C3380CC4-5D6E-409C-BE32-E72D297353CC}">
              <c16:uniqueId val="{00000002-3967-4F06-A3C1-8963EE5AEF08}"/>
            </c:ext>
          </c:extLst>
        </c:ser>
        <c:ser>
          <c:idx val="3"/>
          <c:order val="3"/>
          <c:tx>
            <c:strRef>
              <c:f>'Equity Vol'!$B$21</c:f>
              <c:strCache>
                <c:ptCount val="1"/>
                <c:pt idx="0">
                  <c:v>3rd Quartile</c:v>
                </c:pt>
              </c:strCache>
            </c:strRef>
          </c:tx>
          <c:spPr>
            <a:ln w="28575" cap="rnd">
              <a:noFill/>
              <a:round/>
            </a:ln>
            <a:effectLst/>
          </c:spPr>
          <c:marker>
            <c:symbol val="none"/>
          </c:marker>
          <c:cat>
            <c:numRef>
              <c:f>'Equity Vol'!$D$8:$H$8</c:f>
              <c:numCache>
                <c:formatCode>_(* #,##0.00_);_(* \(#,##0.00\);_(* "-"_);_(@_)</c:formatCode>
                <c:ptCount val="5"/>
                <c:pt idx="0">
                  <c:v>1</c:v>
                </c:pt>
                <c:pt idx="1">
                  <c:v>2</c:v>
                </c:pt>
                <c:pt idx="2">
                  <c:v>3</c:v>
                </c:pt>
                <c:pt idx="3">
                  <c:v>4</c:v>
                </c:pt>
                <c:pt idx="4">
                  <c:v>5</c:v>
                </c:pt>
              </c:numCache>
            </c:numRef>
          </c:cat>
          <c:val>
            <c:numRef>
              <c:f>'Equity Vol'!$D$21:$H$21</c:f>
              <c:numCache>
                <c:formatCode>0.0%</c:formatCode>
                <c:ptCount val="5"/>
                <c:pt idx="0">
                  <c:v>0.37049945727814049</c:v>
                </c:pt>
                <c:pt idx="1">
                  <c:v>0.30047832513311512</c:v>
                </c:pt>
                <c:pt idx="2">
                  <c:v>0.34570694848989109</c:v>
                </c:pt>
                <c:pt idx="3">
                  <c:v>0.34394192365762433</c:v>
                </c:pt>
                <c:pt idx="4">
                  <c:v>0.34592277457394588</c:v>
                </c:pt>
              </c:numCache>
            </c:numRef>
          </c:val>
          <c:smooth val="0"/>
          <c:extLst>
            <c:ext xmlns:c16="http://schemas.microsoft.com/office/drawing/2014/chart" uri="{C3380CC4-5D6E-409C-BE32-E72D297353CC}">
              <c16:uniqueId val="{00000003-3967-4F06-A3C1-8963EE5AEF0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tx2"/>
              </a:solidFill>
              <a:ln w="9525" cap="flat" cmpd="sng" algn="ctr">
                <a:noFill/>
                <a:round/>
              </a:ln>
              <a:effectLst>
                <a:outerShdw blurRad="50800" dist="38100" dir="16200000" rotWithShape="0">
                  <a:schemeClr val="bg1">
                    <a:lumMod val="65000"/>
                    <a:alpha val="40000"/>
                  </a:schemeClr>
                </a:outerShdw>
              </a:effectLst>
              <a:scene3d>
                <a:camera prst="orthographicFront"/>
                <a:lightRig rig="twoPt" dir="t"/>
              </a:scene3d>
              <a:sp3d prstMaterial="flat">
                <a:bevelT w="165100" prst="coolSlant"/>
                <a:bevelB w="165100" prst="coolSlant"/>
              </a:sp3d>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556633024"/>
        <c:axId val="556631456"/>
      </c:stockChart>
      <c:catAx>
        <c:axId val="556633024"/>
        <c:scaling>
          <c:orientation val="minMax"/>
        </c:scaling>
        <c:delete val="0"/>
        <c:axPos val="b"/>
        <c:numFmt formatCode="_(* #,##0.00_);_(* \(#,##0.0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6631456"/>
        <c:crosses val="autoZero"/>
        <c:auto val="1"/>
        <c:lblAlgn val="ctr"/>
        <c:lblOffset val="100"/>
        <c:noMultiLvlLbl val="0"/>
      </c:catAx>
      <c:valAx>
        <c:axId val="556631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663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5340351</xdr:colOff>
      <xdr:row>0</xdr:row>
      <xdr:rowOff>142874</xdr:rowOff>
    </xdr:from>
    <xdr:to>
      <xdr:col>5</xdr:col>
      <xdr:colOff>42721</xdr:colOff>
      <xdr:row>4</xdr:row>
      <xdr:rowOff>183097</xdr:rowOff>
    </xdr:to>
    <xdr:pic>
      <xdr:nvPicPr>
        <xdr:cNvPr id="2" name="Picture 1">
          <a:extLst>
            <a:ext uri="{FF2B5EF4-FFF2-40B4-BE49-F238E27FC236}">
              <a16:creationId xmlns:a16="http://schemas.microsoft.com/office/drawing/2014/main" id="{80ADD335-AC7B-4389-8B43-E3DAD40D57DB}"/>
            </a:ext>
          </a:extLst>
        </xdr:cNvPr>
        <xdr:cNvPicPr>
          <a:picLocks noChangeAspect="1"/>
        </xdr:cNvPicPr>
      </xdr:nvPicPr>
      <xdr:blipFill>
        <a:blip xmlns:r="http://schemas.openxmlformats.org/officeDocument/2006/relationships" r:embed="rId1" cstate="print"/>
        <a:stretch>
          <a:fillRect/>
        </a:stretch>
      </xdr:blipFill>
      <xdr:spPr>
        <a:xfrm>
          <a:off x="6378576" y="142874"/>
          <a:ext cx="1398445" cy="802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104775</xdr:colOff>
      <xdr:row>31</xdr:row>
      <xdr:rowOff>47625</xdr:rowOff>
    </xdr:from>
    <xdr:to>
      <xdr:col>25</xdr:col>
      <xdr:colOff>466725</xdr:colOff>
      <xdr:row>46</xdr:row>
      <xdr:rowOff>38100</xdr:rowOff>
    </xdr:to>
    <xdr:graphicFrame macro="">
      <xdr:nvGraphicFramePr>
        <xdr:cNvPr id="2" name="Chart 1">
          <a:extLst>
            <a:ext uri="{FF2B5EF4-FFF2-40B4-BE49-F238E27FC236}">
              <a16:creationId xmlns:a16="http://schemas.microsoft.com/office/drawing/2014/main" id="{AC778E5E-DD72-4FE8-B3A6-3E5CFAFF3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47625</xdr:colOff>
      <xdr:row>32</xdr:row>
      <xdr:rowOff>228600</xdr:rowOff>
    </xdr:from>
    <xdr:to>
      <xdr:col>25</xdr:col>
      <xdr:colOff>314325</xdr:colOff>
      <xdr:row>38</xdr:row>
      <xdr:rowOff>85725</xdr:rowOff>
    </xdr:to>
    <xdr:pic>
      <xdr:nvPicPr>
        <xdr:cNvPr id="3" name="Picture 2">
          <a:extLst>
            <a:ext uri="{FF2B5EF4-FFF2-40B4-BE49-F238E27FC236}">
              <a16:creationId xmlns:a16="http://schemas.microsoft.com/office/drawing/2014/main" id="{2B930ECA-DBD8-471D-81C6-A76F735B0B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73550" y="4924425"/>
          <a:ext cx="1485900" cy="990600"/>
        </a:xfrm>
        <a:prstGeom prst="rect">
          <a:avLst/>
        </a:prstGeom>
        <a:noFill/>
        <a:ln w="3175">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_oa2\netgear\finance\AUDIT\bridge\quarterly%20trends%20for%20d%20&amp;%20t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Valuation/RNA%20Advisors/Kiromic/409A%20VD%2005.31.2017/6%20-%20Analysis/Kiromic,%20Inc.%20IRC%20409a%20VD%2005.31.17%20Draft%20Exhibits%202017.08.02.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Valuation/RNA%20Advisors/Satellite%20Health/Daly%20City/BEV%20VD%2001.15.18/6%20-%20Analysis/Summary%20of%20Compariso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pagrawal\Desktop\Aduro%20409A%202014.09.30%20VD%20Exhibits%20DRAFT%202014.11.1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pagrawal/Desktop/Aduro%20409A%202014.09.30%20VD%20Exhibits%20DRAFT%202014.11.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Valuation/RNA%20Advisors/4D%20Molecular%20Therapeutics/409A%20VD%2001.15.2016/7%20-%20Audit/Option%20Simulation%20&amp;%20Volatility%20Computation.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Valuation.4.Santa%20Cruz%20VD%2012.31.2018%20Draft%20Exhibits%202019.05.14_Replace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pasak\AppData\Local\Microsoft\Windows\Temporary%20Internet%20Files\Content.Outlook\O6MXOXOL\Kw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SDs/K/Kw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pasak/AppData/Local/Microsoft/Windows/Temporary%20Internet%20Files/Content.Outlook/O6MXOXOL/mode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USNY057\groupdirs\M&amp;A\Presentations\04\9040832n\9040832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Transfer\02-tues\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b24166\PDMSdirs\Current%20Work\PC\9-05\9-05046\9-05046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2004%2005%20SCS%20UK%20management%20accoun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jc3\Dropbox\C:\C\HNH%20-%20Holy%20Name%20Hospital\HNH-02%20Holy%20Name%20Medical%20Center%20Dialysis%20Program%20(PHC-BV)\HNH-02%20HNMC's%20Dialysis%20Program%20Financial%20Model%20DRAFT%2008-25-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2"/>
      <sheetName val="Sheet3"/>
      <sheetName val="Sheet4"/>
      <sheetName val="Sheet1"/>
      <sheetName val="Tickmarks"/>
      <sheetName val="Sheet5"/>
      <sheetName val="FAB별"/>
      <sheetName val="Credit Calc"/>
      <sheetName val="Capital IQ Sheet-GPC"/>
    </sheetNames>
    <sheetDataSet>
      <sheetData sheetId="0" refreshError="1">
        <row r="3">
          <cell r="H3" t="str">
            <v>Q1 97</v>
          </cell>
          <cell r="I3" t="str">
            <v>Q2 97</v>
          </cell>
          <cell r="J3" t="str">
            <v>Q3 97</v>
          </cell>
          <cell r="K3" t="str">
            <v>Q4 97</v>
          </cell>
          <cell r="M3" t="str">
            <v>Q1 98</v>
          </cell>
          <cell r="N3" t="str">
            <v>Q2 98</v>
          </cell>
          <cell r="O3" t="str">
            <v>Q3 98</v>
          </cell>
          <cell r="P3" t="str">
            <v>Q4 98</v>
          </cell>
        </row>
        <row r="15">
          <cell r="H15">
            <v>-2123303.52</v>
          </cell>
          <cell r="I15">
            <v>-1253290.3699999999</v>
          </cell>
          <cell r="J15">
            <v>-162269.43</v>
          </cell>
          <cell r="K15">
            <v>146899.29000000033</v>
          </cell>
          <cell r="M15">
            <v>-246014.77000000002</v>
          </cell>
          <cell r="N15">
            <v>-1799602.0100000002</v>
          </cell>
          <cell r="O15">
            <v>-1013013.5800000001</v>
          </cell>
        </row>
        <row r="20">
          <cell r="H20">
            <v>0.19236638472376649</v>
          </cell>
          <cell r="I20">
            <v>0.17160343737293951</v>
          </cell>
          <cell r="J20">
            <v>0.22329840583258154</v>
          </cell>
          <cell r="K20">
            <v>0.2622241607330375</v>
          </cell>
          <cell r="M20">
            <v>0.22868601654276952</v>
          </cell>
          <cell r="N20">
            <v>0.13886160439354986</v>
          </cell>
          <cell r="O20">
            <v>0.16937325540860795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Guidelines"/>
      <sheetName val="MASTER PubCo Inputs"/>
      <sheetName val="Notes &amp; Assumptions"/>
      <sheetName val="Checklist"/>
      <sheetName val="Exhibits--&gt;&gt;"/>
      <sheetName val="Title"/>
      <sheetName val="Outline"/>
      <sheetName val="_CIQHiddenCacheSheet"/>
      <sheetName val="Val Summ"/>
      <sheetName val="Allocation Method &gt;&gt;"/>
      <sheetName val="PWERM"/>
      <sheetName val="Exit Probability"/>
      <sheetName val="PoTS"/>
      <sheetName val="FS &gt;&gt;"/>
      <sheetName val="Projections"/>
      <sheetName val="Hist IS"/>
      <sheetName val="Hist BS"/>
      <sheetName val="Discount Rate FP &gt;&gt;"/>
      <sheetName val="WACC PWERM"/>
      <sheetName val="RoR Stage of Dev"/>
      <sheetName val="GCM FP &gt;&gt;"/>
      <sheetName val="Comp.1"/>
      <sheetName val="Comp.6"/>
      <sheetName val="GTM FP &gt;&gt;"/>
      <sheetName val="Trans.1"/>
      <sheetName val="Trans.2"/>
      <sheetName val="Cap Structure FP &gt;&gt;"/>
      <sheetName val="Cap Table"/>
      <sheetName val="Convertible Notes"/>
      <sheetName val="Support FP &gt;&gt;"/>
      <sheetName val="Licensing Deals"/>
      <sheetName val="Licensing Deals_IO"/>
      <sheetName val="DLOM"/>
      <sheetName val="Asset Vol_PWERM"/>
      <sheetName val="Equity Vol"/>
      <sheetName val="Risk-Free Rates"/>
      <sheetName val="IPO Data"/>
      <sheetName val="IPO Data_selected"/>
      <sheetName val="Title_Workpapers &gt; &gt;"/>
      <sheetName val="Outline_Workpapers"/>
      <sheetName val="CVM"/>
      <sheetName val="Cash Burn Analysis"/>
      <sheetName val="Market Trends since Prior Val"/>
      <sheetName val="Comparative Sheet"/>
      <sheetName val="Exit Values Phase-wise"/>
      <sheetName val="Upfront-Milestone Payments"/>
      <sheetName val="PBC -&gt;&gt;&gt;"/>
      <sheetName val="1 Forecast"/>
      <sheetName val="2 Monthly Expense Actuals"/>
      <sheetName val="3 Cost Containment PlanMonthly"/>
      <sheetName val="Restructuring Model"/>
      <sheetName val="CAPIQ -&gt;&gt;&gt;"/>
      <sheetName val="Capital IQ Sheet-GPC"/>
      <sheetName val="Capital IQ Sheet-STM"/>
      <sheetName val="STM"/>
      <sheetName val="Capital IQ DATA"/>
      <sheetName val="&lt;DO NOT INCLUDE&gt;"/>
      <sheetName val="OPM 1"/>
      <sheetName val="OPM 2"/>
      <sheetName val="Class Vol"/>
      <sheetName val="Asset Vol_DLOM"/>
      <sheetName val="DLOM Rest Stock"/>
      <sheetName val="Lack Voting"/>
      <sheetName val="Comp.4"/>
      <sheetName val="Asset Vol_OPM"/>
      <sheetName val="Hybrid OPM"/>
      <sheetName val="OPM 1 Hybrid"/>
      <sheetName val="Asset Vol_IPO Late"/>
      <sheetName val="Asset Vol_M&amp;A Early"/>
      <sheetName val="Asset Vol_M&amp;A Late"/>
      <sheetName val="OPM 2 Hybrid"/>
      <sheetName val="DLOM Hybrid"/>
      <sheetName val="Asset Vol Hybrid"/>
      <sheetName val="Control Premium Summary"/>
      <sheetName val="GTM SUMM"/>
      <sheetName val="GCM SUMM"/>
      <sheetName val="WACC CAPM"/>
      <sheetName val="Beta Calc"/>
      <sheetName val="Comp.2"/>
      <sheetName val="Comp.5"/>
      <sheetName val="List Data"/>
      <sheetName val="Template Detai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ummary"/>
      <sheetName val="Summary of Comparison"/>
    </sheetNames>
    <definedNames>
      <definedName name="Data.Top.Left"/>
    </defined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Val Summ"/>
      <sheetName val="OPM 1"/>
      <sheetName val="OPM 2"/>
      <sheetName val="PWERM"/>
      <sheetName val="PoTS"/>
      <sheetName val="Discount Rate FP &gt;&gt;"/>
      <sheetName val="WACC PWERM"/>
      <sheetName val="RoR Stage of Dev"/>
      <sheetName val="Cap Structure FP &gt;&gt;"/>
      <sheetName val="Cap Table"/>
      <sheetName val="Econ Rights"/>
      <sheetName val="MKT INFO FP &gt;&gt;"/>
      <sheetName val="Comp Mults"/>
      <sheetName val="Comp CF Metrics"/>
      <sheetName val="Prod Pipeline"/>
      <sheetName val="Comp Desc"/>
      <sheetName val="IPO"/>
      <sheetName val="IPO Select"/>
      <sheetName val="IPO Crossover"/>
      <sheetName val="Immunotherapy Listing"/>
      <sheetName val="Trans Detail"/>
      <sheetName val="Trans Desc"/>
      <sheetName val="Support FP &gt;&gt;"/>
      <sheetName val="Put Option DLOM"/>
      <sheetName val="Asset Vol"/>
      <sheetName val="Equity Vol"/>
      <sheetName val="Risk-Free Rates"/>
      <sheetName val="DLOM Rest Stock"/>
      <sheetName val="DLOM LEAPS"/>
      <sheetName val="Hist IS"/>
      <sheetName val="Hist BS"/>
      <sheetName val="Tranche FP &gt;&gt;"/>
      <sheetName val="Tranche OPM"/>
      <sheetName val="Risk-Free Rates (2)"/>
      <sheetName val="&lt;DO NOT INCLUDE&gt;"/>
      <sheetName val="Ibank Vals"/>
      <sheetName val="MASTER COMP INPUT"/>
      <sheetName val="WACC CAPM"/>
      <sheetName val="Beta Calc"/>
      <sheetName val="EP Top License Deals"/>
      <sheetName val="EP Top Product Sales"/>
      <sheetName val="Larger BioPharma Margins"/>
      <sheetName val="rNPV&gt;&gt;&gt;"/>
      <sheetName val="Val Sum rNPV"/>
      <sheetName val="1"/>
      <sheetName val="2"/>
      <sheetName val="3"/>
      <sheetName val="4"/>
      <sheetName val="5"/>
      <sheetName val="6"/>
      <sheetName val="NOL"/>
      <sheetName val="Dev - PoTS"/>
      <sheetName val="Dev - Peak Sales"/>
      <sheetName val="Dev - R&amp;D"/>
      <sheetName val="Dev - Fcst Summ"/>
      <sheetName val="Inputs Tax &amp; Disc"/>
      <sheetName val="Outl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IQHiddenCacheSheet"/>
      <sheetName val="Cover"/>
      <sheetName val="Val Summ"/>
      <sheetName val="OPM 1"/>
      <sheetName val="OPM 2"/>
      <sheetName val="PWERM"/>
      <sheetName val="PoTS"/>
      <sheetName val="Discount Rate FP &gt;&gt;"/>
      <sheetName val="WACC PWERM"/>
      <sheetName val="RoR Stage of Dev"/>
      <sheetName val="Cap Structure FP &gt;&gt;"/>
      <sheetName val="Cap Table"/>
      <sheetName val="Econ Rights"/>
      <sheetName val="MKT INFO FP &gt;&gt;"/>
      <sheetName val="Comp Mults"/>
      <sheetName val="Comp CF Metrics"/>
      <sheetName val="Prod Pipeline"/>
      <sheetName val="Comp Desc"/>
      <sheetName val="IPO"/>
      <sheetName val="IPO Select"/>
      <sheetName val="IPO Crossover"/>
      <sheetName val="Immunotherapy Listing"/>
      <sheetName val="Trans Detail"/>
      <sheetName val="Trans Desc"/>
      <sheetName val="Support FP &gt;&gt;"/>
      <sheetName val="Put Option DLOM"/>
      <sheetName val="Asset Vol"/>
      <sheetName val="Equity Vol"/>
      <sheetName val="Risk-Free Rates"/>
      <sheetName val="DLOM Rest Stock"/>
      <sheetName val="DLOM LEAPS"/>
      <sheetName val="Hist IS"/>
      <sheetName val="Hist BS"/>
      <sheetName val="Tranche FP &gt;&gt;"/>
      <sheetName val="Tranche OPM"/>
      <sheetName val="Risk-Free Rates (2)"/>
      <sheetName val="&lt;DO NOT INCLUDE&gt;"/>
      <sheetName val="Ibank Vals"/>
      <sheetName val="MASTER COMP INPUT"/>
      <sheetName val="WACC CAPM"/>
      <sheetName val="Beta Calc"/>
      <sheetName val="EP Top License Deals"/>
      <sheetName val="EP Top Product Sales"/>
      <sheetName val="Larger BioPharma Margins"/>
      <sheetName val="rNPV&gt;&gt;&gt;"/>
      <sheetName val="Val Sum rNPV"/>
      <sheetName val="1"/>
      <sheetName val="2"/>
      <sheetName val="3"/>
      <sheetName val="4"/>
      <sheetName val="5"/>
      <sheetName val="6"/>
      <sheetName val="NOL"/>
      <sheetName val="Dev - PoTS"/>
      <sheetName val="Dev - Peak Sales"/>
      <sheetName val="Dev - R&amp;D"/>
      <sheetName val="Dev - Fcst Summ"/>
      <sheetName val="Inputs Tax &amp; Disc"/>
      <sheetName val="Outl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ption Val."/>
      <sheetName val="Equity Vol"/>
      <sheetName val="Risk-Free Rates"/>
      <sheetName val="Workings &gt;&gt;"/>
      <sheetName val="Sheet2"/>
      <sheetName val="_CIQHiddenCacheSheet"/>
      <sheetName val="Volatility Computation"/>
      <sheetName val="Option Val._Verify"/>
      <sheetName val="CapIQ_Data"/>
      <sheetName val="IPO"/>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utline"/>
      <sheetName val="_CIQHiddenCacheSheet"/>
      <sheetName val="A1"/>
      <sheetName val="C1"/>
      <sheetName val="C2"/>
      <sheetName val="C3"/>
      <sheetName val="E1"/>
      <sheetName val="E2"/>
      <sheetName val="E3"/>
      <sheetName val="F1"/>
      <sheetName val="F2"/>
      <sheetName val="F3"/>
      <sheetName val="BackgroundInfo&gt;&gt;&gt;"/>
      <sheetName val="WACC CAPM"/>
      <sheetName val="Beta Calc"/>
      <sheetName val="WACC"/>
      <sheetName val="Trends for Comparables_Historic"/>
      <sheetName val="Trends for Comparables_Forecast"/>
      <sheetName val="Trends for M&amp;A Targets"/>
      <sheetName val="Do not include&gt;&gt;&gt;"/>
      <sheetName val="Historical Actuals"/>
      <sheetName val="2019 FY Budget"/>
      <sheetName val="YTD 2018 Budget"/>
      <sheetName val="FA INV LIST"/>
      <sheetName val="D1"/>
      <sheetName val="C2notUsed"/>
    </sheetNames>
    <sheetDataSet>
      <sheetData sheetId="0"/>
      <sheetData sheetId="1"/>
      <sheetData sheetId="2"/>
      <sheetData sheetId="3">
        <row r="27">
          <cell r="J27">
            <v>1.4463100127818356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ica"/>
      <sheetName val="Ocean"/>
      <sheetName val="S Amer"/>
      <sheetName val="W Eur"/>
      <sheetName val="C Amer"/>
      <sheetName val="E Eur"/>
      <sheetName val="E Asia"/>
      <sheetName val="Mideast"/>
      <sheetName val="TOC"/>
      <sheetName val="Demand Data"/>
      <sheetName val="Supply Data"/>
      <sheetName val="Price Fcsts"/>
      <sheetName val="World"/>
      <sheetName val="N Amer"/>
      <sheetName val="FSU"/>
      <sheetName val="S Asia"/>
      <sheetName val="Soc As"/>
    </sheetNames>
    <sheetDataSet>
      <sheetData sheetId="0"/>
      <sheetData sheetId="1"/>
      <sheetData sheetId="2"/>
      <sheetData sheetId="3"/>
      <sheetData sheetId="4" refreshError="1"/>
      <sheetData sheetId="5" refreshError="1"/>
      <sheetData sheetId="6"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503.6</v>
          </cell>
          <cell r="C19">
            <v>489.4</v>
          </cell>
          <cell r="D19">
            <v>510.8</v>
          </cell>
          <cell r="E19">
            <v>518.29999999999995</v>
          </cell>
          <cell r="F19">
            <v>568.4</v>
          </cell>
          <cell r="G19">
            <v>508.3</v>
          </cell>
          <cell r="H19">
            <v>516.29999999999995</v>
          </cell>
          <cell r="I19">
            <v>537.6</v>
          </cell>
          <cell r="J19">
            <v>582.6</v>
          </cell>
          <cell r="K19">
            <v>522.5</v>
          </cell>
          <cell r="L19">
            <v>533.9</v>
          </cell>
          <cell r="M19">
            <v>556.4</v>
          </cell>
          <cell r="N19">
            <v>555.4</v>
          </cell>
          <cell r="O19">
            <v>560</v>
          </cell>
          <cell r="P19">
            <v>568.4</v>
          </cell>
          <cell r="Q19">
            <v>576.92599999999993</v>
          </cell>
          <cell r="R19">
            <v>585.57988999999986</v>
          </cell>
          <cell r="S19">
            <v>594.36358834999976</v>
          </cell>
          <cell r="T19">
            <v>603.27904217524974</v>
          </cell>
          <cell r="U19">
            <v>612.32822780787842</v>
          </cell>
          <cell r="V19">
            <v>621.51315122499659</v>
          </cell>
        </row>
        <row r="21">
          <cell r="B21">
            <v>9.3691469287980365</v>
          </cell>
          <cell r="C21">
            <v>9.4162280691437559</v>
          </cell>
          <cell r="D21">
            <v>9.4635457981344278</v>
          </cell>
          <cell r="E21">
            <v>9.511101304657716</v>
          </cell>
          <cell r="F21">
            <v>9.5588957835755934</v>
          </cell>
          <cell r="G21">
            <v>9.6069304357543661</v>
          </cell>
          <cell r="H21">
            <v>9.6552064680948408</v>
          </cell>
          <cell r="I21">
            <v>9.7037250935626549</v>
          </cell>
          <cell r="J21">
            <v>9.7524875312187493</v>
          </cell>
          <cell r="K21">
            <v>9.8014950062499988</v>
          </cell>
          <cell r="L21">
            <v>9.8507487499999993</v>
          </cell>
          <cell r="M21">
            <v>9.9002499999999998</v>
          </cell>
          <cell r="N21">
            <v>9.9499999999999993</v>
          </cell>
          <cell r="O21">
            <v>10</v>
          </cell>
          <cell r="P21">
            <v>10.049999999999999</v>
          </cell>
          <cell r="Q21">
            <v>10.100249999999997</v>
          </cell>
          <cell r="R21">
            <v>10.150751249999995</v>
          </cell>
          <cell r="S21">
            <v>10.201505006249995</v>
          </cell>
          <cell r="T21">
            <v>10.252512531281244</v>
          </cell>
          <cell r="U21">
            <v>10.303775093937649</v>
          </cell>
          <cell r="V21">
            <v>10.355293969407336</v>
          </cell>
        </row>
        <row r="28">
          <cell r="B28">
            <v>-528.35822133666204</v>
          </cell>
          <cell r="C28">
            <v>-513.78071491121807</v>
          </cell>
          <cell r="D28">
            <v>-535.87145217207853</v>
          </cell>
          <cell r="E28">
            <v>-543.64543434379743</v>
          </cell>
          <cell r="F28">
            <v>-595.29766265708281</v>
          </cell>
          <cell r="G28">
            <v>-533.44413834882698</v>
          </cell>
          <cell r="H28">
            <v>-541.73386266213765</v>
          </cell>
          <cell r="I28">
            <v>-563.72283684636955</v>
          </cell>
          <cell r="J28">
            <v>-610.12306215715535</v>
          </cell>
          <cell r="K28">
            <v>-548.27053985643749</v>
          </cell>
          <cell r="L28">
            <v>-560.06327121250001</v>
          </cell>
          <cell r="M28">
            <v>-583.28925749999996</v>
          </cell>
          <cell r="N28">
            <v>-582.31050000000005</v>
          </cell>
          <cell r="O28">
            <v>-587.1</v>
          </cell>
          <cell r="P28">
            <v>-595.80349999999999</v>
          </cell>
          <cell r="Q28">
            <v>-604.63703749999991</v>
          </cell>
          <cell r="R28">
            <v>-613.60256048749989</v>
          </cell>
          <cell r="S28">
            <v>-622.70204615693729</v>
          </cell>
          <cell r="T28">
            <v>-631.93750134772688</v>
          </cell>
          <cell r="U28">
            <v>-641.31096298887064</v>
          </cell>
          <cell r="V28">
            <v>-650.82449855023594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7"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414.7</v>
          </cell>
          <cell r="C19">
            <v>273</v>
          </cell>
          <cell r="D19">
            <v>269.8</v>
          </cell>
          <cell r="E19">
            <v>245</v>
          </cell>
          <cell r="F19">
            <v>253.6</v>
          </cell>
          <cell r="G19">
            <v>297</v>
          </cell>
          <cell r="H19">
            <v>378.8</v>
          </cell>
          <cell r="I19">
            <v>479.3</v>
          </cell>
          <cell r="J19">
            <v>421.5</v>
          </cell>
          <cell r="K19">
            <v>430.6</v>
          </cell>
          <cell r="L19">
            <v>421.3</v>
          </cell>
          <cell r="M19">
            <v>431.3</v>
          </cell>
          <cell r="N19">
            <v>443.1</v>
          </cell>
          <cell r="O19">
            <v>450</v>
          </cell>
          <cell r="P19">
            <v>456.74999999999994</v>
          </cell>
          <cell r="Q19">
            <v>463.60124999999988</v>
          </cell>
          <cell r="R19">
            <v>470.55526874999981</v>
          </cell>
          <cell r="S19">
            <v>477.61359778124978</v>
          </cell>
          <cell r="T19">
            <v>484.77780174796845</v>
          </cell>
          <cell r="U19">
            <v>492.04946877418791</v>
          </cell>
          <cell r="V19">
            <v>499.4302108058007</v>
          </cell>
        </row>
        <row r="21">
          <cell r="B21">
            <v>24.199576476360555</v>
          </cell>
          <cell r="C21">
            <v>24.260227043970481</v>
          </cell>
          <cell r="D21">
            <v>24.321029618015519</v>
          </cell>
          <cell r="E21">
            <v>24.381984579464177</v>
          </cell>
          <cell r="F21">
            <v>24.443092310239777</v>
          </cell>
          <cell r="G21">
            <v>24.504353193222833</v>
          </cell>
          <cell r="H21">
            <v>24.565767612253467</v>
          </cell>
          <cell r="I21">
            <v>24.627335952133802</v>
          </cell>
          <cell r="J21">
            <v>24.689058598630375</v>
          </cell>
          <cell r="K21">
            <v>24.750935938476566</v>
          </cell>
          <cell r="L21">
            <v>24.812968359375002</v>
          </cell>
          <cell r="M21">
            <v>24.87515625</v>
          </cell>
          <cell r="N21">
            <v>24.9375</v>
          </cell>
          <cell r="O21">
            <v>25</v>
          </cell>
          <cell r="P21">
            <v>25.0625</v>
          </cell>
          <cell r="Q21">
            <v>25.12515625</v>
          </cell>
          <cell r="R21">
            <v>25.187969140624997</v>
          </cell>
          <cell r="S21">
            <v>25.250939063476558</v>
          </cell>
          <cell r="T21">
            <v>25.314066411135247</v>
          </cell>
          <cell r="U21">
            <v>25.377351577163083</v>
          </cell>
          <cell r="V21">
            <v>25.440794956105989</v>
          </cell>
        </row>
        <row r="28">
          <cell r="B28">
            <v>-452.06656377065138</v>
          </cell>
          <cell r="C28">
            <v>-306.17803385528958</v>
          </cell>
          <cell r="D28">
            <v>-302.94466050655603</v>
          </cell>
          <cell r="E28">
            <v>-277.46344411684811</v>
          </cell>
          <cell r="F28">
            <v>-286.38438507954697</v>
          </cell>
          <cell r="G28">
            <v>-331.14948378901948</v>
          </cell>
          <cell r="H28">
            <v>-415.46674064062108</v>
          </cell>
          <cell r="I28">
            <v>-519.04515603069785</v>
          </cell>
          <cell r="J28">
            <v>-459.57473035658927</v>
          </cell>
          <cell r="K28">
            <v>-469.0114640166309</v>
          </cell>
          <cell r="L28">
            <v>-459.49635741015629</v>
          </cell>
          <cell r="M28">
            <v>-469.86041093749998</v>
          </cell>
          <cell r="N28">
            <v>-482.07862500000005</v>
          </cell>
          <cell r="O28">
            <v>-489.25</v>
          </cell>
          <cell r="P28">
            <v>-496.26687499999991</v>
          </cell>
          <cell r="Q28">
            <v>-503.38819843749985</v>
          </cell>
          <cell r="R28">
            <v>-510.61553502734358</v>
          </cell>
          <cell r="S28">
            <v>-517.95047295006816</v>
          </cell>
          <cell r="T28">
            <v>-525.39462420387679</v>
          </cell>
          <cell r="U28">
            <v>-532.94962496189157</v>
          </cell>
          <cell r="V28">
            <v>-540.61713593476384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Demand Data"/>
      <sheetName val="Supply Data"/>
      <sheetName val="Price Fcsts"/>
      <sheetName val="World"/>
      <sheetName val="N Amer"/>
      <sheetName val="Africa"/>
      <sheetName val="C Amer"/>
      <sheetName val="E Asia"/>
      <sheetName val="E Eur"/>
      <sheetName val="FSU"/>
      <sheetName val="Mideast"/>
      <sheetName val="Ocean"/>
      <sheetName val="S Amer"/>
      <sheetName val="S Asia"/>
      <sheetName val="Soc As"/>
      <sheetName val="W Eur"/>
      <sheetName val="Kwa"/>
    </sheetNames>
    <sheetDataSet>
      <sheetData sheetId="0"/>
      <sheetData sheetId="1"/>
      <sheetData sheetId="2"/>
      <sheetData sheetId="3"/>
      <sheetData sheetId="4" refreshError="1"/>
      <sheetData sheetId="5" refreshError="1"/>
      <sheetData sheetId="6"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503.6</v>
          </cell>
          <cell r="C19">
            <v>489.4</v>
          </cell>
          <cell r="D19">
            <v>510.8</v>
          </cell>
          <cell r="E19">
            <v>518.29999999999995</v>
          </cell>
          <cell r="F19">
            <v>568.4</v>
          </cell>
          <cell r="G19">
            <v>508.3</v>
          </cell>
          <cell r="H19">
            <v>516.29999999999995</v>
          </cell>
          <cell r="I19">
            <v>537.6</v>
          </cell>
          <cell r="J19">
            <v>582.6</v>
          </cell>
          <cell r="K19">
            <v>522.5</v>
          </cell>
          <cell r="L19">
            <v>533.9</v>
          </cell>
          <cell r="M19">
            <v>556.4</v>
          </cell>
          <cell r="N19">
            <v>555.4</v>
          </cell>
          <cell r="O19">
            <v>560</v>
          </cell>
          <cell r="P19">
            <v>568.4</v>
          </cell>
          <cell r="Q19">
            <v>576.92599999999993</v>
          </cell>
          <cell r="R19">
            <v>585.57988999999986</v>
          </cell>
          <cell r="S19">
            <v>594.36358834999976</v>
          </cell>
          <cell r="T19">
            <v>603.27904217524974</v>
          </cell>
          <cell r="U19">
            <v>612.32822780787842</v>
          </cell>
          <cell r="V19">
            <v>621.51315122499659</v>
          </cell>
        </row>
        <row r="21">
          <cell r="B21">
            <v>9.3691469287980365</v>
          </cell>
          <cell r="C21">
            <v>9.4162280691437559</v>
          </cell>
          <cell r="D21">
            <v>9.4635457981344278</v>
          </cell>
          <cell r="E21">
            <v>9.511101304657716</v>
          </cell>
          <cell r="F21">
            <v>9.5588957835755934</v>
          </cell>
          <cell r="G21">
            <v>9.6069304357543661</v>
          </cell>
          <cell r="H21">
            <v>9.6552064680948408</v>
          </cell>
          <cell r="I21">
            <v>9.7037250935626549</v>
          </cell>
          <cell r="J21">
            <v>9.7524875312187493</v>
          </cell>
          <cell r="K21">
            <v>9.8014950062499988</v>
          </cell>
          <cell r="L21">
            <v>9.8507487499999993</v>
          </cell>
          <cell r="M21">
            <v>9.9002499999999998</v>
          </cell>
          <cell r="N21">
            <v>9.9499999999999993</v>
          </cell>
          <cell r="O21">
            <v>10</v>
          </cell>
          <cell r="P21">
            <v>10.049999999999999</v>
          </cell>
          <cell r="Q21">
            <v>10.100249999999997</v>
          </cell>
          <cell r="R21">
            <v>10.150751249999995</v>
          </cell>
          <cell r="S21">
            <v>10.201505006249995</v>
          </cell>
          <cell r="T21">
            <v>10.252512531281244</v>
          </cell>
          <cell r="U21">
            <v>10.303775093937649</v>
          </cell>
          <cell r="V21">
            <v>10.355293969407336</v>
          </cell>
        </row>
        <row r="28">
          <cell r="B28">
            <v>-528.35822133666204</v>
          </cell>
          <cell r="C28">
            <v>-513.78071491121807</v>
          </cell>
          <cell r="D28">
            <v>-535.87145217207853</v>
          </cell>
          <cell r="E28">
            <v>-543.64543434379743</v>
          </cell>
          <cell r="F28">
            <v>-595.29766265708281</v>
          </cell>
          <cell r="G28">
            <v>-533.44413834882698</v>
          </cell>
          <cell r="H28">
            <v>-541.73386266213765</v>
          </cell>
          <cell r="I28">
            <v>-563.72283684636955</v>
          </cell>
          <cell r="J28">
            <v>-610.12306215715535</v>
          </cell>
          <cell r="K28">
            <v>-548.27053985643749</v>
          </cell>
          <cell r="L28">
            <v>-560.06327121250001</v>
          </cell>
          <cell r="M28">
            <v>-583.28925749999996</v>
          </cell>
          <cell r="N28">
            <v>-582.31050000000005</v>
          </cell>
          <cell r="O28">
            <v>-587.1</v>
          </cell>
          <cell r="P28">
            <v>-595.80349999999999</v>
          </cell>
          <cell r="Q28">
            <v>-604.63703749999991</v>
          </cell>
          <cell r="R28">
            <v>-613.60256048749989</v>
          </cell>
          <cell r="S28">
            <v>-622.70204615693729</v>
          </cell>
          <cell r="T28">
            <v>-631.93750134772688</v>
          </cell>
          <cell r="U28">
            <v>-641.31096298887064</v>
          </cell>
          <cell r="V28">
            <v>-650.82449855023594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7"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414.7</v>
          </cell>
          <cell r="C19">
            <v>273</v>
          </cell>
          <cell r="D19">
            <v>269.8</v>
          </cell>
          <cell r="E19">
            <v>245</v>
          </cell>
          <cell r="F19">
            <v>253.6</v>
          </cell>
          <cell r="G19">
            <v>297</v>
          </cell>
          <cell r="H19">
            <v>378.8</v>
          </cell>
          <cell r="I19">
            <v>479.3</v>
          </cell>
          <cell r="J19">
            <v>421.5</v>
          </cell>
          <cell r="K19">
            <v>430.6</v>
          </cell>
          <cell r="L19">
            <v>421.3</v>
          </cell>
          <cell r="M19">
            <v>431.3</v>
          </cell>
          <cell r="N19">
            <v>443.1</v>
          </cell>
          <cell r="O19">
            <v>450</v>
          </cell>
          <cell r="P19">
            <v>456.74999999999994</v>
          </cell>
          <cell r="Q19">
            <v>463.60124999999988</v>
          </cell>
          <cell r="R19">
            <v>470.55526874999981</v>
          </cell>
          <cell r="S19">
            <v>477.61359778124978</v>
          </cell>
          <cell r="T19">
            <v>484.77780174796845</v>
          </cell>
          <cell r="U19">
            <v>492.04946877418791</v>
          </cell>
          <cell r="V19">
            <v>499.4302108058007</v>
          </cell>
        </row>
        <row r="21">
          <cell r="B21">
            <v>24.199576476360555</v>
          </cell>
          <cell r="C21">
            <v>24.260227043970481</v>
          </cell>
          <cell r="D21">
            <v>24.321029618015519</v>
          </cell>
          <cell r="E21">
            <v>24.381984579464177</v>
          </cell>
          <cell r="F21">
            <v>24.443092310239777</v>
          </cell>
          <cell r="G21">
            <v>24.504353193222833</v>
          </cell>
          <cell r="H21">
            <v>24.565767612253467</v>
          </cell>
          <cell r="I21">
            <v>24.627335952133802</v>
          </cell>
          <cell r="J21">
            <v>24.689058598630375</v>
          </cell>
          <cell r="K21">
            <v>24.750935938476566</v>
          </cell>
          <cell r="L21">
            <v>24.812968359375002</v>
          </cell>
          <cell r="M21">
            <v>24.87515625</v>
          </cell>
          <cell r="N21">
            <v>24.9375</v>
          </cell>
          <cell r="O21">
            <v>25</v>
          </cell>
          <cell r="P21">
            <v>25.0625</v>
          </cell>
          <cell r="Q21">
            <v>25.12515625</v>
          </cell>
          <cell r="R21">
            <v>25.187969140624997</v>
          </cell>
          <cell r="S21">
            <v>25.250939063476558</v>
          </cell>
          <cell r="T21">
            <v>25.314066411135247</v>
          </cell>
          <cell r="U21">
            <v>25.377351577163083</v>
          </cell>
          <cell r="V21">
            <v>25.440794956105989</v>
          </cell>
        </row>
        <row r="28">
          <cell r="B28">
            <v>-452.06656377065138</v>
          </cell>
          <cell r="C28">
            <v>-306.17803385528958</v>
          </cell>
          <cell r="D28">
            <v>-302.94466050655603</v>
          </cell>
          <cell r="E28">
            <v>-277.46344411684811</v>
          </cell>
          <cell r="F28">
            <v>-286.38438507954697</v>
          </cell>
          <cell r="G28">
            <v>-331.14948378901948</v>
          </cell>
          <cell r="H28">
            <v>-415.46674064062108</v>
          </cell>
          <cell r="I28">
            <v>-519.04515603069785</v>
          </cell>
          <cell r="J28">
            <v>-459.57473035658927</v>
          </cell>
          <cell r="K28">
            <v>-469.0114640166309</v>
          </cell>
          <cell r="L28">
            <v>-459.49635741015629</v>
          </cell>
          <cell r="M28">
            <v>-469.86041093749998</v>
          </cell>
          <cell r="N28">
            <v>-482.07862500000005</v>
          </cell>
          <cell r="O28">
            <v>-489.25</v>
          </cell>
          <cell r="P28">
            <v>-496.26687499999991</v>
          </cell>
          <cell r="Q28">
            <v>-503.38819843749985</v>
          </cell>
          <cell r="R28">
            <v>-510.61553502734358</v>
          </cell>
          <cell r="S28">
            <v>-517.95047295006816</v>
          </cell>
          <cell r="T28">
            <v>-525.39462420387679</v>
          </cell>
          <cell r="U28">
            <v>-532.94962496189157</v>
          </cell>
          <cell r="V28">
            <v>-540.61713593476384</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8"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e">
            <v>#DIV/0!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1908.4</v>
          </cell>
          <cell r="C19">
            <v>1874.1</v>
          </cell>
          <cell r="D19">
            <v>1913.3</v>
          </cell>
          <cell r="E19">
            <v>1950.4</v>
          </cell>
          <cell r="F19">
            <v>2061.8000000000002</v>
          </cell>
          <cell r="G19">
            <v>2267.6999999999998</v>
          </cell>
          <cell r="H19">
            <v>2127.5</v>
          </cell>
          <cell r="I19">
            <v>2092.3000000000002</v>
          </cell>
          <cell r="J19">
            <v>2088.8000000000002</v>
          </cell>
          <cell r="K19">
            <v>2173.3000000000002</v>
          </cell>
          <cell r="L19">
            <v>2105.1</v>
          </cell>
          <cell r="M19">
            <v>2008.4</v>
          </cell>
          <cell r="N19">
            <v>2020.5</v>
          </cell>
          <cell r="O19">
            <v>2050</v>
          </cell>
          <cell r="P19">
            <v>2070.5</v>
          </cell>
          <cell r="Q19">
            <v>2091.2049999999999</v>
          </cell>
          <cell r="R19">
            <v>2112.1170499999998</v>
          </cell>
          <cell r="S19">
            <v>2133.2382204999999</v>
          </cell>
          <cell r="T19">
            <v>2154.5706027050001</v>
          </cell>
          <cell r="U19">
            <v>2176.1163087320501</v>
          </cell>
          <cell r="V19">
            <v>2197.8774718193708</v>
          </cell>
        </row>
        <row r="21">
          <cell r="B21">
            <v>145.19745885816337</v>
          </cell>
          <cell r="C21">
            <v>145.56136226382293</v>
          </cell>
          <cell r="D21">
            <v>145.92617770809315</v>
          </cell>
          <cell r="E21">
            <v>146.2919074767851</v>
          </cell>
          <cell r="F21">
            <v>146.65855386143869</v>
          </cell>
          <cell r="G21">
            <v>147.02611915933701</v>
          </cell>
          <cell r="H21">
            <v>147.3946056735208</v>
          </cell>
          <cell r="I21">
            <v>147.7640157128028</v>
          </cell>
          <cell r="J21">
            <v>148.13435159178226</v>
          </cell>
          <cell r="K21">
            <v>148.50561563085941</v>
          </cell>
          <cell r="L21">
            <v>148.87781015625004</v>
          </cell>
          <cell r="M21">
            <v>149.25093750000002</v>
          </cell>
          <cell r="N21">
            <v>149.625</v>
          </cell>
          <cell r="O21">
            <v>150</v>
          </cell>
          <cell r="P21">
            <v>150.375</v>
          </cell>
          <cell r="Q21">
            <v>150.75093749999999</v>
          </cell>
          <cell r="R21">
            <v>151.12781484374997</v>
          </cell>
          <cell r="S21">
            <v>151.50563438085933</v>
          </cell>
          <cell r="T21">
            <v>151.88439846681146</v>
          </cell>
          <cell r="U21">
            <v>152.2641094629785</v>
          </cell>
          <cell r="V21">
            <v>152.64476973663594</v>
          </cell>
        </row>
        <row r="28">
          <cell r="B28">
            <v>-2115.2053826239085</v>
          </cell>
          <cell r="C28">
            <v>-2080.2512031317374</v>
          </cell>
          <cell r="D28">
            <v>-2121.002963039336</v>
          </cell>
          <cell r="E28">
            <v>-2159.5926647010888</v>
          </cell>
          <cell r="F28">
            <v>-2274.7123104772818</v>
          </cell>
          <cell r="G28">
            <v>-2487.167902734117</v>
          </cell>
          <cell r="H28">
            <v>-2343.1414438437264</v>
          </cell>
          <cell r="I28">
            <v>-2307.265936184187</v>
          </cell>
          <cell r="J28">
            <v>-2304.0423821395361</v>
          </cell>
          <cell r="K28">
            <v>-2391.4597840997853</v>
          </cell>
          <cell r="L28">
            <v>-2321.5971444609377</v>
          </cell>
          <cell r="M28">
            <v>-2222.3804656249999</v>
          </cell>
          <cell r="N28">
            <v>-2235.2287500000002</v>
          </cell>
          <cell r="O28">
            <v>-2266</v>
          </cell>
          <cell r="P28">
            <v>-2287.5012499999998</v>
          </cell>
          <cell r="Q28">
            <v>-2309.2146156250001</v>
          </cell>
          <cell r="R28">
            <v>-2331.1422107890621</v>
          </cell>
          <cell r="S28">
            <v>-2353.2861705272849</v>
          </cell>
          <cell r="T28">
            <v>-2375.648651206966</v>
          </cell>
          <cell r="U28">
            <v>-2398.2318307408796</v>
          </cell>
          <cell r="V28">
            <v>-2421.0379088026871</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9"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1497</v>
          </cell>
          <cell r="C19">
            <v>618.79999999999995</v>
          </cell>
          <cell r="D19">
            <v>486.3</v>
          </cell>
          <cell r="E19">
            <v>491.7</v>
          </cell>
          <cell r="F19">
            <v>548.70000000000005</v>
          </cell>
          <cell r="G19">
            <v>579.5</v>
          </cell>
          <cell r="H19">
            <v>625.5</v>
          </cell>
          <cell r="I19">
            <v>694.9</v>
          </cell>
          <cell r="J19">
            <v>629.20000000000005</v>
          </cell>
          <cell r="K19">
            <v>601.29999999999995</v>
          </cell>
          <cell r="L19">
            <v>595.29999999999995</v>
          </cell>
          <cell r="M19">
            <v>594.1</v>
          </cell>
          <cell r="N19">
            <v>596.1</v>
          </cell>
          <cell r="O19">
            <v>610</v>
          </cell>
          <cell r="P19">
            <v>622.20000000000005</v>
          </cell>
          <cell r="Q19">
            <v>634.64400000000001</v>
          </cell>
          <cell r="R19">
            <v>647.33688000000006</v>
          </cell>
          <cell r="S19">
            <v>660.28361760000007</v>
          </cell>
          <cell r="T19">
            <v>673.48928995200004</v>
          </cell>
          <cell r="U19">
            <v>686.95907575104002</v>
          </cell>
          <cell r="V19">
            <v>700.69825726606086</v>
          </cell>
        </row>
        <row r="21">
          <cell r="B21">
            <v>187.38293857596076</v>
          </cell>
          <cell r="C21">
            <v>188.32456138287515</v>
          </cell>
          <cell r="D21">
            <v>189.27091596268858</v>
          </cell>
          <cell r="E21">
            <v>190.22202609315434</v>
          </cell>
          <cell r="F21">
            <v>191.1779156715119</v>
          </cell>
          <cell r="G21">
            <v>192.13860871508734</v>
          </cell>
          <cell r="H21">
            <v>193.10412936189684</v>
          </cell>
          <cell r="I21">
            <v>194.07450187125309</v>
          </cell>
          <cell r="J21">
            <v>195.04975062437498</v>
          </cell>
          <cell r="K21">
            <v>196.02990012499998</v>
          </cell>
          <cell r="L21">
            <v>197.01497499999999</v>
          </cell>
          <cell r="M21">
            <v>198.005</v>
          </cell>
          <cell r="N21">
            <v>199</v>
          </cell>
          <cell r="O21">
            <v>200</v>
          </cell>
          <cell r="P21">
            <v>200</v>
          </cell>
          <cell r="Q21">
            <v>200</v>
          </cell>
          <cell r="R21">
            <v>200</v>
          </cell>
          <cell r="S21">
            <v>200</v>
          </cell>
          <cell r="T21">
            <v>200</v>
          </cell>
          <cell r="U21">
            <v>200</v>
          </cell>
          <cell r="V21">
            <v>200</v>
          </cell>
        </row>
        <row r="28">
          <cell r="B28">
            <v>-1734.9144267332395</v>
          </cell>
          <cell r="C28">
            <v>-831.33829822436132</v>
          </cell>
          <cell r="D28">
            <v>-695.8380434415692</v>
          </cell>
          <cell r="E28">
            <v>-702.37968687594889</v>
          </cell>
          <cell r="F28">
            <v>-762.07425314165732</v>
          </cell>
          <cell r="G28">
            <v>-794.78776697653996</v>
          </cell>
          <cell r="H28">
            <v>-843.16225324275376</v>
          </cell>
          <cell r="I28">
            <v>-915.64373692739071</v>
          </cell>
          <cell r="J28">
            <v>-848.97724314310619</v>
          </cell>
          <cell r="K28">
            <v>-821.24979712874995</v>
          </cell>
          <cell r="L28">
            <v>-816.08442424999998</v>
          </cell>
          <cell r="M28">
            <v>-815.86815000000001</v>
          </cell>
          <cell r="N28">
            <v>-818.95299999999997</v>
          </cell>
          <cell r="O28">
            <v>-834.3</v>
          </cell>
          <cell r="P28">
            <v>-846.8660000000001</v>
          </cell>
          <cell r="Q28">
            <v>-859.68331999999998</v>
          </cell>
          <cell r="R28">
            <v>-872.75698640000007</v>
          </cell>
          <cell r="S28">
            <v>-886.09212612800002</v>
          </cell>
          <cell r="T28">
            <v>-899.69396865056001</v>
          </cell>
          <cell r="U28">
            <v>-913.56784802357117</v>
          </cell>
          <cell r="V28">
            <v>-927.71920498404268</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10" refreshError="1"/>
      <sheetData sheetId="11"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96.981981981981974</v>
          </cell>
          <cell r="C13">
            <v>94.054054054054063</v>
          </cell>
          <cell r="D13">
            <v>94.77477477477477</v>
          </cell>
          <cell r="E13">
            <v>95.990990990990994</v>
          </cell>
          <cell r="F13">
            <v>88.983739837398375</v>
          </cell>
          <cell r="G13">
            <v>97.317073170731703</v>
          </cell>
          <cell r="H13">
            <v>99.186046511627907</v>
          </cell>
          <cell r="I13">
            <v>87.201492537313428</v>
          </cell>
          <cell r="J13">
            <v>92.956834532374103</v>
          </cell>
          <cell r="K13">
            <v>100.07194244604317</v>
          </cell>
          <cell r="L13">
            <v>101.37282229965156</v>
          </cell>
          <cell r="M13">
            <v>99.057046979865774</v>
          </cell>
          <cell r="N13">
            <v>96.625</v>
          </cell>
          <cell r="O13">
            <v>96.125</v>
          </cell>
          <cell r="P13">
            <v>96.75</v>
          </cell>
          <cell r="Q13">
            <v>97.375</v>
          </cell>
          <cell r="R13">
            <v>97.375</v>
          </cell>
          <cell r="S13">
            <v>97.375</v>
          </cell>
          <cell r="T13">
            <v>96.194029850746261</v>
          </cell>
          <cell r="U13">
            <v>96.142857142857139</v>
          </cell>
          <cell r="V13">
            <v>96.571428571428569</v>
          </cell>
        </row>
        <row r="14">
          <cell r="B14">
            <v>2153</v>
          </cell>
          <cell r="C14">
            <v>2088</v>
          </cell>
          <cell r="D14">
            <v>2104</v>
          </cell>
          <cell r="E14">
            <v>2131</v>
          </cell>
          <cell r="F14">
            <v>2189</v>
          </cell>
          <cell r="G14">
            <v>2394</v>
          </cell>
          <cell r="H14">
            <v>2559</v>
          </cell>
          <cell r="I14">
            <v>2337</v>
          </cell>
          <cell r="J14">
            <v>2584.1999999999998</v>
          </cell>
          <cell r="K14">
            <v>2782</v>
          </cell>
          <cell r="L14">
            <v>2909.3999999999996</v>
          </cell>
          <cell r="M14">
            <v>2951.9</v>
          </cell>
          <cell r="N14">
            <v>3092</v>
          </cell>
          <cell r="O14">
            <v>3076</v>
          </cell>
          <cell r="P14">
            <v>3096</v>
          </cell>
          <cell r="Q14">
            <v>3116</v>
          </cell>
          <cell r="R14">
            <v>3116</v>
          </cell>
          <cell r="S14">
            <v>3116</v>
          </cell>
          <cell r="T14">
            <v>3222.5</v>
          </cell>
          <cell r="U14">
            <v>3365</v>
          </cell>
          <cell r="V14">
            <v>3380</v>
          </cell>
        </row>
        <row r="19">
          <cell r="B19">
            <v>151.5</v>
          </cell>
          <cell r="C19">
            <v>121.4</v>
          </cell>
          <cell r="D19">
            <v>168.6</v>
          </cell>
          <cell r="E19">
            <v>187.1</v>
          </cell>
          <cell r="F19">
            <v>146.69999999999999</v>
          </cell>
          <cell r="G19">
            <v>132.4</v>
          </cell>
          <cell r="H19">
            <v>160.4</v>
          </cell>
          <cell r="I19">
            <v>173.4</v>
          </cell>
          <cell r="J19">
            <v>220.7</v>
          </cell>
          <cell r="K19">
            <v>279.3</v>
          </cell>
          <cell r="L19">
            <v>263.2</v>
          </cell>
          <cell r="M19">
            <v>266.7</v>
          </cell>
          <cell r="N19">
            <v>264.7</v>
          </cell>
          <cell r="O19">
            <v>270</v>
          </cell>
          <cell r="P19">
            <v>278.10000000000002</v>
          </cell>
          <cell r="Q19">
            <v>286.44300000000004</v>
          </cell>
          <cell r="R19">
            <v>295.03629000000006</v>
          </cell>
          <cell r="S19">
            <v>303.88737870000006</v>
          </cell>
          <cell r="T19">
            <v>313.00400006100006</v>
          </cell>
          <cell r="U19">
            <v>322.39412006283004</v>
          </cell>
          <cell r="V19">
            <v>332.06594366471495</v>
          </cell>
        </row>
        <row r="21">
          <cell r="B21">
            <v>15</v>
          </cell>
          <cell r="C21">
            <v>15</v>
          </cell>
          <cell r="D21">
            <v>15</v>
          </cell>
          <cell r="E21">
            <v>15</v>
          </cell>
          <cell r="F21">
            <v>15</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8">
          <cell r="B28">
            <v>1981.5050000000001</v>
          </cell>
          <cell r="C28">
            <v>1947.508</v>
          </cell>
          <cell r="D28">
            <v>1914.8920000000001</v>
          </cell>
          <cell r="E28">
            <v>1922.837</v>
          </cell>
          <cell r="F28">
            <v>2022.4490000000001</v>
          </cell>
          <cell r="G28">
            <v>2242.1779999999999</v>
          </cell>
          <cell r="H28">
            <v>2378.3380000000002</v>
          </cell>
          <cell r="I28">
            <v>2142.9479999999999</v>
          </cell>
          <cell r="J28">
            <v>2341.4289999999996</v>
          </cell>
          <cell r="K28">
            <v>2478.8710000000001</v>
          </cell>
          <cell r="L28">
            <v>2622.8539999999998</v>
          </cell>
          <cell r="M28">
            <v>2661.7490000000003</v>
          </cell>
          <cell r="N28">
            <v>2803.9090000000001</v>
          </cell>
          <cell r="O28">
            <v>2782.45</v>
          </cell>
          <cell r="P28">
            <v>2794.107</v>
          </cell>
          <cell r="Q28">
            <v>2805.5137100000002</v>
          </cell>
          <cell r="R28">
            <v>2796.6626213</v>
          </cell>
          <cell r="S28">
            <v>2787.545999939</v>
          </cell>
          <cell r="T28">
            <v>2884.6558799371701</v>
          </cell>
          <cell r="U28">
            <v>3017.484056335285</v>
          </cell>
          <cell r="V28">
            <v>3022.5220780253435</v>
          </cell>
        </row>
        <row r="51">
          <cell r="B51">
            <v>67</v>
          </cell>
          <cell r="C51">
            <v>132</v>
          </cell>
          <cell r="D51">
            <v>116</v>
          </cell>
          <cell r="E51">
            <v>89</v>
          </cell>
          <cell r="F51">
            <v>271</v>
          </cell>
          <cell r="G51">
            <v>66</v>
          </cell>
          <cell r="H51">
            <v>21</v>
          </cell>
          <cell r="I51">
            <v>343</v>
          </cell>
          <cell r="J51">
            <v>195.80000000000018</v>
          </cell>
          <cell r="K51">
            <v>-2</v>
          </cell>
          <cell r="L51">
            <v>-39.399999999999636</v>
          </cell>
          <cell r="M51">
            <v>28.099999999999909</v>
          </cell>
          <cell r="N51">
            <v>108</v>
          </cell>
          <cell r="O51">
            <v>124</v>
          </cell>
          <cell r="P51">
            <v>104</v>
          </cell>
          <cell r="Q51">
            <v>84</v>
          </cell>
          <cell r="R51">
            <v>84</v>
          </cell>
          <cell r="S51">
            <v>84</v>
          </cell>
          <cell r="T51">
            <v>127.5</v>
          </cell>
          <cell r="U51">
            <v>135</v>
          </cell>
          <cell r="V51">
            <v>120</v>
          </cell>
        </row>
      </sheetData>
      <sheetData sheetId="12"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t="str">
            <v>na</v>
          </cell>
          <cell r="C13" t="str">
            <v>na</v>
          </cell>
          <cell r="D13" t="str">
            <v>na</v>
          </cell>
          <cell r="E13" t="str">
            <v>na</v>
          </cell>
          <cell r="F13" t="str">
            <v>na</v>
          </cell>
          <cell r="G13" t="str">
            <v>na</v>
          </cell>
          <cell r="H13" t="str">
            <v>na</v>
          </cell>
          <cell r="I13" t="str">
            <v>na</v>
          </cell>
          <cell r="J13" t="str">
            <v>na</v>
          </cell>
          <cell r="K13" t="str">
            <v>na</v>
          </cell>
          <cell r="L13" t="str">
            <v>na</v>
          </cell>
          <cell r="M13" t="str">
            <v>na</v>
          </cell>
          <cell r="N13" t="str">
            <v>na</v>
          </cell>
          <cell r="O13" t="str">
            <v>na</v>
          </cell>
          <cell r="P13" t="str">
            <v>na</v>
          </cell>
          <cell r="Q13" t="str">
            <v>na</v>
          </cell>
          <cell r="R13" t="str">
            <v>na</v>
          </cell>
          <cell r="S13" t="str">
            <v>na</v>
          </cell>
          <cell r="T13" t="str">
            <v>na</v>
          </cell>
          <cell r="U13" t="str">
            <v>na</v>
          </cell>
          <cell r="V13" t="str">
            <v>na</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9">
          <cell r="B19">
            <v>273</v>
          </cell>
          <cell r="C19">
            <v>230.7</v>
          </cell>
          <cell r="D19">
            <v>249.5</v>
          </cell>
          <cell r="E19">
            <v>275.8</v>
          </cell>
          <cell r="F19">
            <v>318.10000000000002</v>
          </cell>
          <cell r="G19">
            <v>359.8</v>
          </cell>
          <cell r="H19">
            <v>375.4</v>
          </cell>
          <cell r="I19">
            <v>346.2</v>
          </cell>
          <cell r="J19">
            <v>390.8</v>
          </cell>
          <cell r="K19">
            <v>370.4</v>
          </cell>
          <cell r="L19">
            <v>356</v>
          </cell>
          <cell r="M19">
            <v>383.5</v>
          </cell>
          <cell r="N19">
            <v>379.3</v>
          </cell>
          <cell r="O19">
            <v>380</v>
          </cell>
          <cell r="P19">
            <v>387.6</v>
          </cell>
          <cell r="Q19">
            <v>395.35200000000003</v>
          </cell>
          <cell r="R19">
            <v>403.25904000000003</v>
          </cell>
          <cell r="S19">
            <v>411.32422080000003</v>
          </cell>
          <cell r="T19">
            <v>419.55070521600004</v>
          </cell>
          <cell r="U19">
            <v>427.94171932032003</v>
          </cell>
          <cell r="V19">
            <v>436.50055370672646</v>
          </cell>
        </row>
        <row r="21">
          <cell r="B21">
            <v>18.738293857596073</v>
          </cell>
          <cell r="C21">
            <v>18.832456138287512</v>
          </cell>
          <cell r="D21">
            <v>18.927091596268856</v>
          </cell>
          <cell r="E21">
            <v>19.022202609315432</v>
          </cell>
          <cell r="F21">
            <v>19.117791567151187</v>
          </cell>
          <cell r="G21">
            <v>19.213860871508732</v>
          </cell>
          <cell r="H21">
            <v>19.310412936189682</v>
          </cell>
          <cell r="I21">
            <v>19.40745018712531</v>
          </cell>
          <cell r="J21">
            <v>19.504975062437499</v>
          </cell>
          <cell r="K21">
            <v>19.602990012499998</v>
          </cell>
          <cell r="L21">
            <v>19.701497499999999</v>
          </cell>
          <cell r="M21">
            <v>19.8005</v>
          </cell>
          <cell r="N21">
            <v>19.899999999999999</v>
          </cell>
          <cell r="O21">
            <v>20</v>
          </cell>
          <cell r="P21">
            <v>20.099999999999998</v>
          </cell>
          <cell r="Q21">
            <v>20.200499999999995</v>
          </cell>
          <cell r="R21">
            <v>20.301502499999991</v>
          </cell>
          <cell r="S21">
            <v>20.40301001249999</v>
          </cell>
          <cell r="T21">
            <v>20.505025062562488</v>
          </cell>
          <cell r="U21">
            <v>20.607550187875297</v>
          </cell>
          <cell r="V21">
            <v>20.710587938814673</v>
          </cell>
        </row>
        <row r="28">
          <cell r="B28">
            <v>-297.57305973474803</v>
          </cell>
          <cell r="C28">
            <v>-254.52310526105325</v>
          </cell>
          <cell r="D28">
            <v>-273.79563342819421</v>
          </cell>
          <cell r="E28">
            <v>-300.71864666150179</v>
          </cell>
          <cell r="F28">
            <v>-343.96214739849421</v>
          </cell>
          <cell r="G28">
            <v>-386.59413808893896</v>
          </cell>
          <cell r="H28">
            <v>-402.60462119491342</v>
          </cell>
          <cell r="I28">
            <v>-372.91959919086781</v>
          </cell>
          <cell r="J28">
            <v>-418.51107456368624</v>
          </cell>
          <cell r="K28">
            <v>-397.80304981274998</v>
          </cell>
          <cell r="L28">
            <v>-383.21552745000002</v>
          </cell>
          <cell r="M28">
            <v>-411.36651000000001</v>
          </cell>
          <cell r="N28">
            <v>-407.18399999999997</v>
          </cell>
          <cell r="O28">
            <v>-408</v>
          </cell>
          <cell r="P28">
            <v>-415.85400000000004</v>
          </cell>
          <cell r="Q28">
            <v>-423.86355000000003</v>
          </cell>
          <cell r="R28">
            <v>-432.03175334999997</v>
          </cell>
          <cell r="S28">
            <v>-440.36177542875004</v>
          </cell>
          <cell r="T28">
            <v>-448.85684488413375</v>
          </cell>
          <cell r="U28">
            <v>-457.52025489835921</v>
          </cell>
          <cell r="V28">
            <v>-466.35536447845197</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sheetData>
      <sheetData sheetId="13" refreshError="1">
        <row r="1">
          <cell r="V1">
            <v>37409</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46.315789473684212</v>
          </cell>
          <cell r="C13">
            <v>73.15789473684211</v>
          </cell>
          <cell r="D13">
            <v>35.294117647058826</v>
          </cell>
          <cell r="E13">
            <v>62.058823529411768</v>
          </cell>
          <cell r="F13">
            <v>81.666666666666671</v>
          </cell>
          <cell r="G13">
            <v>76.388888888888886</v>
          </cell>
          <cell r="H13">
            <v>76.481481481481481</v>
          </cell>
          <cell r="I13">
            <v>95.370370370370367</v>
          </cell>
          <cell r="J13">
            <v>96.349206349206355</v>
          </cell>
          <cell r="K13">
            <v>88.904109589041099</v>
          </cell>
          <cell r="L13">
            <v>82.208588957055213</v>
          </cell>
          <cell r="M13">
            <v>84.011428571428567</v>
          </cell>
          <cell r="N13">
            <v>87.322033898305079</v>
          </cell>
          <cell r="O13">
            <v>87.52542372881355</v>
          </cell>
          <cell r="P13">
            <v>89.180790960451972</v>
          </cell>
          <cell r="Q13">
            <v>92.331606217616581</v>
          </cell>
          <cell r="R13">
            <v>95</v>
          </cell>
          <cell r="S13">
            <v>95.497560975609758</v>
          </cell>
          <cell r="T13">
            <v>95.995121951219517</v>
          </cell>
          <cell r="U13">
            <v>95.995121951219517</v>
          </cell>
          <cell r="V13">
            <v>95.995121951219517</v>
          </cell>
        </row>
        <row r="14">
          <cell r="B14">
            <v>88</v>
          </cell>
          <cell r="C14">
            <v>139</v>
          </cell>
          <cell r="D14">
            <v>120</v>
          </cell>
          <cell r="E14">
            <v>211</v>
          </cell>
          <cell r="F14">
            <v>294</v>
          </cell>
          <cell r="G14">
            <v>275</v>
          </cell>
          <cell r="H14">
            <v>413</v>
          </cell>
          <cell r="I14">
            <v>515</v>
          </cell>
          <cell r="J14">
            <v>607</v>
          </cell>
          <cell r="K14">
            <v>649</v>
          </cell>
          <cell r="L14">
            <v>670</v>
          </cell>
          <cell r="M14">
            <v>735.1</v>
          </cell>
          <cell r="N14">
            <v>772.8</v>
          </cell>
          <cell r="O14">
            <v>774.59999999999991</v>
          </cell>
          <cell r="P14">
            <v>789.25</v>
          </cell>
          <cell r="Q14">
            <v>891</v>
          </cell>
          <cell r="R14">
            <v>973.75</v>
          </cell>
          <cell r="S14">
            <v>978.84999999999991</v>
          </cell>
          <cell r="T14">
            <v>983.95</v>
          </cell>
          <cell r="U14">
            <v>983.95</v>
          </cell>
          <cell r="V14">
            <v>983.95</v>
          </cell>
        </row>
        <row r="19">
          <cell r="B19">
            <v>1540.5</v>
          </cell>
          <cell r="C19">
            <v>1564</v>
          </cell>
          <cell r="D19">
            <v>1701.7</v>
          </cell>
          <cell r="E19">
            <v>1918.4</v>
          </cell>
          <cell r="F19">
            <v>2148.1999999999998</v>
          </cell>
          <cell r="G19">
            <v>2017.8</v>
          </cell>
          <cell r="H19">
            <v>2321.1</v>
          </cell>
          <cell r="I19">
            <v>2673.7</v>
          </cell>
          <cell r="J19">
            <v>2714.6</v>
          </cell>
          <cell r="K19">
            <v>2547.4</v>
          </cell>
          <cell r="L19">
            <v>3046.8</v>
          </cell>
          <cell r="M19">
            <v>3147.4150000000009</v>
          </cell>
          <cell r="N19">
            <v>3625.7</v>
          </cell>
          <cell r="O19">
            <v>3850</v>
          </cell>
          <cell r="P19">
            <v>3965.5</v>
          </cell>
          <cell r="Q19">
            <v>4084.4650000000001</v>
          </cell>
          <cell r="R19">
            <v>4206.9989500000001</v>
          </cell>
          <cell r="S19">
            <v>4333.2089185000004</v>
          </cell>
          <cell r="T19">
            <v>4463.2051860550009</v>
          </cell>
          <cell r="U19">
            <v>4597.1013416366513</v>
          </cell>
          <cell r="V19">
            <v>4735.0143818857514</v>
          </cell>
        </row>
        <row r="21">
          <cell r="B21">
            <v>120.99788238180281</v>
          </cell>
          <cell r="C21">
            <v>121.30113521985244</v>
          </cell>
          <cell r="D21">
            <v>121.60514809007763</v>
          </cell>
          <cell r="E21">
            <v>121.90992289732093</v>
          </cell>
          <cell r="F21">
            <v>122.21546155119891</v>
          </cell>
          <cell r="G21">
            <v>122.52176596611419</v>
          </cell>
          <cell r="H21">
            <v>122.82883806126735</v>
          </cell>
          <cell r="I21">
            <v>123.13667976066901</v>
          </cell>
          <cell r="J21">
            <v>123.44529299315188</v>
          </cell>
          <cell r="K21">
            <v>123.75467969238284</v>
          </cell>
          <cell r="L21">
            <v>124.06484179687502</v>
          </cell>
          <cell r="M21">
            <v>124.37578125</v>
          </cell>
          <cell r="N21">
            <v>124.6875</v>
          </cell>
          <cell r="O21">
            <v>125</v>
          </cell>
          <cell r="P21">
            <v>125.3125</v>
          </cell>
          <cell r="Q21">
            <v>125.62578124999999</v>
          </cell>
          <cell r="R21">
            <v>125.93984570312499</v>
          </cell>
          <cell r="S21">
            <v>126.2546953173828</v>
          </cell>
          <cell r="T21">
            <v>126.57033205567625</v>
          </cell>
          <cell r="U21">
            <v>126.88675788581543</v>
          </cell>
          <cell r="V21">
            <v>127.20397478052996</v>
          </cell>
        </row>
        <row r="28">
          <cell r="B28">
            <v>-1623.3428188532569</v>
          </cell>
          <cell r="C28">
            <v>-1596.860169276448</v>
          </cell>
          <cell r="D28">
            <v>-1758.00430253278</v>
          </cell>
          <cell r="E28">
            <v>-1890.5192205842404</v>
          </cell>
          <cell r="F28">
            <v>-2044.5279253977346</v>
          </cell>
          <cell r="G28">
            <v>-1929.5314189450974</v>
          </cell>
          <cell r="H28">
            <v>-2104.2467032031054</v>
          </cell>
          <cell r="I28">
            <v>-2365.7417801534889</v>
          </cell>
          <cell r="J28">
            <v>-2316.1866517829462</v>
          </cell>
          <cell r="K28">
            <v>-2102.2893200831545</v>
          </cell>
          <cell r="L28">
            <v>-2595.9907870507814</v>
          </cell>
          <cell r="M28">
            <v>-2634.8445046875008</v>
          </cell>
          <cell r="N28">
            <v>-3090.0991249999997</v>
          </cell>
          <cell r="O28">
            <v>-3319.65</v>
          </cell>
          <cell r="P28">
            <v>-3424.2868749999998</v>
          </cell>
          <cell r="Q28">
            <v>-3445.3935046875004</v>
          </cell>
          <cell r="R28">
            <v>-3489.1769595742189</v>
          </cell>
          <cell r="S28">
            <v>-3614.3975222319045</v>
          </cell>
          <cell r="T28">
            <v>-3743.5187836539972</v>
          </cell>
          <cell r="U28">
            <v>-3881.7577425081408</v>
          </cell>
          <cell r="V28">
            <v>-4024.1349073662705</v>
          </cell>
        </row>
        <row r="51">
          <cell r="B51">
            <v>102</v>
          </cell>
          <cell r="C51">
            <v>51</v>
          </cell>
          <cell r="D51">
            <v>220</v>
          </cell>
          <cell r="E51">
            <v>129</v>
          </cell>
          <cell r="F51">
            <v>66</v>
          </cell>
          <cell r="G51">
            <v>85</v>
          </cell>
          <cell r="H51">
            <v>127</v>
          </cell>
          <cell r="I51">
            <v>25</v>
          </cell>
          <cell r="J51">
            <v>23</v>
          </cell>
          <cell r="K51">
            <v>81</v>
          </cell>
          <cell r="L51">
            <v>145</v>
          </cell>
          <cell r="M51">
            <v>139.89999999999998</v>
          </cell>
          <cell r="N51">
            <v>112.20000000000005</v>
          </cell>
          <cell r="O51">
            <v>110.40000000000009</v>
          </cell>
          <cell r="P51">
            <v>95.75</v>
          </cell>
          <cell r="Q51">
            <v>74</v>
          </cell>
          <cell r="R51">
            <v>51.25</v>
          </cell>
          <cell r="S51">
            <v>46.150000000000091</v>
          </cell>
          <cell r="T51">
            <v>41.049999999999955</v>
          </cell>
          <cell r="U51">
            <v>41.049999999999955</v>
          </cell>
          <cell r="V51">
            <v>41.049999999999955</v>
          </cell>
        </row>
      </sheetData>
      <sheetData sheetId="14" refreshError="1"/>
      <sheetData sheetId="15" refreshError="1"/>
      <sheetData sheetId="16" refreshError="1">
        <row r="2">
          <cell r="A2" t="str">
            <v>Cargill Crop Nutrition</v>
          </cell>
        </row>
        <row r="8">
          <cell r="B8">
            <v>90</v>
          </cell>
          <cell r="C8">
            <v>91</v>
          </cell>
          <cell r="D8">
            <v>92</v>
          </cell>
          <cell r="E8">
            <v>93</v>
          </cell>
          <cell r="F8">
            <v>94</v>
          </cell>
          <cell r="G8">
            <v>95</v>
          </cell>
          <cell r="H8">
            <v>96</v>
          </cell>
          <cell r="I8">
            <v>97</v>
          </cell>
          <cell r="J8">
            <v>98</v>
          </cell>
          <cell r="K8">
            <v>99</v>
          </cell>
          <cell r="L8" t="str">
            <v>00</v>
          </cell>
          <cell r="M8" t="str">
            <v>01</v>
          </cell>
          <cell r="N8" t="str">
            <v>02</v>
          </cell>
          <cell r="O8" t="str">
            <v>03</v>
          </cell>
          <cell r="P8" t="str">
            <v>04</v>
          </cell>
          <cell r="Q8" t="str">
            <v>05</v>
          </cell>
          <cell r="R8" t="str">
            <v>06</v>
          </cell>
          <cell r="S8" t="str">
            <v>07</v>
          </cell>
          <cell r="T8" t="str">
            <v>08</v>
          </cell>
          <cell r="U8" t="str">
            <v>09</v>
          </cell>
          <cell r="V8" t="str">
            <v>10</v>
          </cell>
        </row>
        <row r="13">
          <cell r="B13">
            <v>78.054968287526421</v>
          </cell>
          <cell r="C13">
            <v>74</v>
          </cell>
          <cell r="D13">
            <v>74.568527918781726</v>
          </cell>
          <cell r="E13">
            <v>63.544465770953295</v>
          </cell>
          <cell r="F13">
            <v>74.655647382920108</v>
          </cell>
          <cell r="G13">
            <v>76.874095513748188</v>
          </cell>
          <cell r="H13">
            <v>85.580286168521454</v>
          </cell>
          <cell r="I13">
            <v>84.149443561208273</v>
          </cell>
          <cell r="J13">
            <v>86.653650254668918</v>
          </cell>
          <cell r="K13">
            <v>84.633851468048363</v>
          </cell>
          <cell r="L13">
            <v>83.813471502590673</v>
          </cell>
          <cell r="M13">
            <v>82.854922279792731</v>
          </cell>
          <cell r="N13">
            <v>80.239361702127667</v>
          </cell>
          <cell r="O13">
            <v>82.288602941176464</v>
          </cell>
          <cell r="P13">
            <v>82.945772058823536</v>
          </cell>
          <cell r="Q13">
            <v>82.119856887298752</v>
          </cell>
          <cell r="R13">
            <v>83.519677996422175</v>
          </cell>
          <cell r="S13">
            <v>84.279964221824685</v>
          </cell>
          <cell r="T13">
            <v>84.279964221824685</v>
          </cell>
          <cell r="U13">
            <v>84.279964221824685</v>
          </cell>
          <cell r="V13">
            <v>84.279964221824685</v>
          </cell>
        </row>
        <row r="14">
          <cell r="B14">
            <v>7384</v>
          </cell>
          <cell r="C14">
            <v>6142</v>
          </cell>
          <cell r="D14">
            <v>5876</v>
          </cell>
          <cell r="E14">
            <v>4966</v>
          </cell>
          <cell r="F14">
            <v>5420</v>
          </cell>
          <cell r="G14">
            <v>5312</v>
          </cell>
          <cell r="H14">
            <v>5383</v>
          </cell>
          <cell r="I14">
            <v>5293</v>
          </cell>
          <cell r="J14">
            <v>5103.8999999999996</v>
          </cell>
          <cell r="K14">
            <v>4900.3</v>
          </cell>
          <cell r="L14">
            <v>4852.8</v>
          </cell>
          <cell r="M14">
            <v>4797.2999999999993</v>
          </cell>
          <cell r="N14">
            <v>4525.5</v>
          </cell>
          <cell r="O14">
            <v>4476.5</v>
          </cell>
          <cell r="P14">
            <v>4512.25</v>
          </cell>
          <cell r="Q14">
            <v>4590.5</v>
          </cell>
          <cell r="R14">
            <v>4668.75</v>
          </cell>
          <cell r="S14">
            <v>4711.25</v>
          </cell>
          <cell r="T14">
            <v>4711.25</v>
          </cell>
          <cell r="U14">
            <v>4711.25</v>
          </cell>
          <cell r="V14">
            <v>4711.25</v>
          </cell>
        </row>
        <row r="19">
          <cell r="B19">
            <v>5721.2</v>
          </cell>
          <cell r="C19">
            <v>5077.6000000000004</v>
          </cell>
          <cell r="D19">
            <v>4686.5</v>
          </cell>
          <cell r="E19">
            <v>4115.6000000000004</v>
          </cell>
          <cell r="F19">
            <v>4172.8999999999996</v>
          </cell>
          <cell r="G19">
            <v>4268.8999999999996</v>
          </cell>
          <cell r="H19">
            <v>4345.3</v>
          </cell>
          <cell r="I19">
            <v>4380.6000000000004</v>
          </cell>
          <cell r="J19">
            <v>4301.8</v>
          </cell>
          <cell r="K19">
            <v>4151.6000000000004</v>
          </cell>
          <cell r="L19">
            <v>3935.4</v>
          </cell>
          <cell r="M19">
            <v>3572.6</v>
          </cell>
          <cell r="N19">
            <v>3640.3</v>
          </cell>
          <cell r="O19">
            <v>3600</v>
          </cell>
          <cell r="P19">
            <v>3510</v>
          </cell>
          <cell r="Q19">
            <v>3422.25</v>
          </cell>
          <cell r="R19">
            <v>3336.6937499999999</v>
          </cell>
          <cell r="S19">
            <v>3253.27640625</v>
          </cell>
          <cell r="T19">
            <v>3171.9444960937499</v>
          </cell>
          <cell r="U19">
            <v>3092.6458836914062</v>
          </cell>
          <cell r="V19">
            <v>3015.3297365991211</v>
          </cell>
        </row>
        <row r="21">
          <cell r="B21">
            <v>435.59237657449012</v>
          </cell>
          <cell r="C21">
            <v>436.68408679146876</v>
          </cell>
          <cell r="D21">
            <v>437.77853312427942</v>
          </cell>
          <cell r="E21">
            <v>438.87572243035527</v>
          </cell>
          <cell r="F21">
            <v>439.97566158431601</v>
          </cell>
          <cell r="G21">
            <v>441.07835747801101</v>
          </cell>
          <cell r="H21">
            <v>442.1838170205624</v>
          </cell>
          <cell r="I21">
            <v>443.29204713840841</v>
          </cell>
          <cell r="J21">
            <v>444.40305477534673</v>
          </cell>
          <cell r="K21">
            <v>445.51684689257814</v>
          </cell>
          <cell r="L21">
            <v>446.63343046875002</v>
          </cell>
          <cell r="M21">
            <v>447.7528125</v>
          </cell>
          <cell r="N21">
            <v>448.875</v>
          </cell>
          <cell r="O21">
            <v>450</v>
          </cell>
          <cell r="P21">
            <v>450</v>
          </cell>
          <cell r="Q21">
            <v>450</v>
          </cell>
          <cell r="R21">
            <v>450</v>
          </cell>
          <cell r="S21">
            <v>450</v>
          </cell>
          <cell r="T21">
            <v>450</v>
          </cell>
          <cell r="U21">
            <v>450</v>
          </cell>
          <cell r="V21">
            <v>450</v>
          </cell>
        </row>
        <row r="28">
          <cell r="B28">
            <v>1104.07177589402</v>
          </cell>
          <cell r="C28">
            <v>517.43023147270105</v>
          </cell>
          <cell r="D28">
            <v>649.23589621323481</v>
          </cell>
          <cell r="E28">
            <v>320.43476312103758</v>
          </cell>
          <cell r="F28">
            <v>714.86682518399812</v>
          </cell>
          <cell r="G28">
            <v>507.82207537242903</v>
          </cell>
          <cell r="H28">
            <v>499.76650663902637</v>
          </cell>
          <cell r="I28">
            <v>372.63011191882288</v>
          </cell>
          <cell r="J28">
            <v>262.77288412914641</v>
          </cell>
          <cell r="K28">
            <v>211.24081616956937</v>
          </cell>
          <cell r="L28">
            <v>383.12590092187475</v>
          </cell>
          <cell r="M28">
            <v>696.54013124999983</v>
          </cell>
          <cell r="N28">
            <v>354.54149999999936</v>
          </cell>
          <cell r="O28">
            <v>345.5</v>
          </cell>
          <cell r="P28">
            <v>473.05000000000018</v>
          </cell>
          <cell r="Q28">
            <v>640.80499999999984</v>
          </cell>
          <cell r="R28">
            <v>806.32237500000019</v>
          </cell>
          <cell r="S28">
            <v>933.90806562499984</v>
          </cell>
          <cell r="T28">
            <v>1016.8666139843749</v>
          </cell>
          <cell r="U28">
            <v>1097.7511986347658</v>
          </cell>
          <cell r="V28">
            <v>1176.6136686688965</v>
          </cell>
        </row>
        <row r="51">
          <cell r="B51">
            <v>2076</v>
          </cell>
          <cell r="C51">
            <v>2158</v>
          </cell>
          <cell r="D51">
            <v>2004</v>
          </cell>
          <cell r="E51">
            <v>2849</v>
          </cell>
          <cell r="F51">
            <v>1840</v>
          </cell>
          <cell r="G51">
            <v>1598</v>
          </cell>
          <cell r="H51">
            <v>907</v>
          </cell>
          <cell r="I51">
            <v>997</v>
          </cell>
          <cell r="J51">
            <v>786.10000000000036</v>
          </cell>
          <cell r="K51">
            <v>889.69999999999982</v>
          </cell>
          <cell r="L51">
            <v>937.19999999999982</v>
          </cell>
          <cell r="M51">
            <v>992.70000000000073</v>
          </cell>
          <cell r="N51">
            <v>1114.5</v>
          </cell>
          <cell r="O51">
            <v>963.5</v>
          </cell>
          <cell r="P51">
            <v>927.75</v>
          </cell>
          <cell r="Q51">
            <v>999.5</v>
          </cell>
          <cell r="R51">
            <v>921.25</v>
          </cell>
          <cell r="S51">
            <v>878.75</v>
          </cell>
          <cell r="T51">
            <v>878.75</v>
          </cell>
          <cell r="U51">
            <v>878.75</v>
          </cell>
          <cell r="V51">
            <v>878.75</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IS"/>
      <sheetName val="Pro Forma (2)"/>
      <sheetName val="Output (GAAP) (2)"/>
      <sheetName val="Output (2)"/>
      <sheetName val="Pro Forma"/>
      <sheetName val="__FDSCACHE__"/>
      <sheetName val="Output (GAAP)"/>
      <sheetName val="Output"/>
      <sheetName val="Inputs"/>
      <sheetName val="INSS"/>
      <sheetName val="PMO"/>
      <sheetName val="Contribution"/>
      <sheetName val="Contr - FD"/>
      <sheetName val="Contr - TM"/>
      <sheetName val="Adjusted Contribution"/>
      <sheetName val="Cash Burn"/>
      <sheetName val="Multiples"/>
      <sheetName val="SyncAlloc"/>
      <sheetName val="PricePerformance"/>
      <sheetName val="ValMtrx"/>
      <sheetName val="CapSum-Tux"/>
      <sheetName val="CapSum-Top hat"/>
      <sheetName val="DCF-Tux Mgt 2001"/>
      <sheetName val="DCF-Tux Mgt 2002"/>
      <sheetName val="DCF-Tux Mgt 2001 Norm"/>
      <sheetName val="DCF-Tux Str Estimates"/>
      <sheetName val="DCF-Top Hat mgt"/>
      <sheetName val="DCF-Top Hat Str Est."/>
      <sheetName val="DCF-Top Hat Synergies"/>
      <sheetName val="MSDW SbyS"/>
      <sheetName val="SbyS"/>
      <sheetName val="Contribution2"/>
      <sheetName val="Combination - Street Est."/>
      <sheetName val="PF W-O Synergies"/>
      <sheetName val="Combination -Management Est."/>
      <sheetName val="Top Hat"/>
      <sheetName val="Tuxedo"/>
      <sheetName val="Analyst Avg"/>
      <sheetName val="Synergy Sensitivity"/>
      <sheetName val="Sheet2"/>
      <sheetName val="Sheet3"/>
      <sheetName val="IS"/>
      <sheetName val="BS|CF"/>
      <sheetName val="Assum"/>
      <sheetName val="OpBS"/>
      <sheetName val="BSCF"/>
      <sheetName val="Ratios"/>
      <sheetName val="AcqIS"/>
      <sheetName val="AcqBSCF"/>
      <sheetName val="AcqRat"/>
      <sheetName val="TargBSCF"/>
      <sheetName val="TargRat"/>
      <sheetName val="AcqDCF1"/>
      <sheetName val="AcqDCF2"/>
      <sheetName val="TargDCF1"/>
      <sheetName val="TargDCF2"/>
      <sheetName val="CashAcq"/>
      <sheetName val="LBO Assum"/>
      <sheetName val="LBO IS"/>
      <sheetName val="LBO  BSCF"/>
      <sheetName val="LBO Ratios"/>
      <sheetName val="LBO Returns"/>
      <sheetName val="Contrib"/>
      <sheetName val="Presentation&gt;&gt;&gt;"/>
      <sheetName val="TargFin"/>
      <sheetName val="ValMatrix"/>
      <sheetName val="TargDCF"/>
      <sheetName val="CashAcqOutput"/>
      <sheetName val="PF EPS1"/>
      <sheetName val="PF EPS2"/>
      <sheetName val="PF Ratios"/>
      <sheetName val="StckPrc1"/>
      <sheetName val="StckPrc2"/>
      <sheetName val="Summary"/>
      <sheetName val="Output&gt;&gt;"/>
      <sheetName val="SummaryCases"/>
      <sheetName val="Summary FS"/>
      <sheetName val="Sources and Uses"/>
      <sheetName val="Acc Dil"/>
      <sheetName val="Cash Acc Dil"/>
      <sheetName val="Summary Credit Stats"/>
      <sheetName val="Summary Debt Paydown"/>
      <sheetName val="Growth Analysis"/>
      <sheetName val="Conv Returns Summary"/>
      <sheetName val="Class A Returns Summary"/>
      <sheetName val="Stk Price Acc Dil"/>
      <sheetName val="Pro Forma&gt;&gt;"/>
      <sheetName val="Convertible Returns"/>
      <sheetName val="Class A Returns"/>
      <sheetName val="PIK Returns"/>
      <sheetName val="99 and LTM PF"/>
      <sheetName val="Hawk&gt;&gt;"/>
      <sheetName val="Midway&gt;&gt;"/>
      <sheetName val="TargIS £"/>
      <sheetName val="TargBSCF £"/>
      <sheetName val="TargIS $"/>
      <sheetName val="TargBSCF $"/>
      <sheetName val="TargIS-Adj"/>
      <sheetName val="TargBSCF-Adj"/>
      <sheetName val="AerospaceISMonthly"/>
      <sheetName val="WholeTargetISMonthly"/>
      <sheetName val="--NOT USED--"/>
      <sheetName val="Jupiter&gt;&gt;&gt;&gt;&gt;"/>
      <sheetName val="Jupiter IS"/>
      <sheetName val="Jupiter BSCF"/>
      <sheetName val="Jupiter Rat"/>
      <sheetName val="Jupiter DCF1"/>
      <sheetName val="Jupiter DCF2"/>
      <sheetName val="Saturn&gt;&gt;&gt;&gt;&gt;&gt;"/>
      <sheetName val="Saturn IS"/>
      <sheetName val="Saturn BSCF"/>
      <sheetName val="Saturn DCF1"/>
      <sheetName val="Saturn DCF2"/>
      <sheetName val="Saturn Ratios"/>
      <sheetName val="Spaceshot&gt;&gt;&gt;&gt;&gt;"/>
      <sheetName val="Op-BS"/>
      <sheetName val="Output&gt;&gt;&gt;&gt;&gt;"/>
      <sheetName val="Matri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sheetData sheetId="55"/>
      <sheetData sheetId="56"/>
      <sheetData sheetId="57"/>
      <sheetData sheetId="58"/>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refreshError="1"/>
      <sheetData sheetId="109"/>
      <sheetData sheetId="110"/>
      <sheetData sheetId="111"/>
      <sheetData sheetId="112"/>
      <sheetData sheetId="113" refreshError="1"/>
      <sheetData sheetId="114" refreshError="1"/>
      <sheetData sheetId="115"/>
      <sheetData sheetId="116" refreshError="1"/>
      <sheetData sheetId="1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tock Price"/>
      <sheetName val="Price of Comps-1yr (UHS)"/>
      <sheetName val="Price of Comps-1yr (UNH)"/>
      <sheetName val="Price of Comps-3yrs (UHS)"/>
      <sheetName val="Price of Comps-3yrs (UNH)"/>
      <sheetName val="critical"/>
      <sheetName val="medical"/>
      <sheetName val="manor"/>
      <sheetName val="Stock Price (4)"/>
      <sheetName val="Shareholder Value"/>
      <sheetName val="Shareholder Value (2)"/>
      <sheetName val="Shareholder Value (3)"/>
      <sheetName val="theatre"/>
      <sheetName val="StockPrice"/>
      <sheetName val="Total"/>
      <sheetName val="Stock_Price"/>
      <sheetName val="Price_of_Comps-1yr_(UHS)"/>
      <sheetName val="Price_of_Comps-1yr_(UNH)"/>
      <sheetName val="Price_of_Comps-3yrs_(UHS)"/>
      <sheetName val="Price_of_Comps-3yrs_(UNH)"/>
      <sheetName val="Stock_Price_(4)"/>
      <sheetName val="Shareholder_Value"/>
      <sheetName val="Shareholder_Value_(2)"/>
      <sheetName val="Shareholder_Value_(3)"/>
      <sheetName val="Graph"/>
      <sheetName val="Clec_Comp"/>
      <sheetName val="Assump"/>
      <sheetName val="DCF_Rider_Term_Mult"/>
      <sheetName val="Horus_P&amp;L"/>
      <sheetName val="Assumptions"/>
      <sheetName val="sales_vol_"/>
      <sheetName val="NewGLP_Assumptions"/>
      <sheetName val="Revenue"/>
      <sheetName val="3"/>
      <sheetName val="Acc_Dil"/>
      <sheetName val="6b"/>
      <sheetName val="ValMatrix"/>
      <sheetName val="Overview_1"/>
      <sheetName val="Value_Creation"/>
      <sheetName val="Controls"/>
      <sheetName val="budg_act"/>
      <sheetName val="1"/>
      <sheetName val="Admin"/>
      <sheetName val="Constants"/>
      <sheetName val="Model"/>
      <sheetName val="MOE"/>
      <sheetName val="Financials_Old"/>
      <sheetName val="5a"/>
      <sheetName val="Side_by_Side"/>
      <sheetName val="CA"/>
      <sheetName val="Overview_2"/>
      <sheetName val="Value_Creation_Chart"/>
      <sheetName val="PF__Cash_EPS_Graph"/>
      <sheetName val="Cash_Flow"/>
      <sheetName val="4"/>
      <sheetName val="Contribution"/>
      <sheetName val="middle-market_-_new"/>
      <sheetName val="7"/>
      <sheetName val="DRDs"/>
      <sheetName val="SX3"/>
      <sheetName val="QuickMerge"/>
      <sheetName val="CONTROL"/>
      <sheetName val="Parameters"/>
      <sheetName val="NOPAT_VDF"/>
      <sheetName val="RC"/>
      <sheetName val="Chapter_7"/>
      <sheetName val="Invested_capital_VDF"/>
      <sheetName val="DCF_VDF"/>
      <sheetName val="MWV-BAL"/>
      <sheetName val="Balance_Sheet"/>
      <sheetName val="US_dollar_mkt"/>
      <sheetName val="riderF"/>
      <sheetName val="cd_Data"/>
      <sheetName val="Colour_Hierarchy"/>
      <sheetName val="graphdialog"/>
      <sheetName val="CID"/>
      <sheetName val="Inputs"/>
      <sheetName val="Customers"/>
      <sheetName val="WEEKLYVLS"/>
      <sheetName val="Data"/>
      <sheetName val="Market_Share"/>
      <sheetName val="DCF"/>
      <sheetName val="lev_loan_raw_data"/>
      <sheetName val="Valuation_Matrix"/>
      <sheetName val="MLP_IPO_Yields_vs_MLP_Index"/>
      <sheetName val="Forecast"/>
      <sheetName val="Financing_Memo"/>
      <sheetName val="Force_Count"/>
      <sheetName val="Instructions"/>
      <sheetName val="MWV-FUN"/>
      <sheetName val="FX_Rates"/>
      <sheetName val="Delhaize"/>
      <sheetName val="Income_Stmt"/>
      <sheetName val="Income_Statement"/>
      <sheetName val="Input"/>
      <sheetName val="Accretion_SensitivityOutput"/>
      <sheetName val="Summary"/>
      <sheetName val="IRR"/>
      <sheetName val="Lookup"/>
      <sheetName val="Budget"/>
      <sheetName val="WACC_VDF"/>
      <sheetName val="Minutes"/>
      <sheetName val="Monthly_IS"/>
      <sheetName val="Scenario_Manager"/>
      <sheetName val="PV_of_Op_Leases_VDF"/>
      <sheetName val="Sensitivity"/>
      <sheetName val="LBO_Model"/>
      <sheetName val="1991_-_1999_Drilling_Type"/>
      <sheetName val="MWV-QTR1"/>
      <sheetName val="LookupRanges"/>
      <sheetName val="Ali_Synergy_Est_(2)"/>
      <sheetName val="Summary_Inc_Stmt"/>
      <sheetName val="f3"/>
      <sheetName val="MarketData"/>
      <sheetName val="Definitions"/>
      <sheetName val="Team_Award"/>
      <sheetName val="Income_Statement_VDF"/>
      <sheetName val="Neste_Oy"/>
      <sheetName val="yc_Formula"/>
      <sheetName val="SEP"/>
      <sheetName val="Stock_Price1"/>
      <sheetName val="Price_of_Comps-1yr_(UHS)1"/>
      <sheetName val="Price_of_Comps-1yr_(UNH)1"/>
      <sheetName val="Price_of_Comps-3yrs_(UHS)1"/>
      <sheetName val="Price_of_Comps-3yrs_(UNH)1"/>
      <sheetName val="Stock_Price_(4)1"/>
      <sheetName val="Shareholder_Value1"/>
      <sheetName val="Shareholder_Value_(2)1"/>
      <sheetName val="Shareholder_Value_(3)1"/>
      <sheetName val="Stock_Price2"/>
      <sheetName val="Price_of_Comps-1yr_(UHS)2"/>
      <sheetName val="Price_of_Comps-1yr_(UNH)2"/>
      <sheetName val="Price_of_Comps-3yrs_(UHS)2"/>
      <sheetName val="Price_of_Comps-3yrs_(UNH)2"/>
      <sheetName val="Stock_Price_(4)2"/>
      <sheetName val="Shareholder_Value2"/>
      <sheetName val="Shareholder_Value_(2)2"/>
      <sheetName val="Shareholder_Value_(3)2"/>
      <sheetName val="Stock_Price3"/>
      <sheetName val="Price_of_Comps-1yr_(UHS)3"/>
      <sheetName val="Price_of_Comps-1yr_(UNH)3"/>
      <sheetName val="Price_of_Comps-3yrs_(UHS)3"/>
      <sheetName val="Price_of_Comps-3yrs_(UNH)3"/>
      <sheetName val="Stock_Price_(4)3"/>
      <sheetName val="Shareholder_Value3"/>
      <sheetName val="Shareholder_Value_(2)3"/>
      <sheetName val="Shareholder_Value_(3)3"/>
      <sheetName val="EuroInputs"/>
      <sheetName val="Price_of_Compsjà_x0013__x0000_¤ß_x0013__x0000_lâ_x0013_"/>
      <sheetName val="9040832n"/>
      <sheetName val="oldSEG"/>
      <sheetName val="Quarters"/>
      <sheetName val="sales vol."/>
      <sheetName val="Entry data"/>
      <sheetName val="Refunds Weekly"/>
      <sheetName val="Final Payments"/>
      <sheetName val="FootballField"/>
      <sheetName val="CNST"/>
      <sheetName val="AL &amp; NHY"/>
      <sheetName val="SEE"/>
      <sheetName val="P&amp;L"/>
      <sheetName val="company"/>
      <sheetName val="99 JULY SALE"/>
    </sheetNames>
    <sheetDataSet>
      <sheetData sheetId="0"/>
      <sheetData sheetId="1" refreshError="1">
        <row r="4">
          <cell r="A4">
            <v>35464</v>
          </cell>
          <cell r="B4">
            <v>1</v>
          </cell>
          <cell r="C4">
            <v>1</v>
          </cell>
          <cell r="D4">
            <v>1</v>
          </cell>
          <cell r="E4">
            <v>1</v>
          </cell>
          <cell r="F4">
            <v>1</v>
          </cell>
          <cell r="G4">
            <v>1</v>
          </cell>
        </row>
        <row r="5">
          <cell r="A5">
            <v>35465</v>
          </cell>
          <cell r="B5">
            <v>0.99669966996699666</v>
          </cell>
          <cell r="C5">
            <v>1.0280811232449298</v>
          </cell>
          <cell r="D5">
            <v>1</v>
          </cell>
          <cell r="E5">
            <v>0.99328859060402686</v>
          </cell>
          <cell r="F5">
            <v>0.97093023255813948</v>
          </cell>
          <cell r="G5">
            <v>1.0113636363636365</v>
          </cell>
        </row>
        <row r="6">
          <cell r="A6">
            <v>35466</v>
          </cell>
          <cell r="B6">
            <v>0.97689768976897695</v>
          </cell>
          <cell r="C6">
            <v>0.97347893915756634</v>
          </cell>
          <cell r="D6">
            <v>1.0112781954887218</v>
          </cell>
          <cell r="E6">
            <v>0.96644295302013428</v>
          </cell>
          <cell r="F6">
            <v>0.95813953488372094</v>
          </cell>
          <cell r="G6">
            <v>0.96590909090909094</v>
          </cell>
        </row>
        <row r="7">
          <cell r="A7">
            <v>35467</v>
          </cell>
          <cell r="B7">
            <v>0.99339933993399343</v>
          </cell>
          <cell r="C7">
            <v>0.96567862714508579</v>
          </cell>
          <cell r="D7">
            <v>1.0263157894736843</v>
          </cell>
          <cell r="E7">
            <v>0.95302013422818788</v>
          </cell>
          <cell r="F7">
            <v>0.92093023255813955</v>
          </cell>
          <cell r="G7">
            <v>0.95454545454545459</v>
          </cell>
        </row>
        <row r="8">
          <cell r="A8">
            <v>35468</v>
          </cell>
          <cell r="B8">
            <v>1.0297029702970297</v>
          </cell>
          <cell r="C8">
            <v>0.97347893915756634</v>
          </cell>
          <cell r="D8">
            <v>1.0413533834586466</v>
          </cell>
          <cell r="E8">
            <v>0.97315436241610742</v>
          </cell>
          <cell r="F8">
            <v>0.95581395348837206</v>
          </cell>
          <cell r="G8">
            <v>0.96590909090909094</v>
          </cell>
        </row>
        <row r="9">
          <cell r="A9">
            <v>35471</v>
          </cell>
          <cell r="B9">
            <v>1.033003300330033</v>
          </cell>
          <cell r="C9">
            <v>0.99375975039001563</v>
          </cell>
          <cell r="D9">
            <v>1.0883458646616542</v>
          </cell>
          <cell r="E9">
            <v>0.98657718120805371</v>
          </cell>
          <cell r="F9">
            <v>0.94883720930232562</v>
          </cell>
          <cell r="G9">
            <v>0.95454545454545459</v>
          </cell>
        </row>
        <row r="10">
          <cell r="A10">
            <v>35472</v>
          </cell>
          <cell r="B10">
            <v>1.0594059405940595</v>
          </cell>
          <cell r="C10">
            <v>0.99843993759750393</v>
          </cell>
          <cell r="D10">
            <v>1.0676691729323309</v>
          </cell>
          <cell r="E10">
            <v>1.0067114093959733</v>
          </cell>
          <cell r="F10">
            <v>0.96976744186046515</v>
          </cell>
          <cell r="G10">
            <v>0.95454545454545459</v>
          </cell>
        </row>
        <row r="11">
          <cell r="A11">
            <v>35473</v>
          </cell>
          <cell r="B11">
            <v>1.0734323432343233</v>
          </cell>
          <cell r="C11">
            <v>1.0265210608424338</v>
          </cell>
          <cell r="D11">
            <v>1.0864661654135339</v>
          </cell>
          <cell r="E11">
            <v>1.0067114093959733</v>
          </cell>
          <cell r="F11">
            <v>1.0418604651162791</v>
          </cell>
          <cell r="G11">
            <v>0.96590909090909094</v>
          </cell>
        </row>
        <row r="12">
          <cell r="A12">
            <v>35474</v>
          </cell>
          <cell r="B12">
            <v>1.0981848184818481</v>
          </cell>
          <cell r="C12">
            <v>1.0733229329173166</v>
          </cell>
          <cell r="D12">
            <v>1.1165413533834587</v>
          </cell>
          <cell r="E12">
            <v>1.0536912751677852</v>
          </cell>
          <cell r="F12">
            <v>1.1046511627906976</v>
          </cell>
          <cell r="G12">
            <v>0.98863636363636365</v>
          </cell>
        </row>
        <row r="13">
          <cell r="A13">
            <v>35475</v>
          </cell>
          <cell r="B13">
            <v>1.1056105610561056</v>
          </cell>
          <cell r="C13">
            <v>1.0795631825273011</v>
          </cell>
          <cell r="D13">
            <v>1.131578947368421</v>
          </cell>
          <cell r="E13">
            <v>1.0738255033557047</v>
          </cell>
          <cell r="F13">
            <v>1.1441860465116278</v>
          </cell>
          <cell r="G13">
            <v>1.2159090909090908</v>
          </cell>
        </row>
        <row r="14">
          <cell r="A14">
            <v>35478</v>
          </cell>
          <cell r="B14">
            <v>1.1056105610561056</v>
          </cell>
          <cell r="C14">
            <v>1.0795631825273011</v>
          </cell>
          <cell r="D14">
            <v>1.131578947368421</v>
          </cell>
          <cell r="E14">
            <v>1.0738255033557047</v>
          </cell>
          <cell r="F14">
            <v>1.1441860465116278</v>
          </cell>
          <cell r="G14">
            <v>1.2159090909090908</v>
          </cell>
        </row>
        <row r="15">
          <cell r="A15">
            <v>35479</v>
          </cell>
          <cell r="B15">
            <v>1.0990099009900991</v>
          </cell>
          <cell r="C15">
            <v>1.0608424336973479</v>
          </cell>
          <cell r="D15">
            <v>1.1090225563909775</v>
          </cell>
          <cell r="E15">
            <v>1.0738255033557047</v>
          </cell>
          <cell r="F15">
            <v>1.1000000000000001</v>
          </cell>
          <cell r="G15">
            <v>1.2159090909090908</v>
          </cell>
        </row>
        <row r="16">
          <cell r="A16">
            <v>35480</v>
          </cell>
          <cell r="B16">
            <v>1.1122112211221122</v>
          </cell>
          <cell r="C16">
            <v>1.0717628705148206</v>
          </cell>
          <cell r="D16">
            <v>1.131578947368421</v>
          </cell>
          <cell r="E16">
            <v>1.0268456375838926</v>
          </cell>
          <cell r="F16">
            <v>1.1046511627906976</v>
          </cell>
          <cell r="G16">
            <v>1.2159090909090908</v>
          </cell>
        </row>
        <row r="17">
          <cell r="A17">
            <v>35481</v>
          </cell>
          <cell r="B17">
            <v>1.1056105610561056</v>
          </cell>
          <cell r="C17">
            <v>1.0592823712948518</v>
          </cell>
          <cell r="D17">
            <v>1.1099624060150375</v>
          </cell>
          <cell r="E17">
            <v>1.0671140939597314</v>
          </cell>
          <cell r="F17">
            <v>1.0930232558139534</v>
          </cell>
          <cell r="G17">
            <v>1.2045454545454546</v>
          </cell>
        </row>
        <row r="18">
          <cell r="A18">
            <v>35482</v>
          </cell>
          <cell r="B18">
            <v>1.0990099009900991</v>
          </cell>
          <cell r="C18">
            <v>1.0608424336973479</v>
          </cell>
          <cell r="D18">
            <v>1.1353383458646618</v>
          </cell>
          <cell r="E18">
            <v>1.0738255033557047</v>
          </cell>
          <cell r="F18">
            <v>1.0953488372093023</v>
          </cell>
          <cell r="G18">
            <v>1.2159090909090908</v>
          </cell>
        </row>
        <row r="19">
          <cell r="A19">
            <v>35485</v>
          </cell>
          <cell r="B19">
            <v>1.0808580858085808</v>
          </cell>
          <cell r="C19">
            <v>1.0702028081123245</v>
          </cell>
          <cell r="D19">
            <v>1.1390977443609023</v>
          </cell>
          <cell r="E19">
            <v>1.0604026845637584</v>
          </cell>
          <cell r="F19">
            <v>1.0627906976744186</v>
          </cell>
          <cell r="G19">
            <v>1.2045454545454546</v>
          </cell>
        </row>
        <row r="20">
          <cell r="A20">
            <v>35486</v>
          </cell>
          <cell r="B20">
            <v>1.0990099009900991</v>
          </cell>
          <cell r="C20">
            <v>1.0670826833073324</v>
          </cell>
          <cell r="D20">
            <v>1.1503759398496241</v>
          </cell>
          <cell r="E20">
            <v>1.0738255033557047</v>
          </cell>
          <cell r="F20">
            <v>1.069767441860465</v>
          </cell>
          <cell r="G20">
            <v>1.2045454545454546</v>
          </cell>
        </row>
        <row r="21">
          <cell r="A21">
            <v>35487</v>
          </cell>
          <cell r="B21">
            <v>1.0940594059405941</v>
          </cell>
          <cell r="C21">
            <v>1.0405616224648986</v>
          </cell>
          <cell r="D21">
            <v>1.1503759398496241</v>
          </cell>
          <cell r="E21">
            <v>1.0134228187919463</v>
          </cell>
          <cell r="F21">
            <v>1.0488372093023255</v>
          </cell>
          <cell r="G21">
            <v>1.2045454545454546</v>
          </cell>
        </row>
        <row r="22">
          <cell r="A22">
            <v>35488</v>
          </cell>
          <cell r="B22">
            <v>1.0990099009900991</v>
          </cell>
          <cell r="C22">
            <v>1.0468018720748831</v>
          </cell>
          <cell r="D22">
            <v>1.1390977443609023</v>
          </cell>
          <cell r="E22">
            <v>1.0201342281879195</v>
          </cell>
          <cell r="F22">
            <v>1.0372093023255815</v>
          </cell>
          <cell r="G22">
            <v>1.2045454545454546</v>
          </cell>
        </row>
        <row r="23">
          <cell r="A23">
            <v>35489</v>
          </cell>
          <cell r="B23">
            <v>1.1056105610561056</v>
          </cell>
          <cell r="C23">
            <v>1.0374414976599065</v>
          </cell>
          <cell r="D23">
            <v>1.1353383458646618</v>
          </cell>
          <cell r="E23">
            <v>1.0536912751677852</v>
          </cell>
          <cell r="F23">
            <v>1.0372093023255815</v>
          </cell>
          <cell r="G23">
            <v>1.1931818181818181</v>
          </cell>
        </row>
        <row r="24">
          <cell r="A24">
            <v>35492</v>
          </cell>
          <cell r="B24">
            <v>1.0965346534653466</v>
          </cell>
          <cell r="C24">
            <v>1.0577223088923557</v>
          </cell>
          <cell r="D24">
            <v>1.1390977443609023</v>
          </cell>
          <cell r="E24">
            <v>1.1342281879194631</v>
          </cell>
          <cell r="F24">
            <v>1.0325581395348837</v>
          </cell>
          <cell r="G24">
            <v>1.2159090909090908</v>
          </cell>
        </row>
        <row r="25">
          <cell r="A25">
            <v>35493</v>
          </cell>
          <cell r="B25">
            <v>1.0973597359735974</v>
          </cell>
          <cell r="C25">
            <v>1.06396255850234</v>
          </cell>
          <cell r="D25">
            <v>1.1353383458646618</v>
          </cell>
          <cell r="E25">
            <v>1.1610738255033557</v>
          </cell>
          <cell r="F25">
            <v>1.069767441860465</v>
          </cell>
          <cell r="G25">
            <v>1.2159090909090908</v>
          </cell>
        </row>
        <row r="26">
          <cell r="A26">
            <v>35494</v>
          </cell>
          <cell r="B26">
            <v>1.113861386138614</v>
          </cell>
          <cell r="C26">
            <v>1.076443057722309</v>
          </cell>
          <cell r="D26">
            <v>1.1278195488721805</v>
          </cell>
          <cell r="E26">
            <v>1.174496644295302</v>
          </cell>
          <cell r="F26">
            <v>1.1255813953488372</v>
          </cell>
          <cell r="G26">
            <v>1.2727272727272727</v>
          </cell>
        </row>
        <row r="27">
          <cell r="A27">
            <v>35495</v>
          </cell>
          <cell r="B27">
            <v>1.1460396039603959</v>
          </cell>
          <cell r="C27">
            <v>1.0717628705148206</v>
          </cell>
          <cell r="D27">
            <v>1.1090225563909775</v>
          </cell>
          <cell r="E27">
            <v>1.1208053691275168</v>
          </cell>
          <cell r="F27">
            <v>1.1093023255813954</v>
          </cell>
          <cell r="G27">
            <v>1.2272727272727273</v>
          </cell>
        </row>
        <row r="28">
          <cell r="A28">
            <v>35496</v>
          </cell>
          <cell r="B28">
            <v>1.165016501650165</v>
          </cell>
          <cell r="C28">
            <v>1.1216848673946958</v>
          </cell>
          <cell r="D28">
            <v>1.1541353383458646</v>
          </cell>
          <cell r="E28">
            <v>1.2147651006711409</v>
          </cell>
          <cell r="F28">
            <v>1.1511627906976745</v>
          </cell>
          <cell r="G28">
            <v>1.2386363636363635</v>
          </cell>
        </row>
        <row r="29">
          <cell r="A29">
            <v>35499</v>
          </cell>
          <cell r="B29">
            <v>1.165016501650165</v>
          </cell>
          <cell r="C29">
            <v>1.1372854914196568</v>
          </cell>
          <cell r="D29">
            <v>1.1766917293233083</v>
          </cell>
          <cell r="E29">
            <v>1.2348993288590604</v>
          </cell>
          <cell r="F29">
            <v>1.2069767441860466</v>
          </cell>
          <cell r="G29">
            <v>1.3068181818181819</v>
          </cell>
        </row>
        <row r="30">
          <cell r="A30">
            <v>35500</v>
          </cell>
          <cell r="B30">
            <v>1.1452145214521452</v>
          </cell>
          <cell r="C30">
            <v>1.1528861154446177</v>
          </cell>
          <cell r="D30">
            <v>1.1766917293233083</v>
          </cell>
          <cell r="E30">
            <v>1.2348993288590604</v>
          </cell>
          <cell r="F30">
            <v>1.2255813953488373</v>
          </cell>
          <cell r="G30">
            <v>1.2954545454545454</v>
          </cell>
        </row>
        <row r="31">
          <cell r="A31">
            <v>35501</v>
          </cell>
          <cell r="B31">
            <v>1.1386138613861385</v>
          </cell>
          <cell r="C31">
            <v>1.1591263650546022</v>
          </cell>
          <cell r="D31">
            <v>1.1879699248120301</v>
          </cell>
          <cell r="E31">
            <v>1.2214765100671141</v>
          </cell>
          <cell r="F31">
            <v>1.213953488372093</v>
          </cell>
          <cell r="G31">
            <v>1.2954545454545454</v>
          </cell>
        </row>
        <row r="32">
          <cell r="A32">
            <v>35502</v>
          </cell>
          <cell r="B32">
            <v>1.1353135313531353</v>
          </cell>
          <cell r="C32">
            <v>1.1232449297971918</v>
          </cell>
          <cell r="D32">
            <v>1.1766917293233083</v>
          </cell>
          <cell r="E32">
            <v>1.1879194630872483</v>
          </cell>
          <cell r="F32">
            <v>1.1895348837209303</v>
          </cell>
          <cell r="G32">
            <v>1.2954545454545454</v>
          </cell>
        </row>
        <row r="33">
          <cell r="A33">
            <v>35503</v>
          </cell>
          <cell r="B33">
            <v>1.1353135313531353</v>
          </cell>
          <cell r="C33">
            <v>1.1341653666146645</v>
          </cell>
          <cell r="D33">
            <v>1.1691729323308271</v>
          </cell>
          <cell r="E33">
            <v>1.2281879194630871</v>
          </cell>
          <cell r="F33">
            <v>1.1837209302325582</v>
          </cell>
          <cell r="G33">
            <v>1.2954545454545454</v>
          </cell>
        </row>
        <row r="34">
          <cell r="A34">
            <v>35506</v>
          </cell>
          <cell r="B34">
            <v>1.1377887788778878</v>
          </cell>
          <cell r="C34">
            <v>1.1216848673946958</v>
          </cell>
          <cell r="D34">
            <v>1.1541353383458646</v>
          </cell>
          <cell r="E34">
            <v>1.1946308724832215</v>
          </cell>
          <cell r="F34">
            <v>1.1348837209302325</v>
          </cell>
          <cell r="G34">
            <v>1.2954545454545454</v>
          </cell>
        </row>
        <row r="35">
          <cell r="A35">
            <v>35507</v>
          </cell>
          <cell r="B35">
            <v>1.1287128712871286</v>
          </cell>
          <cell r="C35">
            <v>1.1154446177847115</v>
          </cell>
          <cell r="D35">
            <v>1.1428571428571428</v>
          </cell>
          <cell r="E35">
            <v>1.1946308724832215</v>
          </cell>
          <cell r="F35">
            <v>1.1093023255813954</v>
          </cell>
          <cell r="G35">
            <v>1.3068181818181819</v>
          </cell>
        </row>
        <row r="36">
          <cell r="A36">
            <v>35508</v>
          </cell>
          <cell r="B36">
            <v>1.1287128712871286</v>
          </cell>
          <cell r="C36">
            <v>1.0936037441497659</v>
          </cell>
          <cell r="D36">
            <v>1.1466165413533835</v>
          </cell>
          <cell r="E36">
            <v>1.174496644295302</v>
          </cell>
          <cell r="F36">
            <v>1.1232558139534883</v>
          </cell>
          <cell r="G36">
            <v>1.2954545454545454</v>
          </cell>
        </row>
        <row r="37">
          <cell r="A37">
            <v>35509</v>
          </cell>
          <cell r="B37">
            <v>1.1303630363036303</v>
          </cell>
          <cell r="C37">
            <v>1.0998439937597504</v>
          </cell>
          <cell r="D37">
            <v>1.1503759398496241</v>
          </cell>
          <cell r="E37">
            <v>1.1677852348993289</v>
          </cell>
          <cell r="F37">
            <v>1.155813953488372</v>
          </cell>
          <cell r="G37">
            <v>1.2954545454545454</v>
          </cell>
        </row>
        <row r="38">
          <cell r="A38">
            <v>35510</v>
          </cell>
          <cell r="B38">
            <v>1.1221122112211221</v>
          </cell>
          <cell r="C38">
            <v>1.1014040561622465</v>
          </cell>
          <cell r="D38">
            <v>1.1466165413533835</v>
          </cell>
          <cell r="E38">
            <v>1.1812080536912752</v>
          </cell>
          <cell r="F38">
            <v>1.1441860465116278</v>
          </cell>
          <cell r="G38">
            <v>1.2954545454545454</v>
          </cell>
        </row>
        <row r="39">
          <cell r="A39">
            <v>35513</v>
          </cell>
          <cell r="B39">
            <v>1.0965346534653466</v>
          </cell>
          <cell r="C39">
            <v>1.0951638065522622</v>
          </cell>
          <cell r="D39">
            <v>1.1353383458646618</v>
          </cell>
          <cell r="E39">
            <v>1.1677852348993289</v>
          </cell>
          <cell r="F39">
            <v>1.1441860465116278</v>
          </cell>
          <cell r="G39">
            <v>1.2954545454545454</v>
          </cell>
        </row>
        <row r="40">
          <cell r="A40">
            <v>35514</v>
          </cell>
          <cell r="B40">
            <v>1.1221122112211221</v>
          </cell>
          <cell r="C40">
            <v>1.1232449297971918</v>
          </cell>
          <cell r="D40">
            <v>1.131578947368421</v>
          </cell>
          <cell r="E40">
            <v>1.1812080536912752</v>
          </cell>
          <cell r="F40">
            <v>1.1790697674418604</v>
          </cell>
          <cell r="G40">
            <v>1.2954545454545454</v>
          </cell>
        </row>
        <row r="41">
          <cell r="A41">
            <v>35515</v>
          </cell>
          <cell r="B41">
            <v>1.1435643564356435</v>
          </cell>
          <cell r="C41">
            <v>1.1185647425897036</v>
          </cell>
          <cell r="D41">
            <v>1.112781954887218</v>
          </cell>
          <cell r="E41">
            <v>1.2013422818791946</v>
          </cell>
          <cell r="F41">
            <v>1.1697674418604651</v>
          </cell>
          <cell r="G41">
            <v>1.2954545454545454</v>
          </cell>
        </row>
        <row r="42">
          <cell r="A42">
            <v>35516</v>
          </cell>
          <cell r="B42">
            <v>1.141914191419142</v>
          </cell>
          <cell r="C42">
            <v>1.0904836193447738</v>
          </cell>
          <cell r="D42">
            <v>1.1052631578947369</v>
          </cell>
          <cell r="E42">
            <v>1.174496644295302</v>
          </cell>
          <cell r="F42">
            <v>1.1372093023255814</v>
          </cell>
          <cell r="G42">
            <v>1.2954545454545454</v>
          </cell>
        </row>
        <row r="43">
          <cell r="A43">
            <v>35517</v>
          </cell>
          <cell r="B43">
            <v>1.141914191419142</v>
          </cell>
          <cell r="C43">
            <v>1.0904836193447738</v>
          </cell>
          <cell r="D43">
            <v>1.1052631578947369</v>
          </cell>
          <cell r="E43">
            <v>1.174496644295302</v>
          </cell>
          <cell r="F43">
            <v>1.1372093023255814</v>
          </cell>
          <cell r="G43">
            <v>1.2954545454545454</v>
          </cell>
        </row>
        <row r="44">
          <cell r="A44">
            <v>35520</v>
          </cell>
          <cell r="B44">
            <v>1.1386138613861385</v>
          </cell>
          <cell r="C44">
            <v>1.0717628705148206</v>
          </cell>
          <cell r="D44">
            <v>1.0977443609022557</v>
          </cell>
          <cell r="E44">
            <v>1.1812080536912752</v>
          </cell>
          <cell r="F44">
            <v>1.0906976744186045</v>
          </cell>
          <cell r="G44">
            <v>1.2954545454545454</v>
          </cell>
        </row>
        <row r="45">
          <cell r="A45">
            <v>35521</v>
          </cell>
          <cell r="B45">
            <v>1.1056105610561056</v>
          </cell>
          <cell r="C45">
            <v>1.0748829953198127</v>
          </cell>
          <cell r="D45">
            <v>1.1090225563909775</v>
          </cell>
          <cell r="E45">
            <v>1.1342281879194631</v>
          </cell>
          <cell r="F45">
            <v>1.0604651162790697</v>
          </cell>
          <cell r="G45">
            <v>1.2954545454545454</v>
          </cell>
        </row>
        <row r="46">
          <cell r="A46">
            <v>35522</v>
          </cell>
          <cell r="B46">
            <v>1.0973597359735974</v>
          </cell>
          <cell r="C46">
            <v>1.0748829953198127</v>
          </cell>
          <cell r="D46">
            <v>0.84586466165413532</v>
          </cell>
          <cell r="E46">
            <v>1.1140939597315436</v>
          </cell>
          <cell r="F46">
            <v>1.0511627906976744</v>
          </cell>
          <cell r="G46">
            <v>1.2954545454545454</v>
          </cell>
        </row>
        <row r="47">
          <cell r="A47">
            <v>35523</v>
          </cell>
          <cell r="B47">
            <v>1.0957095709570956</v>
          </cell>
          <cell r="C47">
            <v>1.0842433697347893</v>
          </cell>
          <cell r="D47">
            <v>0.82330827067669177</v>
          </cell>
          <cell r="E47">
            <v>1.1342281879194631</v>
          </cell>
          <cell r="F47">
            <v>1.0813953488372092</v>
          </cell>
          <cell r="G47">
            <v>1.2840909090909092</v>
          </cell>
        </row>
        <row r="48">
          <cell r="A48">
            <v>35524</v>
          </cell>
          <cell r="B48">
            <v>1.1023102310231023</v>
          </cell>
          <cell r="C48">
            <v>1.076443057722309</v>
          </cell>
          <cell r="D48">
            <v>0.83082706766917291</v>
          </cell>
          <cell r="E48">
            <v>1.1342281879194631</v>
          </cell>
          <cell r="F48">
            <v>1.0790697674418606</v>
          </cell>
          <cell r="G48">
            <v>1.2954545454545454</v>
          </cell>
        </row>
        <row r="49">
          <cell r="A49">
            <v>35527</v>
          </cell>
          <cell r="B49">
            <v>1.0907590759075907</v>
          </cell>
          <cell r="C49">
            <v>1.0670826833073324</v>
          </cell>
          <cell r="D49">
            <v>0.82706766917293228</v>
          </cell>
          <cell r="E49">
            <v>1.1677852348993289</v>
          </cell>
          <cell r="F49">
            <v>1.1093023255813954</v>
          </cell>
          <cell r="G49">
            <v>1.2954545454545454</v>
          </cell>
        </row>
        <row r="50">
          <cell r="A50">
            <v>35528</v>
          </cell>
          <cell r="B50">
            <v>1.0907590759075907</v>
          </cell>
          <cell r="C50">
            <v>1.0686427457098284</v>
          </cell>
          <cell r="D50">
            <v>0.81578947368421051</v>
          </cell>
          <cell r="E50">
            <v>1.1610738255033557</v>
          </cell>
          <cell r="F50">
            <v>1.1418604651162791</v>
          </cell>
          <cell r="G50">
            <v>1.2840909090909092</v>
          </cell>
        </row>
        <row r="51">
          <cell r="A51">
            <v>35529</v>
          </cell>
          <cell r="B51">
            <v>1.0874587458745875</v>
          </cell>
          <cell r="C51">
            <v>1.0655226209048363</v>
          </cell>
          <cell r="D51">
            <v>0.83834586466165417</v>
          </cell>
          <cell r="E51">
            <v>1.1208053691275168</v>
          </cell>
          <cell r="F51">
            <v>1.1744186046511629</v>
          </cell>
          <cell r="G51">
            <v>1.3068181818181819</v>
          </cell>
        </row>
        <row r="52">
          <cell r="A52">
            <v>35530</v>
          </cell>
          <cell r="B52">
            <v>1.0891089108910892</v>
          </cell>
          <cell r="C52">
            <v>1.076443057722309</v>
          </cell>
          <cell r="D52">
            <v>0.83458646616541354</v>
          </cell>
          <cell r="E52">
            <v>1.1409395973154361</v>
          </cell>
          <cell r="F52">
            <v>1.1976744186046511</v>
          </cell>
          <cell r="G52">
            <v>1.2954545454545454</v>
          </cell>
        </row>
        <row r="53">
          <cell r="A53">
            <v>35531</v>
          </cell>
          <cell r="B53">
            <v>1.0577557755775577</v>
          </cell>
          <cell r="C53">
            <v>1.0436817472698907</v>
          </cell>
          <cell r="D53">
            <v>0.81203007518796988</v>
          </cell>
          <cell r="E53">
            <v>1.1140939597315436</v>
          </cell>
          <cell r="F53">
            <v>1.1232558139534883</v>
          </cell>
          <cell r="G53">
            <v>1.2840909090909092</v>
          </cell>
        </row>
        <row r="54">
          <cell r="A54">
            <v>35534</v>
          </cell>
          <cell r="B54">
            <v>1.0379537953795379</v>
          </cell>
          <cell r="C54">
            <v>1.0748829953198127</v>
          </cell>
          <cell r="D54">
            <v>0.82330827067669177</v>
          </cell>
          <cell r="E54">
            <v>1.1275167785234899</v>
          </cell>
          <cell r="F54">
            <v>1.1534883720930234</v>
          </cell>
          <cell r="G54">
            <v>1.2727272727272727</v>
          </cell>
        </row>
        <row r="55">
          <cell r="A55">
            <v>35535</v>
          </cell>
          <cell r="B55">
            <v>1.0742574257425743</v>
          </cell>
          <cell r="C55">
            <v>1.1045241809672386</v>
          </cell>
          <cell r="D55">
            <v>0.84586466165413532</v>
          </cell>
          <cell r="E55">
            <v>1.1476510067114094</v>
          </cell>
          <cell r="F55">
            <v>1.1767441860465115</v>
          </cell>
          <cell r="G55">
            <v>1.2727272727272727</v>
          </cell>
        </row>
        <row r="56">
          <cell r="A56">
            <v>35536</v>
          </cell>
          <cell r="B56">
            <v>1.1039603960396041</v>
          </cell>
          <cell r="C56">
            <v>1.1201248049921997</v>
          </cell>
          <cell r="D56">
            <v>0.86466165413533835</v>
          </cell>
          <cell r="E56">
            <v>1.1476510067114094</v>
          </cell>
          <cell r="F56">
            <v>1.1476744186046512</v>
          </cell>
          <cell r="G56">
            <v>1.2840909090909092</v>
          </cell>
        </row>
        <row r="57">
          <cell r="A57">
            <v>35537</v>
          </cell>
          <cell r="B57">
            <v>1.0990099009900991</v>
          </cell>
          <cell r="C57">
            <v>1.0982839313572543</v>
          </cell>
          <cell r="D57">
            <v>0.84962406015037595</v>
          </cell>
          <cell r="E57">
            <v>1.1409395973154361</v>
          </cell>
          <cell r="F57">
            <v>1.1627906976744187</v>
          </cell>
          <cell r="G57">
            <v>1.2840909090909092</v>
          </cell>
        </row>
        <row r="58">
          <cell r="A58">
            <v>35538</v>
          </cell>
          <cell r="B58">
            <v>1.0577557755775577</v>
          </cell>
          <cell r="C58">
            <v>1.0717628705148206</v>
          </cell>
          <cell r="D58">
            <v>0.80451127819548873</v>
          </cell>
          <cell r="E58">
            <v>1.080536912751678</v>
          </cell>
          <cell r="F58">
            <v>1.1232558139534883</v>
          </cell>
          <cell r="G58">
            <v>1.2840909090909092</v>
          </cell>
        </row>
        <row r="59">
          <cell r="A59">
            <v>35541</v>
          </cell>
          <cell r="B59">
            <v>1.0445544554455446</v>
          </cell>
          <cell r="C59">
            <v>1.0624024960998439</v>
          </cell>
          <cell r="D59">
            <v>0.77819548872180455</v>
          </cell>
          <cell r="E59">
            <v>1.0939597315436242</v>
          </cell>
          <cell r="F59">
            <v>1.1232558139534883</v>
          </cell>
          <cell r="G59">
            <v>1.2727272727272727</v>
          </cell>
        </row>
        <row r="60">
          <cell r="A60">
            <v>35542</v>
          </cell>
          <cell r="B60">
            <v>1.0297029702970297</v>
          </cell>
          <cell r="C60">
            <v>1.0702028081123245</v>
          </cell>
          <cell r="D60">
            <v>0.76691729323308266</v>
          </cell>
          <cell r="E60">
            <v>1.1073825503355705</v>
          </cell>
          <cell r="F60">
            <v>1.1418604651162791</v>
          </cell>
          <cell r="G60">
            <v>1.2727272727272727</v>
          </cell>
        </row>
        <row r="61">
          <cell r="A61">
            <v>35543</v>
          </cell>
          <cell r="B61">
            <v>1.0148514851485149</v>
          </cell>
          <cell r="C61">
            <v>1.0686427457098284</v>
          </cell>
          <cell r="D61">
            <v>0.75563909774436089</v>
          </cell>
          <cell r="E61">
            <v>1.1208053691275168</v>
          </cell>
          <cell r="F61">
            <v>1.1488372093023256</v>
          </cell>
          <cell r="G61">
            <v>1.2727272727272727</v>
          </cell>
        </row>
        <row r="62">
          <cell r="A62">
            <v>35544</v>
          </cell>
          <cell r="B62">
            <v>1.0198019801980198</v>
          </cell>
          <cell r="C62">
            <v>1.0530421216848673</v>
          </cell>
          <cell r="D62">
            <v>0.75939849624060152</v>
          </cell>
          <cell r="E62">
            <v>1.080536912751678</v>
          </cell>
          <cell r="F62">
            <v>1.1395348837209303</v>
          </cell>
          <cell r="G62">
            <v>1.2727272727272727</v>
          </cell>
        </row>
        <row r="63">
          <cell r="A63">
            <v>35545</v>
          </cell>
          <cell r="B63">
            <v>1.0156765676567656</v>
          </cell>
          <cell r="C63">
            <v>1.0483619344773791</v>
          </cell>
          <cell r="D63">
            <v>0.74060150375939848</v>
          </cell>
          <cell r="E63">
            <v>1.0939597315436242</v>
          </cell>
          <cell r="F63">
            <v>1.1046511627906976</v>
          </cell>
          <cell r="G63">
            <v>1.2727272727272727</v>
          </cell>
        </row>
        <row r="64">
          <cell r="A64">
            <v>35548</v>
          </cell>
          <cell r="B64">
            <v>1.0099009900990099</v>
          </cell>
          <cell r="C64">
            <v>1.0468018720748831</v>
          </cell>
          <cell r="D64">
            <v>0.73308270676691734</v>
          </cell>
          <cell r="E64">
            <v>1.087248322147651</v>
          </cell>
          <cell r="F64">
            <v>1.0976744186046512</v>
          </cell>
          <cell r="G64">
            <v>1.2613636363636365</v>
          </cell>
        </row>
        <row r="65">
          <cell r="A65">
            <v>35549</v>
          </cell>
          <cell r="B65">
            <v>1.033003300330033</v>
          </cell>
          <cell r="C65">
            <v>1.1185647425897036</v>
          </cell>
          <cell r="D65">
            <v>0.77067669172932329</v>
          </cell>
          <cell r="E65">
            <v>1.1543624161073827</v>
          </cell>
          <cell r="F65">
            <v>1.1674418604651162</v>
          </cell>
          <cell r="G65">
            <v>1.2613636363636365</v>
          </cell>
        </row>
        <row r="66">
          <cell r="A66">
            <v>35550</v>
          </cell>
          <cell r="B66">
            <v>1.0594059405940595</v>
          </cell>
          <cell r="C66">
            <v>1.1372854914196568</v>
          </cell>
          <cell r="D66">
            <v>0.81203007518796988</v>
          </cell>
          <cell r="E66">
            <v>1.1677852348993289</v>
          </cell>
          <cell r="F66">
            <v>1.2255813953488373</v>
          </cell>
          <cell r="G66">
            <v>1.2613636363636365</v>
          </cell>
        </row>
        <row r="67">
          <cell r="A67">
            <v>35551</v>
          </cell>
          <cell r="B67">
            <v>1.0148514851485149</v>
          </cell>
          <cell r="C67">
            <v>1.1216848673946958</v>
          </cell>
          <cell r="D67">
            <v>0.80451127819548873</v>
          </cell>
          <cell r="E67">
            <v>1.1610738255033557</v>
          </cell>
          <cell r="F67">
            <v>1.213953488372093</v>
          </cell>
          <cell r="G67">
            <v>1.2727272727272727</v>
          </cell>
        </row>
        <row r="68">
          <cell r="A68">
            <v>35552</v>
          </cell>
          <cell r="B68">
            <v>1.0181518151815181</v>
          </cell>
          <cell r="C68">
            <v>1.1216848673946958</v>
          </cell>
          <cell r="D68">
            <v>0.82330827067669177</v>
          </cell>
          <cell r="E68">
            <v>1.174496644295302</v>
          </cell>
          <cell r="F68">
            <v>1.2720930232558139</v>
          </cell>
          <cell r="G68">
            <v>1.2727272727272727</v>
          </cell>
        </row>
        <row r="69">
          <cell r="A69">
            <v>35555</v>
          </cell>
          <cell r="B69">
            <v>1.0396039603960396</v>
          </cell>
          <cell r="C69">
            <v>1.1310452418096724</v>
          </cell>
          <cell r="D69">
            <v>0.83458646616541354</v>
          </cell>
          <cell r="E69">
            <v>1.1543624161073827</v>
          </cell>
          <cell r="F69">
            <v>1.2</v>
          </cell>
          <cell r="G69">
            <v>1.2954545454545454</v>
          </cell>
        </row>
        <row r="70">
          <cell r="A70">
            <v>35556</v>
          </cell>
          <cell r="B70">
            <v>1.056930693069307</v>
          </cell>
          <cell r="C70">
            <v>1.1965678627145087</v>
          </cell>
          <cell r="D70">
            <v>0.81203007518796988</v>
          </cell>
          <cell r="E70">
            <v>1.1543624161073827</v>
          </cell>
          <cell r="F70">
            <v>1.2441860465116279</v>
          </cell>
          <cell r="G70">
            <v>1.2727272727272727</v>
          </cell>
        </row>
        <row r="71">
          <cell r="A71">
            <v>35557</v>
          </cell>
          <cell r="B71">
            <v>1.0627062706270627</v>
          </cell>
          <cell r="C71">
            <v>1.2059282371294853</v>
          </cell>
          <cell r="D71">
            <v>0.81203007518796988</v>
          </cell>
          <cell r="E71">
            <v>1.1610738255033557</v>
          </cell>
          <cell r="F71">
            <v>1.2511627906976743</v>
          </cell>
          <cell r="G71">
            <v>1.2840909090909092</v>
          </cell>
        </row>
        <row r="72">
          <cell r="A72">
            <v>35558</v>
          </cell>
          <cell r="B72">
            <v>1.0412541254125414</v>
          </cell>
          <cell r="C72">
            <v>1.2246489859594383</v>
          </cell>
          <cell r="D72">
            <v>0.80451127819548873</v>
          </cell>
          <cell r="E72">
            <v>1.1476510067114094</v>
          </cell>
          <cell r="F72">
            <v>1.2279069767441861</v>
          </cell>
          <cell r="G72">
            <v>1.2727272727272727</v>
          </cell>
        </row>
        <row r="73">
          <cell r="A73">
            <v>35559</v>
          </cell>
          <cell r="B73">
            <v>1.028052805280528</v>
          </cell>
          <cell r="C73">
            <v>1.2293291731669267</v>
          </cell>
          <cell r="D73">
            <v>0.81578947368421051</v>
          </cell>
          <cell r="E73">
            <v>1.1409395973154361</v>
          </cell>
          <cell r="F73">
            <v>1.2069767441860466</v>
          </cell>
          <cell r="G73">
            <v>1.2840909090909092</v>
          </cell>
        </row>
        <row r="74">
          <cell r="A74">
            <v>35562</v>
          </cell>
          <cell r="B74">
            <v>1.033003300330033</v>
          </cell>
          <cell r="C74">
            <v>1.2402496099843994</v>
          </cell>
          <cell r="D74">
            <v>0.83834586466165417</v>
          </cell>
          <cell r="E74">
            <v>1.174496644295302</v>
          </cell>
          <cell r="F74">
            <v>1.2279069767441861</v>
          </cell>
          <cell r="G74">
            <v>1.2840909090909092</v>
          </cell>
        </row>
        <row r="75">
          <cell r="A75">
            <v>35563</v>
          </cell>
          <cell r="B75">
            <v>0.98844884488448848</v>
          </cell>
          <cell r="C75">
            <v>1.2308892355694228</v>
          </cell>
          <cell r="D75">
            <v>0.83458646616541354</v>
          </cell>
          <cell r="E75">
            <v>1.2013422818791946</v>
          </cell>
          <cell r="F75">
            <v>1.2127906976744185</v>
          </cell>
          <cell r="G75">
            <v>1.2840909090909092</v>
          </cell>
        </row>
        <row r="76">
          <cell r="A76">
            <v>35564</v>
          </cell>
          <cell r="B76">
            <v>0.95379537953795379</v>
          </cell>
          <cell r="C76">
            <v>1.218408736349454</v>
          </cell>
          <cell r="D76">
            <v>0.83458646616541354</v>
          </cell>
          <cell r="E76">
            <v>1.1543624161073827</v>
          </cell>
          <cell r="F76">
            <v>1.1883720930232557</v>
          </cell>
          <cell r="G76">
            <v>1.2727272727272727</v>
          </cell>
        </row>
        <row r="77">
          <cell r="A77">
            <v>35565</v>
          </cell>
          <cell r="B77">
            <v>0.96039603960396036</v>
          </cell>
          <cell r="C77">
            <v>1.2090483619344774</v>
          </cell>
          <cell r="D77">
            <v>0.83834586466165417</v>
          </cell>
          <cell r="E77">
            <v>1.1610738255033557</v>
          </cell>
          <cell r="F77">
            <v>1.1744186046511629</v>
          </cell>
          <cell r="G77">
            <v>1.2840909090909092</v>
          </cell>
        </row>
        <row r="78">
          <cell r="A78">
            <v>35566</v>
          </cell>
          <cell r="B78">
            <v>0.97029702970297027</v>
          </cell>
          <cell r="C78">
            <v>1.1825273010920436</v>
          </cell>
          <cell r="D78">
            <v>0.83834586466165417</v>
          </cell>
          <cell r="E78">
            <v>1.1409395973154361</v>
          </cell>
          <cell r="F78">
            <v>1.1790697674418604</v>
          </cell>
          <cell r="G78">
            <v>1.2840909090909092</v>
          </cell>
        </row>
        <row r="79">
          <cell r="A79">
            <v>35569</v>
          </cell>
          <cell r="B79">
            <v>0.97854785478547857</v>
          </cell>
          <cell r="C79">
            <v>1.204368174726989</v>
          </cell>
          <cell r="D79">
            <v>0.84210526315789469</v>
          </cell>
          <cell r="E79">
            <v>1.1610738255033557</v>
          </cell>
          <cell r="F79">
            <v>1.2186046511627906</v>
          </cell>
          <cell r="G79">
            <v>1.2840909090909092</v>
          </cell>
        </row>
        <row r="80">
          <cell r="A80">
            <v>35570</v>
          </cell>
          <cell r="B80">
            <v>0.98679867986798675</v>
          </cell>
          <cell r="C80">
            <v>1.204368174726989</v>
          </cell>
          <cell r="D80">
            <v>0.83834586466165417</v>
          </cell>
          <cell r="E80">
            <v>1.1677852348993289</v>
          </cell>
          <cell r="F80">
            <v>1.2488372093023257</v>
          </cell>
          <cell r="G80">
            <v>1.2840909090909092</v>
          </cell>
        </row>
        <row r="81">
          <cell r="A81">
            <v>35571</v>
          </cell>
          <cell r="B81">
            <v>0.98514851485148514</v>
          </cell>
          <cell r="C81">
            <v>1.1778471138845554</v>
          </cell>
          <cell r="D81">
            <v>0.84586466165413532</v>
          </cell>
          <cell r="E81">
            <v>1.1409395973154361</v>
          </cell>
          <cell r="F81">
            <v>1.2244186046511627</v>
          </cell>
          <cell r="G81">
            <v>1.2840909090909092</v>
          </cell>
        </row>
        <row r="82">
          <cell r="A82">
            <v>35572</v>
          </cell>
          <cell r="B82">
            <v>1.0148514851485149</v>
          </cell>
          <cell r="C82">
            <v>1.1825273010920436</v>
          </cell>
          <cell r="D82">
            <v>0.84962406015037595</v>
          </cell>
          <cell r="E82">
            <v>1.1342281879194631</v>
          </cell>
          <cell r="F82">
            <v>1.2116279069767442</v>
          </cell>
          <cell r="G82">
            <v>1.3068181818181819</v>
          </cell>
        </row>
        <row r="83">
          <cell r="A83">
            <v>35573</v>
          </cell>
          <cell r="B83">
            <v>1.0066006600660067</v>
          </cell>
          <cell r="C83">
            <v>1.1887675507020281</v>
          </cell>
          <cell r="D83">
            <v>0.8571428571428571</v>
          </cell>
          <cell r="E83">
            <v>1.1677852348993289</v>
          </cell>
          <cell r="F83">
            <v>1.2116279069767442</v>
          </cell>
          <cell r="G83">
            <v>1.2954545454545454</v>
          </cell>
        </row>
        <row r="84">
          <cell r="A84">
            <v>35576</v>
          </cell>
          <cell r="B84">
            <v>1.0066006600660067</v>
          </cell>
          <cell r="C84">
            <v>1.1887675507020281</v>
          </cell>
          <cell r="D84">
            <v>0.8571428571428571</v>
          </cell>
          <cell r="E84">
            <v>1.1677852348993289</v>
          </cell>
          <cell r="F84">
            <v>1.2116279069767442</v>
          </cell>
          <cell r="G84">
            <v>1.2954545454545454</v>
          </cell>
        </row>
        <row r="85">
          <cell r="A85">
            <v>35577</v>
          </cell>
          <cell r="B85">
            <v>1.0066006600660067</v>
          </cell>
          <cell r="C85">
            <v>1.1903276131045242</v>
          </cell>
          <cell r="D85">
            <v>0.8721804511278195</v>
          </cell>
          <cell r="E85">
            <v>1.1543624161073827</v>
          </cell>
          <cell r="F85">
            <v>1.2232558139534884</v>
          </cell>
          <cell r="G85">
            <v>1.3068181818181819</v>
          </cell>
        </row>
        <row r="86">
          <cell r="A86">
            <v>35578</v>
          </cell>
          <cell r="B86">
            <v>1.0066006600660067</v>
          </cell>
          <cell r="C86">
            <v>1.1825273010920436</v>
          </cell>
          <cell r="D86">
            <v>0.88345864661654139</v>
          </cell>
          <cell r="E86">
            <v>1.1342281879194631</v>
          </cell>
          <cell r="F86">
            <v>1.2093023255813953</v>
          </cell>
          <cell r="G86">
            <v>1.3068181818181819</v>
          </cell>
        </row>
        <row r="87">
          <cell r="A87">
            <v>35579</v>
          </cell>
          <cell r="B87">
            <v>1.0297029702970297</v>
          </cell>
          <cell r="C87">
            <v>1.1965678627145087</v>
          </cell>
          <cell r="D87">
            <v>0.86842105263157898</v>
          </cell>
          <cell r="E87">
            <v>1.1543624161073827</v>
          </cell>
          <cell r="F87">
            <v>1.2116279069767442</v>
          </cell>
          <cell r="G87">
            <v>1.3068181818181819</v>
          </cell>
        </row>
        <row r="88">
          <cell r="A88">
            <v>35580</v>
          </cell>
          <cell r="B88">
            <v>1.0462046204620461</v>
          </cell>
          <cell r="C88">
            <v>1.2605304212168487</v>
          </cell>
          <cell r="D88">
            <v>0.89849624060150379</v>
          </cell>
          <cell r="E88">
            <v>1.2214765100671141</v>
          </cell>
          <cell r="F88">
            <v>1.3116279069767443</v>
          </cell>
          <cell r="G88">
            <v>1.3181818181818181</v>
          </cell>
        </row>
        <row r="89">
          <cell r="A89">
            <v>35583</v>
          </cell>
          <cell r="B89">
            <v>1.0511551155115511</v>
          </cell>
          <cell r="C89">
            <v>1.2480499219968799</v>
          </cell>
          <cell r="D89">
            <v>0.90225563909774431</v>
          </cell>
          <cell r="E89">
            <v>1.2483221476510067</v>
          </cell>
          <cell r="F89">
            <v>1.344186046511628</v>
          </cell>
          <cell r="G89">
            <v>1.3068181818181819</v>
          </cell>
        </row>
        <row r="90">
          <cell r="A90">
            <v>35584</v>
          </cell>
          <cell r="B90">
            <v>1.056105610561056</v>
          </cell>
          <cell r="C90">
            <v>1.2371294851794072</v>
          </cell>
          <cell r="D90">
            <v>0.92481203007518797</v>
          </cell>
          <cell r="E90">
            <v>1.2684563758389262</v>
          </cell>
          <cell r="F90">
            <v>1.35</v>
          </cell>
          <cell r="G90">
            <v>1.3068181818181819</v>
          </cell>
        </row>
        <row r="91">
          <cell r="A91">
            <v>35585</v>
          </cell>
          <cell r="B91">
            <v>1.0833333333333333</v>
          </cell>
          <cell r="C91">
            <v>1.2605304212168487</v>
          </cell>
          <cell r="D91">
            <v>0.9135338345864662</v>
          </cell>
          <cell r="E91">
            <v>1.2483221476510067</v>
          </cell>
          <cell r="F91">
            <v>1.3779069767441861</v>
          </cell>
          <cell r="G91">
            <v>1.3181818181818181</v>
          </cell>
        </row>
        <row r="92">
          <cell r="A92">
            <v>35586</v>
          </cell>
          <cell r="B92">
            <v>1.0891089108910892</v>
          </cell>
          <cell r="C92">
            <v>1.2854914196567864</v>
          </cell>
          <cell r="D92">
            <v>0.90977443609022557</v>
          </cell>
          <cell r="E92">
            <v>1.2550335570469799</v>
          </cell>
          <cell r="F92">
            <v>1.3395348837209302</v>
          </cell>
          <cell r="G92">
            <v>1.3068181818181819</v>
          </cell>
        </row>
        <row r="93">
          <cell r="A93">
            <v>35587</v>
          </cell>
          <cell r="B93">
            <v>1.0726072607260726</v>
          </cell>
          <cell r="C93">
            <v>1.313572542901716</v>
          </cell>
          <cell r="D93">
            <v>0.93233082706766912</v>
          </cell>
          <cell r="E93">
            <v>1.2416107382550337</v>
          </cell>
          <cell r="F93">
            <v>1.3162790697674418</v>
          </cell>
          <cell r="G93">
            <v>1.3068181818181819</v>
          </cell>
        </row>
        <row r="94">
          <cell r="A94">
            <v>35590</v>
          </cell>
          <cell r="B94">
            <v>1.0874587458745875</v>
          </cell>
          <cell r="C94">
            <v>1.3494539781591264</v>
          </cell>
          <cell r="D94">
            <v>0.94360902255639101</v>
          </cell>
          <cell r="E94">
            <v>1.2818791946308725</v>
          </cell>
          <cell r="F94">
            <v>1.3523255813953488</v>
          </cell>
          <cell r="G94">
            <v>1.3068181818181819</v>
          </cell>
        </row>
        <row r="95">
          <cell r="A95">
            <v>35591</v>
          </cell>
          <cell r="B95">
            <v>1.0808580858085808</v>
          </cell>
          <cell r="C95">
            <v>1.3416536661466458</v>
          </cell>
          <cell r="D95">
            <v>0.96240601503759393</v>
          </cell>
          <cell r="E95">
            <v>1.3020134228187918</v>
          </cell>
          <cell r="F95">
            <v>1.3383720930232559</v>
          </cell>
          <cell r="G95">
            <v>1.3295454545454546</v>
          </cell>
        </row>
        <row r="96">
          <cell r="A96">
            <v>35592</v>
          </cell>
          <cell r="B96">
            <v>1.1105610561056105</v>
          </cell>
          <cell r="C96">
            <v>1.3541341653666146</v>
          </cell>
          <cell r="D96">
            <v>0.98496240601503759</v>
          </cell>
          <cell r="E96">
            <v>1.2953020134228188</v>
          </cell>
          <cell r="F96">
            <v>1.3395348837209302</v>
          </cell>
          <cell r="G96">
            <v>1.3181818181818181</v>
          </cell>
        </row>
        <row r="97">
          <cell r="A97">
            <v>35593</v>
          </cell>
          <cell r="B97">
            <v>1.1468646864686469</v>
          </cell>
          <cell r="C97">
            <v>1.3884555382215289</v>
          </cell>
          <cell r="D97">
            <v>0.96992481203007519</v>
          </cell>
          <cell r="E97">
            <v>1.2818791946308725</v>
          </cell>
          <cell r="F97">
            <v>1.3209302325581396</v>
          </cell>
          <cell r="G97">
            <v>1.3181818181818181</v>
          </cell>
        </row>
        <row r="98">
          <cell r="A98">
            <v>35594</v>
          </cell>
          <cell r="B98">
            <v>1.1534653465346534</v>
          </cell>
          <cell r="C98">
            <v>1.4071762870514821</v>
          </cell>
          <cell r="D98">
            <v>0.97744360902255634</v>
          </cell>
          <cell r="E98">
            <v>1.3020134228187918</v>
          </cell>
          <cell r="F98">
            <v>1.3186046511627907</v>
          </cell>
          <cell r="G98">
            <v>1.3181818181818181</v>
          </cell>
        </row>
        <row r="99">
          <cell r="A99">
            <v>35597</v>
          </cell>
          <cell r="B99">
            <v>1.136138613861386</v>
          </cell>
          <cell r="C99">
            <v>1.3666146645865835</v>
          </cell>
          <cell r="D99">
            <v>0.96240601503759393</v>
          </cell>
          <cell r="E99">
            <v>1.2751677852348993</v>
          </cell>
          <cell r="F99">
            <v>1.2872093023255815</v>
          </cell>
          <cell r="G99">
            <v>1.3181818181818181</v>
          </cell>
        </row>
        <row r="100">
          <cell r="A100">
            <v>35598</v>
          </cell>
          <cell r="B100">
            <v>1.1303630363036303</v>
          </cell>
          <cell r="C100">
            <v>1.3650546021840875</v>
          </cell>
          <cell r="D100">
            <v>0.93984962406015038</v>
          </cell>
          <cell r="E100">
            <v>1.2818791946308725</v>
          </cell>
          <cell r="F100">
            <v>1.286046511627907</v>
          </cell>
          <cell r="G100">
            <v>1.3181818181818181</v>
          </cell>
        </row>
        <row r="101">
          <cell r="A101">
            <v>35599</v>
          </cell>
          <cell r="B101">
            <v>1.0973597359735974</v>
          </cell>
          <cell r="C101">
            <v>1.3338533541341653</v>
          </cell>
          <cell r="D101">
            <v>0.94360902255639101</v>
          </cell>
          <cell r="E101">
            <v>1.2751677852348993</v>
          </cell>
          <cell r="F101">
            <v>1.2790697674418605</v>
          </cell>
          <cell r="G101">
            <v>1.3181818181818181</v>
          </cell>
        </row>
        <row r="102">
          <cell r="A102">
            <v>35600</v>
          </cell>
          <cell r="B102">
            <v>1.1171617161716172</v>
          </cell>
          <cell r="C102">
            <v>1.3634945397815912</v>
          </cell>
          <cell r="D102">
            <v>0.97744360902255634</v>
          </cell>
          <cell r="E102">
            <v>1.2885906040268456</v>
          </cell>
          <cell r="F102">
            <v>1.3813953488372093</v>
          </cell>
          <cell r="G102">
            <v>1.3295454545454546</v>
          </cell>
        </row>
        <row r="103">
          <cell r="A103">
            <v>35601</v>
          </cell>
          <cell r="B103">
            <v>1.1320132013201321</v>
          </cell>
          <cell r="C103">
            <v>1.3494539781591264</v>
          </cell>
          <cell r="D103">
            <v>0.98496240601503759</v>
          </cell>
          <cell r="E103">
            <v>1.2751677852348993</v>
          </cell>
          <cell r="F103">
            <v>1.3651162790697675</v>
          </cell>
          <cell r="G103">
            <v>1.3295454545454546</v>
          </cell>
        </row>
        <row r="104">
          <cell r="A104">
            <v>35604</v>
          </cell>
          <cell r="B104">
            <v>1.1287128712871286</v>
          </cell>
          <cell r="C104">
            <v>1.3354134165366616</v>
          </cell>
          <cell r="D104">
            <v>0.97368421052631582</v>
          </cell>
          <cell r="E104">
            <v>1.2550335570469799</v>
          </cell>
          <cell r="F104">
            <v>1.3616279069767443</v>
          </cell>
          <cell r="G104">
            <v>1.3295454545454546</v>
          </cell>
        </row>
        <row r="105">
          <cell r="A105">
            <v>35605</v>
          </cell>
          <cell r="B105">
            <v>0.88118811881188119</v>
          </cell>
          <cell r="C105">
            <v>1.3494539781591264</v>
          </cell>
          <cell r="D105">
            <v>0.94736842105263153</v>
          </cell>
          <cell r="E105">
            <v>1.2483221476510067</v>
          </cell>
          <cell r="F105">
            <v>1.3651162790697675</v>
          </cell>
          <cell r="G105">
            <v>1.3295454545454546</v>
          </cell>
        </row>
        <row r="106">
          <cell r="A106">
            <v>35606</v>
          </cell>
          <cell r="B106">
            <v>0.92409240924092406</v>
          </cell>
          <cell r="C106">
            <v>1.3361934477379096</v>
          </cell>
          <cell r="D106">
            <v>0.94360902255639101</v>
          </cell>
          <cell r="E106">
            <v>1.2449664429530201</v>
          </cell>
          <cell r="F106">
            <v>1.3813953488372093</v>
          </cell>
          <cell r="G106">
            <v>1.3295454545454546</v>
          </cell>
        </row>
        <row r="107">
          <cell r="A107">
            <v>35607</v>
          </cell>
          <cell r="B107">
            <v>0.91171617161716167</v>
          </cell>
          <cell r="C107">
            <v>1.3299531981279251</v>
          </cell>
          <cell r="D107">
            <v>0.93609022556390975</v>
          </cell>
          <cell r="E107">
            <v>1.2315436241610738</v>
          </cell>
          <cell r="F107">
            <v>1.3744186046511628</v>
          </cell>
          <cell r="G107">
            <v>1.3238636363636365</v>
          </cell>
        </row>
        <row r="108">
          <cell r="A108">
            <v>35608</v>
          </cell>
          <cell r="B108">
            <v>0.83003300330033003</v>
          </cell>
          <cell r="C108">
            <v>1.2971918876755071</v>
          </cell>
          <cell r="D108">
            <v>0.93984962406015038</v>
          </cell>
          <cell r="E108">
            <v>1.2281879194630871</v>
          </cell>
          <cell r="F108">
            <v>1.3581395348837209</v>
          </cell>
          <cell r="G108">
            <v>1.3295454545454546</v>
          </cell>
        </row>
        <row r="109">
          <cell r="A109">
            <v>35611</v>
          </cell>
          <cell r="B109">
            <v>0.84323432343234328</v>
          </cell>
          <cell r="C109">
            <v>1.2776911076443058</v>
          </cell>
          <cell r="D109">
            <v>0.91165413533834583</v>
          </cell>
          <cell r="E109">
            <v>1.2416107382550337</v>
          </cell>
          <cell r="F109">
            <v>1.3348837209302327</v>
          </cell>
          <cell r="G109">
            <v>1.3295454545454546</v>
          </cell>
        </row>
        <row r="110">
          <cell r="A110">
            <v>35612</v>
          </cell>
          <cell r="B110">
            <v>0.84818481848184824</v>
          </cell>
          <cell r="C110">
            <v>1.2761310452418098</v>
          </cell>
          <cell r="D110">
            <v>0.9285714285714286</v>
          </cell>
          <cell r="E110">
            <v>1.238255033557047</v>
          </cell>
          <cell r="F110">
            <v>1.3837209302325582</v>
          </cell>
          <cell r="G110">
            <v>1.3295454545454546</v>
          </cell>
        </row>
        <row r="111">
          <cell r="A111">
            <v>35613</v>
          </cell>
          <cell r="B111">
            <v>0.8366336633663366</v>
          </cell>
          <cell r="C111">
            <v>1.2901716068642746</v>
          </cell>
          <cell r="D111">
            <v>0.9285714285714286</v>
          </cell>
          <cell r="E111">
            <v>1.2449664429530201</v>
          </cell>
          <cell r="F111">
            <v>1.4116279069767441</v>
          </cell>
          <cell r="G111">
            <v>1.3181818181818181</v>
          </cell>
        </row>
        <row r="112">
          <cell r="A112">
            <v>35614</v>
          </cell>
          <cell r="B112">
            <v>0.84570957095709576</v>
          </cell>
          <cell r="C112">
            <v>1.3151326053042123</v>
          </cell>
          <cell r="D112">
            <v>0.93421052631578949</v>
          </cell>
          <cell r="E112">
            <v>1.2348993288590604</v>
          </cell>
          <cell r="F112">
            <v>1.4290697674418604</v>
          </cell>
          <cell r="G112">
            <v>1.3125</v>
          </cell>
        </row>
        <row r="113">
          <cell r="A113">
            <v>35615</v>
          </cell>
          <cell r="B113">
            <v>0.84570957095709576</v>
          </cell>
          <cell r="C113">
            <v>1.3151326053042123</v>
          </cell>
          <cell r="D113">
            <v>0.93421052631578949</v>
          </cell>
          <cell r="E113">
            <v>1.2348993288590604</v>
          </cell>
          <cell r="F113">
            <v>1.4290697674418604</v>
          </cell>
          <cell r="G113">
            <v>1.3125</v>
          </cell>
        </row>
        <row r="114">
          <cell r="A114">
            <v>35618</v>
          </cell>
          <cell r="B114">
            <v>0.84158415841584155</v>
          </cell>
          <cell r="C114">
            <v>1.3018720748829953</v>
          </cell>
          <cell r="D114">
            <v>0.93984962406015038</v>
          </cell>
          <cell r="E114">
            <v>1.238255033557047</v>
          </cell>
          <cell r="F114">
            <v>1.4162790697674419</v>
          </cell>
          <cell r="G114">
            <v>1.3181818181818181</v>
          </cell>
        </row>
        <row r="115">
          <cell r="A115">
            <v>35619</v>
          </cell>
          <cell r="B115">
            <v>0.85808580858085803</v>
          </cell>
          <cell r="C115">
            <v>1.3112324492979719</v>
          </cell>
          <cell r="D115">
            <v>0.9285714285714286</v>
          </cell>
          <cell r="E115">
            <v>1.2315436241610738</v>
          </cell>
          <cell r="F115">
            <v>1.4953488372093022</v>
          </cell>
          <cell r="G115">
            <v>1.3181818181818181</v>
          </cell>
        </row>
        <row r="116">
          <cell r="A116">
            <v>35620</v>
          </cell>
          <cell r="B116">
            <v>0.86303630363036299</v>
          </cell>
          <cell r="C116">
            <v>1.2893915756630265</v>
          </cell>
          <cell r="D116">
            <v>0.90977443609022557</v>
          </cell>
          <cell r="E116">
            <v>1.2348993288590604</v>
          </cell>
          <cell r="F116">
            <v>1.4441860465116279</v>
          </cell>
          <cell r="G116">
            <v>1.3295454545454546</v>
          </cell>
        </row>
        <row r="117">
          <cell r="A117">
            <v>35621</v>
          </cell>
          <cell r="B117">
            <v>0.86138613861386137</v>
          </cell>
          <cell r="C117">
            <v>1.2901716068642746</v>
          </cell>
          <cell r="D117">
            <v>0.91917293233082709</v>
          </cell>
          <cell r="E117">
            <v>1.261744966442953</v>
          </cell>
          <cell r="F117">
            <v>1.4744186046511627</v>
          </cell>
          <cell r="G117">
            <v>1.3295454545454546</v>
          </cell>
        </row>
        <row r="118">
          <cell r="A118">
            <v>35622</v>
          </cell>
          <cell r="B118">
            <v>0.83333333333333337</v>
          </cell>
          <cell r="C118">
            <v>1.3096723868954758</v>
          </cell>
          <cell r="D118">
            <v>0.9135338345864662</v>
          </cell>
          <cell r="E118">
            <v>1.2751677852348993</v>
          </cell>
          <cell r="F118">
            <v>1.5069767441860464</v>
          </cell>
          <cell r="G118">
            <v>1.3181818181818181</v>
          </cell>
        </row>
        <row r="119">
          <cell r="A119">
            <v>35625</v>
          </cell>
          <cell r="B119">
            <v>0.84818481848184824</v>
          </cell>
          <cell r="C119">
            <v>1.3010920436817472</v>
          </cell>
          <cell r="D119">
            <v>0.92293233082706772</v>
          </cell>
          <cell r="E119">
            <v>1.261744966442953</v>
          </cell>
          <cell r="F119">
            <v>1.4697674418604652</v>
          </cell>
          <cell r="G119">
            <v>1.3295454545454546</v>
          </cell>
        </row>
        <row r="120">
          <cell r="A120">
            <v>35626</v>
          </cell>
          <cell r="B120">
            <v>0.85231023102310233</v>
          </cell>
          <cell r="C120">
            <v>1.3042121684867394</v>
          </cell>
          <cell r="D120">
            <v>0.93045112781954886</v>
          </cell>
          <cell r="E120">
            <v>1.2651006711409396</v>
          </cell>
          <cell r="F120">
            <v>1.5139534883720931</v>
          </cell>
          <cell r="G120">
            <v>1.3181818181818181</v>
          </cell>
        </row>
        <row r="121">
          <cell r="A121">
            <v>35627</v>
          </cell>
          <cell r="B121">
            <v>0.84983498349834985</v>
          </cell>
          <cell r="C121">
            <v>1.3424336973478939</v>
          </cell>
          <cell r="D121">
            <v>0.9135338345864662</v>
          </cell>
          <cell r="E121">
            <v>1.2885906040268456</v>
          </cell>
          <cell r="F121">
            <v>1.569767441860465</v>
          </cell>
          <cell r="G121">
            <v>1.2954545454545454</v>
          </cell>
        </row>
        <row r="122">
          <cell r="A122">
            <v>35628</v>
          </cell>
          <cell r="B122">
            <v>0.85313531353135319</v>
          </cell>
          <cell r="C122">
            <v>1.3338533541341653</v>
          </cell>
          <cell r="D122">
            <v>0.91541353383458646</v>
          </cell>
          <cell r="E122">
            <v>1.2684563758389262</v>
          </cell>
          <cell r="F122">
            <v>1.6069767441860465</v>
          </cell>
          <cell r="G122">
            <v>1.3068181818181819</v>
          </cell>
        </row>
        <row r="123">
          <cell r="A123">
            <v>35629</v>
          </cell>
          <cell r="B123">
            <v>0.84653465346534651</v>
          </cell>
          <cell r="C123">
            <v>1.3018720748829953</v>
          </cell>
          <cell r="D123">
            <v>0.91541353383458646</v>
          </cell>
          <cell r="E123">
            <v>1.2583892617449663</v>
          </cell>
          <cell r="F123">
            <v>1.6046511627906976</v>
          </cell>
          <cell r="G123">
            <v>1.2954545454545454</v>
          </cell>
        </row>
        <row r="124">
          <cell r="A124">
            <v>35632</v>
          </cell>
          <cell r="B124">
            <v>0.83993399339933994</v>
          </cell>
          <cell r="C124">
            <v>1.3252730109204369</v>
          </cell>
          <cell r="D124">
            <v>0.90037593984962405</v>
          </cell>
          <cell r="E124">
            <v>1.2483221476510067</v>
          </cell>
          <cell r="F124">
            <v>1.5488372093023255</v>
          </cell>
          <cell r="G124">
            <v>1.3125</v>
          </cell>
        </row>
        <row r="125">
          <cell r="A125">
            <v>35633</v>
          </cell>
          <cell r="B125">
            <v>0.84488448844884489</v>
          </cell>
          <cell r="C125">
            <v>1.3400936037441498</v>
          </cell>
          <cell r="D125">
            <v>0.90413533834586468</v>
          </cell>
          <cell r="E125">
            <v>1.2751677852348993</v>
          </cell>
          <cell r="F125">
            <v>1.5813953488372092</v>
          </cell>
          <cell r="G125">
            <v>1.3238636363636365</v>
          </cell>
        </row>
        <row r="126">
          <cell r="A126">
            <v>35634</v>
          </cell>
          <cell r="B126">
            <v>0.84158415841584155</v>
          </cell>
          <cell r="C126">
            <v>1.3837753510140405</v>
          </cell>
          <cell r="D126">
            <v>0.90601503759398494</v>
          </cell>
          <cell r="E126">
            <v>1.2483221476510067</v>
          </cell>
          <cell r="F126">
            <v>1.5930232558139534</v>
          </cell>
          <cell r="G126">
            <v>1.3238636363636365</v>
          </cell>
        </row>
        <row r="127">
          <cell r="A127">
            <v>35635</v>
          </cell>
          <cell r="B127">
            <v>0.86551155115511547</v>
          </cell>
          <cell r="C127">
            <v>1.43603744149766</v>
          </cell>
          <cell r="D127">
            <v>0.95676691729323304</v>
          </cell>
          <cell r="E127">
            <v>1.3154362416107384</v>
          </cell>
          <cell r="F127">
            <v>1.6279069767441861</v>
          </cell>
          <cell r="G127">
            <v>1.3238636363636365</v>
          </cell>
        </row>
        <row r="128">
          <cell r="A128">
            <v>35636</v>
          </cell>
          <cell r="B128">
            <v>0.86963696369636967</v>
          </cell>
          <cell r="C128">
            <v>1.4056162246489861</v>
          </cell>
          <cell r="D128">
            <v>0.9285714285714286</v>
          </cell>
          <cell r="E128">
            <v>1.2651006711409396</v>
          </cell>
          <cell r="F128">
            <v>1.5837209302325581</v>
          </cell>
          <cell r="G128">
            <v>1.3238636363636365</v>
          </cell>
        </row>
        <row r="129">
          <cell r="A129">
            <v>35639</v>
          </cell>
          <cell r="B129">
            <v>0.85643564356435642</v>
          </cell>
          <cell r="C129">
            <v>1.3759750390015602</v>
          </cell>
          <cell r="D129">
            <v>0.9285714285714286</v>
          </cell>
          <cell r="E129">
            <v>1.2416107382550337</v>
          </cell>
          <cell r="F129">
            <v>1.5418604651162791</v>
          </cell>
          <cell r="G129">
            <v>1.3181818181818181</v>
          </cell>
        </row>
        <row r="130">
          <cell r="A130">
            <v>35640</v>
          </cell>
          <cell r="B130">
            <v>0.8729372937293729</v>
          </cell>
          <cell r="C130">
            <v>1.4149765990639624</v>
          </cell>
          <cell r="D130">
            <v>0.94360902255639101</v>
          </cell>
          <cell r="E130">
            <v>1.2550335570469799</v>
          </cell>
          <cell r="F130">
            <v>1.5441860465116279</v>
          </cell>
          <cell r="G130">
            <v>1.3125</v>
          </cell>
        </row>
        <row r="131">
          <cell r="A131">
            <v>35641</v>
          </cell>
          <cell r="B131">
            <v>0.9455445544554455</v>
          </cell>
          <cell r="C131">
            <v>1.4266770670826834</v>
          </cell>
          <cell r="D131">
            <v>0.96804511278195493</v>
          </cell>
          <cell r="E131">
            <v>1.2751677852348993</v>
          </cell>
          <cell r="F131">
            <v>1.5767441860465117</v>
          </cell>
          <cell r="G131">
            <v>1.3181818181818181</v>
          </cell>
        </row>
        <row r="132">
          <cell r="A132">
            <v>35642</v>
          </cell>
          <cell r="B132">
            <v>0.93399339933993397</v>
          </cell>
          <cell r="C132">
            <v>1.421996879875195</v>
          </cell>
          <cell r="D132">
            <v>0.97368421052631582</v>
          </cell>
          <cell r="E132">
            <v>1.3087248322147651</v>
          </cell>
          <cell r="F132">
            <v>1.5639534883720929</v>
          </cell>
          <cell r="G132">
            <v>1.3181818181818181</v>
          </cell>
        </row>
        <row r="133">
          <cell r="A133">
            <v>35643</v>
          </cell>
          <cell r="B133">
            <v>0.8910891089108911</v>
          </cell>
          <cell r="C133">
            <v>1.422776911076443</v>
          </cell>
          <cell r="D133">
            <v>0.96240601503759393</v>
          </cell>
          <cell r="E133">
            <v>1.2852348993288591</v>
          </cell>
          <cell r="F133">
            <v>1.5488372093023255</v>
          </cell>
          <cell r="G133">
            <v>1.3181818181818181</v>
          </cell>
        </row>
        <row r="134">
          <cell r="A134">
            <v>35646</v>
          </cell>
          <cell r="B134">
            <v>0.90594059405940597</v>
          </cell>
          <cell r="C134">
            <v>1.4602184087363494</v>
          </cell>
          <cell r="D134">
            <v>0.99436090225563911</v>
          </cell>
          <cell r="E134">
            <v>1.3087248322147651</v>
          </cell>
          <cell r="F134">
            <v>1.5965116279069766</v>
          </cell>
          <cell r="G134">
            <v>1.3181818181818181</v>
          </cell>
        </row>
        <row r="135">
          <cell r="A135">
            <v>35647</v>
          </cell>
          <cell r="B135">
            <v>0.8952145214521452</v>
          </cell>
          <cell r="C135">
            <v>1.282371294851794</v>
          </cell>
          <cell r="D135">
            <v>0.97556390977443608</v>
          </cell>
          <cell r="E135">
            <v>1.2885906040268456</v>
          </cell>
          <cell r="F135">
            <v>1.527906976744186</v>
          </cell>
          <cell r="G135">
            <v>1.3238636363636365</v>
          </cell>
        </row>
        <row r="136">
          <cell r="A136">
            <v>35648</v>
          </cell>
          <cell r="B136">
            <v>0.8910891089108911</v>
          </cell>
          <cell r="C136">
            <v>1.2730109204368174</v>
          </cell>
          <cell r="D136">
            <v>0.94736842105263153</v>
          </cell>
          <cell r="E136">
            <v>1.3154362416107384</v>
          </cell>
          <cell r="F136">
            <v>1.4744186046511627</v>
          </cell>
          <cell r="G136">
            <v>1.3125</v>
          </cell>
        </row>
        <row r="137">
          <cell r="A137">
            <v>35649</v>
          </cell>
          <cell r="B137">
            <v>0.88778877887788776</v>
          </cell>
          <cell r="C137">
            <v>1.2074882995319813</v>
          </cell>
          <cell r="D137">
            <v>0.91165413533834583</v>
          </cell>
          <cell r="E137">
            <v>1.2751677852348993</v>
          </cell>
          <cell r="F137">
            <v>1.3767441860465117</v>
          </cell>
          <cell r="G137">
            <v>1.2954545454545454</v>
          </cell>
        </row>
        <row r="138">
          <cell r="A138">
            <v>35650</v>
          </cell>
          <cell r="B138">
            <v>0.91089108910891092</v>
          </cell>
          <cell r="C138">
            <v>1.218408736349454</v>
          </cell>
          <cell r="D138">
            <v>0.91729323308270672</v>
          </cell>
          <cell r="E138">
            <v>1.2583892617449663</v>
          </cell>
          <cell r="F138">
            <v>1.3767441860465117</v>
          </cell>
          <cell r="G138">
            <v>1.3125</v>
          </cell>
        </row>
        <row r="139">
          <cell r="A139">
            <v>35653</v>
          </cell>
          <cell r="B139">
            <v>0.91749174917491749</v>
          </cell>
          <cell r="C139">
            <v>1.2199687987519501</v>
          </cell>
          <cell r="D139">
            <v>0.9135338345864662</v>
          </cell>
          <cell r="E139">
            <v>1.2818791946308725</v>
          </cell>
          <cell r="F139">
            <v>1.3813953488372093</v>
          </cell>
          <cell r="G139">
            <v>1.3295454545454546</v>
          </cell>
        </row>
        <row r="140">
          <cell r="A140">
            <v>35654</v>
          </cell>
          <cell r="B140">
            <v>0.91254125412541254</v>
          </cell>
          <cell r="C140">
            <v>1.217628705148206</v>
          </cell>
          <cell r="D140">
            <v>0.90789473684210531</v>
          </cell>
          <cell r="E140">
            <v>1.2550335570469799</v>
          </cell>
          <cell r="F140">
            <v>1.386046511627907</v>
          </cell>
          <cell r="G140">
            <v>1.3295454545454546</v>
          </cell>
        </row>
        <row r="141">
          <cell r="A141">
            <v>35655</v>
          </cell>
          <cell r="B141">
            <v>0.93399339933993397</v>
          </cell>
          <cell r="C141">
            <v>1.2012480499219969</v>
          </cell>
          <cell r="D141">
            <v>0.9135338345864662</v>
          </cell>
          <cell r="E141">
            <v>1.2248322147651007</v>
          </cell>
          <cell r="F141">
            <v>1.3558139534883722</v>
          </cell>
          <cell r="G141">
            <v>1.3295454545454546</v>
          </cell>
        </row>
        <row r="142">
          <cell r="A142">
            <v>35656</v>
          </cell>
          <cell r="B142">
            <v>0.95132013201320131</v>
          </cell>
          <cell r="C142">
            <v>1.2082683307332294</v>
          </cell>
          <cell r="D142">
            <v>0.9135338345864662</v>
          </cell>
          <cell r="E142">
            <v>1.2483221476510067</v>
          </cell>
          <cell r="F142">
            <v>1.3953488372093024</v>
          </cell>
          <cell r="G142">
            <v>1.3295454545454546</v>
          </cell>
        </row>
        <row r="143">
          <cell r="A143">
            <v>35657</v>
          </cell>
          <cell r="B143">
            <v>0.94884488448844884</v>
          </cell>
          <cell r="C143">
            <v>1.1950078003120126</v>
          </cell>
          <cell r="D143">
            <v>0.90977443609022557</v>
          </cell>
          <cell r="E143">
            <v>1.2684563758389262</v>
          </cell>
          <cell r="F143">
            <v>1.4</v>
          </cell>
          <cell r="G143">
            <v>1.3295454545454546</v>
          </cell>
        </row>
        <row r="144">
          <cell r="A144">
            <v>35660</v>
          </cell>
          <cell r="B144">
            <v>0.9356435643564357</v>
          </cell>
          <cell r="C144">
            <v>1.1895475819032761</v>
          </cell>
          <cell r="D144">
            <v>0.90601503759398494</v>
          </cell>
          <cell r="E144">
            <v>1.2651006711409396</v>
          </cell>
          <cell r="F144">
            <v>1.413953488372093</v>
          </cell>
          <cell r="G144">
            <v>1.3352272727272727</v>
          </cell>
        </row>
        <row r="145">
          <cell r="A145">
            <v>35661</v>
          </cell>
          <cell r="B145">
            <v>0.94224422442244227</v>
          </cell>
          <cell r="C145">
            <v>1.1770670826833074</v>
          </cell>
          <cell r="D145">
            <v>0.92481203007518797</v>
          </cell>
          <cell r="E145">
            <v>1.2986577181208054</v>
          </cell>
          <cell r="F145">
            <v>1.4604651162790698</v>
          </cell>
          <cell r="G145">
            <v>1.3522727272727273</v>
          </cell>
        </row>
        <row r="146">
          <cell r="A146">
            <v>35662</v>
          </cell>
          <cell r="B146">
            <v>0.95049504950495045</v>
          </cell>
          <cell r="C146">
            <v>1.173166926677067</v>
          </cell>
          <cell r="D146">
            <v>0.9135338345864662</v>
          </cell>
          <cell r="E146">
            <v>1.2986577181208054</v>
          </cell>
          <cell r="F146">
            <v>1.4767441860465116</v>
          </cell>
          <cell r="G146">
            <v>1.3522727272727273</v>
          </cell>
        </row>
        <row r="147">
          <cell r="A147">
            <v>35663</v>
          </cell>
          <cell r="B147">
            <v>0.92904290429042902</v>
          </cell>
          <cell r="C147">
            <v>1.1669266770670828</v>
          </cell>
          <cell r="D147">
            <v>0.91165413533834583</v>
          </cell>
          <cell r="E147">
            <v>1.2684563758389262</v>
          </cell>
          <cell r="F147">
            <v>1.4279069767441861</v>
          </cell>
          <cell r="G147">
            <v>1.3522727272727273</v>
          </cell>
        </row>
        <row r="148">
          <cell r="A148">
            <v>35664</v>
          </cell>
          <cell r="B148">
            <v>0.93894389438943893</v>
          </cell>
          <cell r="C148">
            <v>1.1653666146645867</v>
          </cell>
          <cell r="D148">
            <v>0.93984962406015038</v>
          </cell>
          <cell r="E148">
            <v>1.261744966442953</v>
          </cell>
          <cell r="F148">
            <v>1.430232558139535</v>
          </cell>
          <cell r="G148">
            <v>1.3522727272727273</v>
          </cell>
        </row>
        <row r="149">
          <cell r="A149">
            <v>35667</v>
          </cell>
          <cell r="B149">
            <v>0.91584158415841588</v>
          </cell>
          <cell r="C149">
            <v>1.187207488299532</v>
          </cell>
          <cell r="D149">
            <v>0.94548872180451127</v>
          </cell>
          <cell r="E149">
            <v>1.2919463087248322</v>
          </cell>
          <cell r="F149">
            <v>1.4244186046511629</v>
          </cell>
          <cell r="G149">
            <v>1.3465909090909092</v>
          </cell>
        </row>
        <row r="150">
          <cell r="A150">
            <v>35668</v>
          </cell>
          <cell r="B150">
            <v>0.92409240924092406</v>
          </cell>
          <cell r="C150">
            <v>1.1981279251170047</v>
          </cell>
          <cell r="D150">
            <v>0.92669172932330823</v>
          </cell>
          <cell r="E150">
            <v>1.2953020134228188</v>
          </cell>
          <cell r="F150">
            <v>1.4162790697674419</v>
          </cell>
          <cell r="G150">
            <v>1.3465909090909092</v>
          </cell>
        </row>
        <row r="151">
          <cell r="A151">
            <v>35669</v>
          </cell>
          <cell r="B151">
            <v>0.91254125412541254</v>
          </cell>
          <cell r="C151">
            <v>1.2098283931357254</v>
          </cell>
          <cell r="D151">
            <v>0.94736842105263153</v>
          </cell>
          <cell r="E151">
            <v>1.2818791946308725</v>
          </cell>
          <cell r="F151">
            <v>1.3930232558139535</v>
          </cell>
          <cell r="G151">
            <v>1.3522727272727273</v>
          </cell>
        </row>
        <row r="152">
          <cell r="A152">
            <v>35670</v>
          </cell>
          <cell r="B152">
            <v>0.9092409240924092</v>
          </cell>
          <cell r="C152">
            <v>1.1989079563182528</v>
          </cell>
          <cell r="D152">
            <v>0.95864661654135341</v>
          </cell>
          <cell r="E152">
            <v>1.2785234899328859</v>
          </cell>
          <cell r="F152">
            <v>1.3651162790697675</v>
          </cell>
          <cell r="G152">
            <v>1.3522727272727273</v>
          </cell>
        </row>
        <row r="153">
          <cell r="A153">
            <v>35671</v>
          </cell>
          <cell r="B153">
            <v>0.90264026402640263</v>
          </cell>
          <cell r="C153">
            <v>1.1911076443057722</v>
          </cell>
          <cell r="D153">
            <v>0.95676691729323304</v>
          </cell>
          <cell r="E153">
            <v>1.2651006711409396</v>
          </cell>
          <cell r="F153">
            <v>1.3604651162790697</v>
          </cell>
          <cell r="G153">
            <v>1.3522727272727273</v>
          </cell>
        </row>
        <row r="154">
          <cell r="A154">
            <v>35674</v>
          </cell>
          <cell r="B154">
            <v>0.90264026402640263</v>
          </cell>
          <cell r="C154">
            <v>1.1911076443057722</v>
          </cell>
          <cell r="D154">
            <v>0.95676691729323304</v>
          </cell>
          <cell r="E154">
            <v>1.2651006711409396</v>
          </cell>
          <cell r="F154">
            <v>1.3604651162790697</v>
          </cell>
          <cell r="G154">
            <v>1.3522727272727273</v>
          </cell>
        </row>
        <row r="155">
          <cell r="A155">
            <v>35675</v>
          </cell>
          <cell r="B155">
            <v>0.94801980198019797</v>
          </cell>
          <cell r="C155">
            <v>1.2207488299531981</v>
          </cell>
          <cell r="D155">
            <v>0.97368421052631582</v>
          </cell>
          <cell r="E155">
            <v>1.2516778523489933</v>
          </cell>
          <cell r="F155">
            <v>1.3813953488372093</v>
          </cell>
          <cell r="G155">
            <v>1.3579545454545454</v>
          </cell>
        </row>
        <row r="156">
          <cell r="A156">
            <v>35676</v>
          </cell>
          <cell r="B156">
            <v>0.95049504950495045</v>
          </cell>
          <cell r="C156">
            <v>1.2394695787831513</v>
          </cell>
          <cell r="D156">
            <v>0.98872180451127822</v>
          </cell>
          <cell r="E156">
            <v>1.3087248322147651</v>
          </cell>
          <cell r="F156">
            <v>1.4075581395348837</v>
          </cell>
          <cell r="G156">
            <v>1.3636363636363635</v>
          </cell>
        </row>
        <row r="157">
          <cell r="A157">
            <v>35677</v>
          </cell>
          <cell r="B157">
            <v>0.94059405940594054</v>
          </cell>
          <cell r="C157">
            <v>1.2464898595943839</v>
          </cell>
          <cell r="D157">
            <v>0.97744360902255634</v>
          </cell>
          <cell r="E157">
            <v>1.2885906040268456</v>
          </cell>
          <cell r="F157">
            <v>1.4046511627906977</v>
          </cell>
          <cell r="G157">
            <v>1.3522727272727273</v>
          </cell>
        </row>
        <row r="158">
          <cell r="A158">
            <v>35678</v>
          </cell>
          <cell r="B158">
            <v>0.94884488448844884</v>
          </cell>
          <cell r="C158">
            <v>1.2636505460218408</v>
          </cell>
          <cell r="D158">
            <v>0.99812030075187974</v>
          </cell>
          <cell r="E158">
            <v>1.3120805369127517</v>
          </cell>
          <cell r="F158">
            <v>1.4395348837209303</v>
          </cell>
          <cell r="G158">
            <v>1.3522727272727273</v>
          </cell>
        </row>
        <row r="159">
          <cell r="A159">
            <v>35681</v>
          </cell>
          <cell r="B159">
            <v>0.94636963696369636</v>
          </cell>
          <cell r="C159">
            <v>1.2659906396255851</v>
          </cell>
          <cell r="D159">
            <v>0.99248120300751874</v>
          </cell>
          <cell r="E159">
            <v>1.2818791946308725</v>
          </cell>
          <cell r="F159">
            <v>1.4186046511627908</v>
          </cell>
          <cell r="G159">
            <v>1.3636363636363635</v>
          </cell>
        </row>
        <row r="160">
          <cell r="A160">
            <v>35682</v>
          </cell>
          <cell r="B160">
            <v>0.95049504950495045</v>
          </cell>
          <cell r="C160">
            <v>1.2730109204368174</v>
          </cell>
          <cell r="D160">
            <v>0.99624060150375937</v>
          </cell>
          <cell r="E160">
            <v>1.2953020134228188</v>
          </cell>
          <cell r="F160">
            <v>1.4209302325581394</v>
          </cell>
          <cell r="G160">
            <v>1.3579545454545454</v>
          </cell>
        </row>
        <row r="161">
          <cell r="A161">
            <v>35683</v>
          </cell>
          <cell r="B161">
            <v>0.95379537953795379</v>
          </cell>
          <cell r="C161">
            <v>1.2652106084243371</v>
          </cell>
          <cell r="D161">
            <v>0.99624060150375937</v>
          </cell>
          <cell r="E161">
            <v>1.2953020134228188</v>
          </cell>
          <cell r="F161">
            <v>1.4162790697674419</v>
          </cell>
          <cell r="G161">
            <v>1.3636363636363635</v>
          </cell>
        </row>
        <row r="162">
          <cell r="A162">
            <v>35684</v>
          </cell>
          <cell r="B162">
            <v>0.95049504950495045</v>
          </cell>
          <cell r="C162">
            <v>1.2480499219968799</v>
          </cell>
          <cell r="D162">
            <v>0.99060150375939848</v>
          </cell>
          <cell r="E162">
            <v>1.2785234899328859</v>
          </cell>
          <cell r="F162">
            <v>1.4395348837209303</v>
          </cell>
          <cell r="G162">
            <v>1.3579545454545454</v>
          </cell>
        </row>
        <row r="163">
          <cell r="A163">
            <v>35685</v>
          </cell>
          <cell r="B163">
            <v>0.98679867986798675</v>
          </cell>
          <cell r="C163">
            <v>1.2730109204368174</v>
          </cell>
          <cell r="D163">
            <v>1.013157894736842</v>
          </cell>
          <cell r="E163">
            <v>1.3389261744966443</v>
          </cell>
          <cell r="F163">
            <v>1.45</v>
          </cell>
          <cell r="G163">
            <v>1.3579545454545454</v>
          </cell>
        </row>
        <row r="164">
          <cell r="A164">
            <v>35688</v>
          </cell>
          <cell r="B164">
            <v>0.97689768976897695</v>
          </cell>
          <cell r="C164">
            <v>1.2862714508580344</v>
          </cell>
          <cell r="D164">
            <v>1.0018796992481203</v>
          </cell>
          <cell r="E164">
            <v>1.2885906040268456</v>
          </cell>
          <cell r="F164">
            <v>1.413953488372093</v>
          </cell>
          <cell r="G164">
            <v>1.3522727272727273</v>
          </cell>
        </row>
        <row r="165">
          <cell r="A165">
            <v>35689</v>
          </cell>
          <cell r="B165">
            <v>0.96534653465346532</v>
          </cell>
          <cell r="C165">
            <v>1.3213728549141965</v>
          </cell>
          <cell r="D165">
            <v>1.005639097744361</v>
          </cell>
          <cell r="E165">
            <v>1.3355704697986577</v>
          </cell>
          <cell r="F165">
            <v>1.4511627906976745</v>
          </cell>
          <cell r="G165">
            <v>1.3579545454545454</v>
          </cell>
        </row>
        <row r="166">
          <cell r="A166">
            <v>35690</v>
          </cell>
          <cell r="B166">
            <v>0.9636963696369637</v>
          </cell>
          <cell r="C166">
            <v>1.3237129485179406</v>
          </cell>
          <cell r="D166">
            <v>0.99436090225563911</v>
          </cell>
          <cell r="E166">
            <v>1.3355704697986577</v>
          </cell>
          <cell r="F166">
            <v>1.4279069767441861</v>
          </cell>
          <cell r="G166">
            <v>1.3636363636363635</v>
          </cell>
        </row>
        <row r="167">
          <cell r="A167">
            <v>35691</v>
          </cell>
          <cell r="B167">
            <v>0.96039603960396036</v>
          </cell>
          <cell r="C167">
            <v>1.3244929797191887</v>
          </cell>
          <cell r="D167">
            <v>1.0075187969924813</v>
          </cell>
          <cell r="E167">
            <v>1.3288590604026846</v>
          </cell>
          <cell r="F167">
            <v>1.430232558139535</v>
          </cell>
          <cell r="G167">
            <v>1.3636363636363635</v>
          </cell>
        </row>
        <row r="168">
          <cell r="A168">
            <v>35692</v>
          </cell>
          <cell r="B168">
            <v>0.96204620462046209</v>
          </cell>
          <cell r="C168">
            <v>1.3057722308892357</v>
          </cell>
          <cell r="D168">
            <v>1.0093984962406015</v>
          </cell>
          <cell r="E168">
            <v>1.3154362416107384</v>
          </cell>
          <cell r="F168">
            <v>1.4232558139534883</v>
          </cell>
          <cell r="G168">
            <v>1.3636363636363635</v>
          </cell>
        </row>
        <row r="169">
          <cell r="A169">
            <v>35695</v>
          </cell>
          <cell r="B169">
            <v>0.95709570957095713</v>
          </cell>
          <cell r="C169">
            <v>1.282371294851794</v>
          </cell>
          <cell r="D169">
            <v>1.0075187969924813</v>
          </cell>
          <cell r="E169">
            <v>1.3020134228187918</v>
          </cell>
          <cell r="F169">
            <v>1.4476744186046511</v>
          </cell>
          <cell r="G169">
            <v>1.3636363636363635</v>
          </cell>
        </row>
        <row r="170">
          <cell r="A170">
            <v>35696</v>
          </cell>
          <cell r="B170">
            <v>0.92574257425742579</v>
          </cell>
          <cell r="C170">
            <v>1.1692667706708268</v>
          </cell>
          <cell r="D170">
            <v>0.99812030075187974</v>
          </cell>
          <cell r="E170">
            <v>1.2785234899328859</v>
          </cell>
          <cell r="F170">
            <v>1.4313953488372093</v>
          </cell>
          <cell r="G170">
            <v>1.3636363636363635</v>
          </cell>
        </row>
        <row r="171">
          <cell r="A171">
            <v>35697</v>
          </cell>
          <cell r="B171">
            <v>0.92409240924092406</v>
          </cell>
          <cell r="C171">
            <v>1.1560062402496101</v>
          </cell>
          <cell r="D171">
            <v>0.98872180451127822</v>
          </cell>
          <cell r="E171">
            <v>1.2684563758389262</v>
          </cell>
          <cell r="F171">
            <v>1.4162790697674419</v>
          </cell>
          <cell r="G171">
            <v>1.3636363636363635</v>
          </cell>
        </row>
        <row r="172">
          <cell r="A172">
            <v>35698</v>
          </cell>
          <cell r="B172">
            <v>0.92079207920792083</v>
          </cell>
          <cell r="C172">
            <v>1.1248049921996879</v>
          </cell>
          <cell r="D172">
            <v>0.99436090225563911</v>
          </cell>
          <cell r="E172">
            <v>1.238255033557047</v>
          </cell>
          <cell r="F172">
            <v>1.3941860465116278</v>
          </cell>
          <cell r="G172">
            <v>1.3636363636363635</v>
          </cell>
        </row>
        <row r="173">
          <cell r="A173">
            <v>35699</v>
          </cell>
          <cell r="B173">
            <v>0.8952145214521452</v>
          </cell>
          <cell r="C173">
            <v>1.1294851794071763</v>
          </cell>
          <cell r="D173">
            <v>0.97556390977443608</v>
          </cell>
          <cell r="E173">
            <v>1.2550335570469799</v>
          </cell>
          <cell r="F173">
            <v>1.4511627906976745</v>
          </cell>
          <cell r="G173">
            <v>1.3636363636363635</v>
          </cell>
        </row>
        <row r="174">
          <cell r="A174">
            <v>35702</v>
          </cell>
          <cell r="B174">
            <v>0.88778877887788776</v>
          </cell>
          <cell r="C174">
            <v>1.0109204368174727</v>
          </cell>
          <cell r="D174">
            <v>0.96052631578947367</v>
          </cell>
          <cell r="E174">
            <v>1.2550335570469799</v>
          </cell>
          <cell r="F174">
            <v>1.4116279069767441</v>
          </cell>
          <cell r="G174">
            <v>1.3636363636363635</v>
          </cell>
        </row>
        <row r="175">
          <cell r="A175">
            <v>35703</v>
          </cell>
          <cell r="B175">
            <v>0.89933993399339929</v>
          </cell>
          <cell r="C175">
            <v>1.0163806552262091</v>
          </cell>
          <cell r="D175">
            <v>0.96240601503759393</v>
          </cell>
          <cell r="E175">
            <v>1.2785234899328859</v>
          </cell>
          <cell r="F175">
            <v>1.3930232558139535</v>
          </cell>
          <cell r="G175">
            <v>1.3636363636363635</v>
          </cell>
        </row>
        <row r="176">
          <cell r="A176">
            <v>35704</v>
          </cell>
          <cell r="B176">
            <v>0.88448844884488453</v>
          </cell>
          <cell r="C176">
            <v>0.99531981279251169</v>
          </cell>
          <cell r="D176">
            <v>0.97932330827067671</v>
          </cell>
          <cell r="E176">
            <v>1.2550335570469799</v>
          </cell>
          <cell r="F176">
            <v>1.336046511627907</v>
          </cell>
          <cell r="G176">
            <v>1.3636363636363635</v>
          </cell>
        </row>
        <row r="177">
          <cell r="A177">
            <v>35705</v>
          </cell>
          <cell r="B177">
            <v>0.88531353135313529</v>
          </cell>
          <cell r="C177">
            <v>0.97659906396255847</v>
          </cell>
          <cell r="D177">
            <v>0.96240601503759393</v>
          </cell>
          <cell r="E177">
            <v>1.1946308724832215</v>
          </cell>
          <cell r="F177">
            <v>1.3255813953488371</v>
          </cell>
          <cell r="G177">
            <v>1.3636363636363635</v>
          </cell>
        </row>
        <row r="178">
          <cell r="A178">
            <v>35706</v>
          </cell>
          <cell r="B178">
            <v>0.89603960396039606</v>
          </cell>
          <cell r="C178">
            <v>0.9726989079563183</v>
          </cell>
          <cell r="D178">
            <v>0.96240601503759393</v>
          </cell>
          <cell r="E178">
            <v>1.2516778523489933</v>
          </cell>
          <cell r="F178">
            <v>1.3720930232558139</v>
          </cell>
          <cell r="G178">
            <v>1.3636363636363635</v>
          </cell>
        </row>
        <row r="179">
          <cell r="A179">
            <v>35709</v>
          </cell>
          <cell r="B179">
            <v>0.90594059405940597</v>
          </cell>
          <cell r="C179">
            <v>0.9726989079563183</v>
          </cell>
          <cell r="D179">
            <v>0.95676691729323304</v>
          </cell>
          <cell r="E179">
            <v>1.2348993288590604</v>
          </cell>
          <cell r="F179">
            <v>1.3232558139534885</v>
          </cell>
          <cell r="G179">
            <v>1.3636363636363635</v>
          </cell>
        </row>
        <row r="180">
          <cell r="A180">
            <v>35710</v>
          </cell>
          <cell r="B180">
            <v>0.94059405940594054</v>
          </cell>
          <cell r="C180">
            <v>1.0015600624024961</v>
          </cell>
          <cell r="D180">
            <v>1.0037593984962405</v>
          </cell>
          <cell r="E180">
            <v>1.3154362416107384</v>
          </cell>
          <cell r="F180">
            <v>1.4267441860465115</v>
          </cell>
          <cell r="G180">
            <v>1.3636363636363635</v>
          </cell>
        </row>
        <row r="181">
          <cell r="A181">
            <v>35711</v>
          </cell>
          <cell r="B181">
            <v>0.92904290429042902</v>
          </cell>
          <cell r="C181">
            <v>0.98751950078003126</v>
          </cell>
          <cell r="D181">
            <v>0.99812030075187974</v>
          </cell>
          <cell r="E181">
            <v>1.2718120805369129</v>
          </cell>
          <cell r="F181">
            <v>1.4488372093023256</v>
          </cell>
          <cell r="G181">
            <v>1.3636363636363635</v>
          </cell>
        </row>
        <row r="182">
          <cell r="A182">
            <v>35712</v>
          </cell>
          <cell r="B182">
            <v>0.93234323432343236</v>
          </cell>
          <cell r="C182">
            <v>0.98595943837753508</v>
          </cell>
          <cell r="D182">
            <v>0.98308270676691734</v>
          </cell>
          <cell r="E182">
            <v>1.2785234899328859</v>
          </cell>
          <cell r="F182">
            <v>1.430232558139535</v>
          </cell>
          <cell r="G182">
            <v>1.3636363636363635</v>
          </cell>
        </row>
        <row r="183">
          <cell r="A183">
            <v>35713</v>
          </cell>
          <cell r="B183">
            <v>0.92079207920792083</v>
          </cell>
          <cell r="C183">
            <v>0.98049921996879874</v>
          </cell>
          <cell r="D183">
            <v>0.98308270676691734</v>
          </cell>
          <cell r="E183">
            <v>1.2651006711409396</v>
          </cell>
          <cell r="F183">
            <v>1.3720930232558139</v>
          </cell>
          <cell r="G183">
            <v>1.3636363636363635</v>
          </cell>
        </row>
        <row r="184">
          <cell r="A184">
            <v>35716</v>
          </cell>
          <cell r="B184">
            <v>0.91419141914191415</v>
          </cell>
          <cell r="C184">
            <v>0.99687987519500776</v>
          </cell>
          <cell r="D184">
            <v>0.98684210526315785</v>
          </cell>
          <cell r="E184">
            <v>1.2885906040268456</v>
          </cell>
          <cell r="F184">
            <v>1.4162790697674419</v>
          </cell>
          <cell r="G184">
            <v>1.3636363636363635</v>
          </cell>
        </row>
        <row r="185">
          <cell r="A185">
            <v>35717</v>
          </cell>
          <cell r="B185">
            <v>0.91914191419141911</v>
          </cell>
          <cell r="C185">
            <v>0.98985959438377535</v>
          </cell>
          <cell r="D185">
            <v>0.99248120300751874</v>
          </cell>
          <cell r="E185">
            <v>1.2818791946308725</v>
          </cell>
          <cell r="F185">
            <v>1.3767441860465117</v>
          </cell>
          <cell r="G185">
            <v>1.3636363636363635</v>
          </cell>
        </row>
        <row r="186">
          <cell r="A186">
            <v>35718</v>
          </cell>
          <cell r="B186">
            <v>0.91089108910891092</v>
          </cell>
          <cell r="C186">
            <v>0.98361934477379098</v>
          </cell>
          <cell r="D186">
            <v>0.98308270676691734</v>
          </cell>
          <cell r="E186">
            <v>1.2919463087248322</v>
          </cell>
          <cell r="F186">
            <v>1.3674418604651162</v>
          </cell>
          <cell r="G186">
            <v>1.3636363636363635</v>
          </cell>
        </row>
        <row r="187">
          <cell r="A187">
            <v>35719</v>
          </cell>
          <cell r="B187">
            <v>0.91419141914191415</v>
          </cell>
          <cell r="C187">
            <v>0.95865834633385338</v>
          </cell>
          <cell r="D187">
            <v>0.95864661654135341</v>
          </cell>
          <cell r="E187">
            <v>1.2651006711409396</v>
          </cell>
          <cell r="F187">
            <v>1.3465116279069766</v>
          </cell>
          <cell r="G187">
            <v>1.3636363636363635</v>
          </cell>
        </row>
        <row r="188">
          <cell r="A188">
            <v>35720</v>
          </cell>
          <cell r="B188">
            <v>0.90594059405940597</v>
          </cell>
          <cell r="C188">
            <v>0.93369734789391579</v>
          </cell>
          <cell r="D188">
            <v>0.96804511278195493</v>
          </cell>
          <cell r="E188">
            <v>1.2718120805369129</v>
          </cell>
          <cell r="F188">
            <v>1.3104651162790697</v>
          </cell>
          <cell r="G188">
            <v>1.3636363636363635</v>
          </cell>
        </row>
        <row r="189">
          <cell r="A189">
            <v>35723</v>
          </cell>
          <cell r="B189">
            <v>0.91584158415841588</v>
          </cell>
          <cell r="C189">
            <v>0.9430577223088924</v>
          </cell>
          <cell r="D189">
            <v>0.99624060150375937</v>
          </cell>
          <cell r="E189">
            <v>1.2986577181208054</v>
          </cell>
          <cell r="F189">
            <v>1.3511627906976744</v>
          </cell>
          <cell r="G189">
            <v>1.3636363636363635</v>
          </cell>
        </row>
        <row r="190">
          <cell r="A190">
            <v>35724</v>
          </cell>
          <cell r="B190">
            <v>0.94059405940594054</v>
          </cell>
          <cell r="C190">
            <v>0.96567862714508579</v>
          </cell>
          <cell r="D190">
            <v>0.98308270676691734</v>
          </cell>
          <cell r="E190">
            <v>1.3221476510067114</v>
          </cell>
          <cell r="F190">
            <v>1.3604651162790697</v>
          </cell>
          <cell r="G190">
            <v>1.3636363636363635</v>
          </cell>
        </row>
        <row r="191">
          <cell r="A191">
            <v>35725</v>
          </cell>
          <cell r="B191">
            <v>0.93151815181518149</v>
          </cell>
          <cell r="C191">
            <v>0.95865834633385338</v>
          </cell>
          <cell r="D191">
            <v>0.96992481203007519</v>
          </cell>
          <cell r="E191">
            <v>1.2818791946308725</v>
          </cell>
          <cell r="F191">
            <v>1.3627906976744186</v>
          </cell>
          <cell r="G191">
            <v>1.3636363636363635</v>
          </cell>
        </row>
        <row r="192">
          <cell r="A192">
            <v>35726</v>
          </cell>
          <cell r="B192">
            <v>0.93069306930693074</v>
          </cell>
          <cell r="C192">
            <v>0.95163806552262087</v>
          </cell>
          <cell r="D192">
            <v>0.96052631578947367</v>
          </cell>
          <cell r="E192">
            <v>1.2449664429530201</v>
          </cell>
          <cell r="F192">
            <v>1.3209302325581396</v>
          </cell>
          <cell r="G192">
            <v>1.3636363636363635</v>
          </cell>
        </row>
        <row r="193">
          <cell r="A193">
            <v>35727</v>
          </cell>
          <cell r="B193">
            <v>0.9092409240924092</v>
          </cell>
          <cell r="C193">
            <v>0.94071762870514819</v>
          </cell>
          <cell r="D193">
            <v>0.96240601503759393</v>
          </cell>
          <cell r="E193">
            <v>1.2147651006711409</v>
          </cell>
          <cell r="F193">
            <v>1.2790697674418605</v>
          </cell>
          <cell r="G193">
            <v>1.3636363636363635</v>
          </cell>
        </row>
        <row r="194">
          <cell r="A194">
            <v>35730</v>
          </cell>
          <cell r="B194">
            <v>0.83333333333333337</v>
          </cell>
          <cell r="C194">
            <v>0.86115444617784709</v>
          </cell>
          <cell r="D194">
            <v>0.89473684210526316</v>
          </cell>
          <cell r="E194">
            <v>1.1241610738255035</v>
          </cell>
          <cell r="F194">
            <v>0.4813953488372093</v>
          </cell>
          <cell r="G194">
            <v>1.3636363636363635</v>
          </cell>
        </row>
        <row r="195">
          <cell r="A195">
            <v>35731</v>
          </cell>
          <cell r="B195">
            <v>0.87458745874587462</v>
          </cell>
          <cell r="C195">
            <v>0.89781591263650551</v>
          </cell>
          <cell r="D195">
            <v>0.91917293233082709</v>
          </cell>
          <cell r="E195">
            <v>1.1543624161073827</v>
          </cell>
          <cell r="F195">
            <v>0.47209302325581393</v>
          </cell>
          <cell r="G195">
            <v>1.3636363636363635</v>
          </cell>
        </row>
        <row r="196">
          <cell r="A196">
            <v>35732</v>
          </cell>
          <cell r="B196">
            <v>0.85973597359735976</v>
          </cell>
          <cell r="C196">
            <v>0.90561622464898595</v>
          </cell>
          <cell r="D196">
            <v>0.90601503759398494</v>
          </cell>
          <cell r="E196">
            <v>1.1577181208053691</v>
          </cell>
          <cell r="F196">
            <v>0.5058139534883721</v>
          </cell>
          <cell r="G196">
            <v>1.3636363636363635</v>
          </cell>
        </row>
        <row r="197">
          <cell r="A197">
            <v>35733</v>
          </cell>
          <cell r="B197">
            <v>0.85313531353135319</v>
          </cell>
          <cell r="C197">
            <v>0.8931357254290172</v>
          </cell>
          <cell r="D197">
            <v>0.89097744360902253</v>
          </cell>
          <cell r="E197">
            <v>1.1208053691275168</v>
          </cell>
          <cell r="F197">
            <v>0.48023255813953486</v>
          </cell>
          <cell r="G197">
            <v>1.3636363636363635</v>
          </cell>
        </row>
        <row r="198">
          <cell r="A198">
            <v>35734</v>
          </cell>
          <cell r="B198">
            <v>0.8547854785478548</v>
          </cell>
          <cell r="C198">
            <v>0.88689547581903272</v>
          </cell>
          <cell r="D198">
            <v>0.86466165413533835</v>
          </cell>
          <cell r="E198">
            <v>1.1241610738255035</v>
          </cell>
          <cell r="F198">
            <v>0.48023255813953486</v>
          </cell>
          <cell r="G198">
            <v>1.3636363636363635</v>
          </cell>
        </row>
        <row r="199">
          <cell r="A199">
            <v>35737</v>
          </cell>
          <cell r="B199">
            <v>0.86138613861386137</v>
          </cell>
          <cell r="C199">
            <v>0.90717628705148201</v>
          </cell>
          <cell r="D199">
            <v>0.8778195488721805</v>
          </cell>
          <cell r="E199">
            <v>1.1677852348993289</v>
          </cell>
          <cell r="F199">
            <v>0.48372093023255813</v>
          </cell>
          <cell r="G199">
            <v>1.3636363636363635</v>
          </cell>
        </row>
        <row r="200">
          <cell r="A200">
            <v>35738</v>
          </cell>
          <cell r="B200">
            <v>0.85973597359735976</v>
          </cell>
          <cell r="C200">
            <v>0.92433697347893917</v>
          </cell>
          <cell r="D200">
            <v>0.88157894736842102</v>
          </cell>
          <cell r="E200">
            <v>1.1845637583892616</v>
          </cell>
          <cell r="F200">
            <v>0.47093023255813954</v>
          </cell>
          <cell r="G200">
            <v>1.3636363636363635</v>
          </cell>
        </row>
        <row r="201">
          <cell r="A201">
            <v>35739</v>
          </cell>
          <cell r="B201">
            <v>0.86138613861386137</v>
          </cell>
          <cell r="C201">
            <v>0.89937597503900157</v>
          </cell>
          <cell r="D201">
            <v>0.89473684210526316</v>
          </cell>
          <cell r="E201">
            <v>1.1845637583892616</v>
          </cell>
          <cell r="F201">
            <v>0.44418604651162791</v>
          </cell>
          <cell r="G201">
            <v>1.3636363636363635</v>
          </cell>
        </row>
        <row r="202">
          <cell r="A202">
            <v>35740</v>
          </cell>
          <cell r="B202">
            <v>0.90264026402640263</v>
          </cell>
          <cell r="C202">
            <v>0.90639625585023398</v>
          </cell>
          <cell r="D202">
            <v>0.89097744360902253</v>
          </cell>
          <cell r="E202">
            <v>1.2080536912751678</v>
          </cell>
          <cell r="F202">
            <v>0.45930232558139533</v>
          </cell>
          <cell r="G202">
            <v>1.3636363636363635</v>
          </cell>
        </row>
        <row r="203">
          <cell r="A203">
            <v>35741</v>
          </cell>
          <cell r="B203">
            <v>0.9273927392739274</v>
          </cell>
          <cell r="C203">
            <v>0.92667706708268327</v>
          </cell>
          <cell r="D203">
            <v>0.87593984962406013</v>
          </cell>
          <cell r="E203">
            <v>1.2013422818791946</v>
          </cell>
          <cell r="F203">
            <v>0.47325581395348837</v>
          </cell>
          <cell r="G203">
            <v>1.3636363636363635</v>
          </cell>
        </row>
        <row r="204">
          <cell r="A204">
            <v>35744</v>
          </cell>
          <cell r="B204">
            <v>0.94389438943894388</v>
          </cell>
          <cell r="C204">
            <v>0.94461778471138846</v>
          </cell>
          <cell r="D204">
            <v>0.89473684210526316</v>
          </cell>
          <cell r="E204">
            <v>1.2214765100671141</v>
          </cell>
          <cell r="F204">
            <v>0.46046511627906977</v>
          </cell>
          <cell r="G204">
            <v>1.3636363636363635</v>
          </cell>
        </row>
        <row r="205">
          <cell r="A205">
            <v>35745</v>
          </cell>
          <cell r="B205">
            <v>0.94884488448844884</v>
          </cell>
          <cell r="C205">
            <v>0.97191887675507016</v>
          </cell>
          <cell r="D205">
            <v>0.92105263157894735</v>
          </cell>
          <cell r="E205">
            <v>1.2214765100671141</v>
          </cell>
          <cell r="F205">
            <v>0.46395348837209305</v>
          </cell>
          <cell r="G205">
            <v>1.3636363636363635</v>
          </cell>
        </row>
        <row r="206">
          <cell r="A206">
            <v>35746</v>
          </cell>
          <cell r="B206">
            <v>0.9092409240924092</v>
          </cell>
          <cell r="C206">
            <v>0.96099843993759748</v>
          </cell>
          <cell r="D206">
            <v>0.90601503759398494</v>
          </cell>
          <cell r="E206">
            <v>1.1812080536912752</v>
          </cell>
          <cell r="F206">
            <v>0.44534883720930235</v>
          </cell>
          <cell r="G206">
            <v>1.3636363636363635</v>
          </cell>
        </row>
        <row r="207">
          <cell r="A207">
            <v>35747</v>
          </cell>
          <cell r="B207">
            <v>0.91254125412541254</v>
          </cell>
          <cell r="C207">
            <v>0.95865834633385338</v>
          </cell>
          <cell r="D207">
            <v>0.91541353383458646</v>
          </cell>
          <cell r="E207">
            <v>1.1644295302013423</v>
          </cell>
          <cell r="F207">
            <v>0.43604651162790697</v>
          </cell>
          <cell r="G207">
            <v>1.3636363636363635</v>
          </cell>
        </row>
        <row r="208">
          <cell r="A208">
            <v>35748</v>
          </cell>
          <cell r="B208">
            <v>0.89768976897689767</v>
          </cell>
          <cell r="C208">
            <v>0.96723868954758185</v>
          </cell>
          <cell r="D208">
            <v>0.89473684210526316</v>
          </cell>
          <cell r="E208">
            <v>1.1644295302013423</v>
          </cell>
          <cell r="F208">
            <v>0.46279069767441861</v>
          </cell>
          <cell r="G208">
            <v>1.3636363636363635</v>
          </cell>
        </row>
        <row r="209">
          <cell r="A209">
            <v>35751</v>
          </cell>
          <cell r="B209">
            <v>0.90429042904290424</v>
          </cell>
          <cell r="C209">
            <v>0.98595943837753508</v>
          </cell>
          <cell r="D209">
            <v>0.90601503759398494</v>
          </cell>
          <cell r="E209">
            <v>1.1946308724832215</v>
          </cell>
          <cell r="F209">
            <v>0.44883720930232557</v>
          </cell>
          <cell r="G209">
            <v>1.3636363636363635</v>
          </cell>
        </row>
        <row r="210">
          <cell r="A210">
            <v>35752</v>
          </cell>
          <cell r="B210">
            <v>0.89273927392739272</v>
          </cell>
          <cell r="C210">
            <v>0.9773790951638065</v>
          </cell>
          <cell r="D210">
            <v>0.89849624060150379</v>
          </cell>
          <cell r="E210">
            <v>1.1979865771812082</v>
          </cell>
          <cell r="F210">
            <v>0.4325581395348837</v>
          </cell>
          <cell r="G210">
            <v>1.3636363636363635</v>
          </cell>
        </row>
        <row r="211">
          <cell r="A211">
            <v>35753</v>
          </cell>
          <cell r="B211">
            <v>0.89603960396039606</v>
          </cell>
          <cell r="C211">
            <v>0.97581903276131043</v>
          </cell>
          <cell r="D211">
            <v>0.87969924812030076</v>
          </cell>
          <cell r="E211">
            <v>1.1711409395973154</v>
          </cell>
          <cell r="F211">
            <v>0.44069767441860463</v>
          </cell>
          <cell r="G211">
            <v>1.3636363636363635</v>
          </cell>
        </row>
        <row r="212">
          <cell r="A212">
            <v>35754</v>
          </cell>
          <cell r="B212">
            <v>0.87128712871287128</v>
          </cell>
          <cell r="C212">
            <v>0.9726989079563183</v>
          </cell>
          <cell r="D212">
            <v>0.90037593984962405</v>
          </cell>
          <cell r="E212">
            <v>1.1812080536912752</v>
          </cell>
          <cell r="F212">
            <v>0.4325581395348837</v>
          </cell>
          <cell r="G212">
            <v>1.3636363636363635</v>
          </cell>
        </row>
        <row r="213">
          <cell r="A213">
            <v>35755</v>
          </cell>
          <cell r="B213">
            <v>0.88613861386138615</v>
          </cell>
          <cell r="C213">
            <v>0.97035881435257409</v>
          </cell>
          <cell r="D213">
            <v>0.8928571428571429</v>
          </cell>
          <cell r="E213">
            <v>1.1912751677852349</v>
          </cell>
          <cell r="F213">
            <v>0.42674418604651165</v>
          </cell>
          <cell r="G213">
            <v>1.3636363636363635</v>
          </cell>
        </row>
        <row r="214">
          <cell r="A214">
            <v>35758</v>
          </cell>
          <cell r="B214">
            <v>0.86468646864686471</v>
          </cell>
          <cell r="C214">
            <v>0.94929797191887677</v>
          </cell>
          <cell r="D214">
            <v>0.8928571428571429</v>
          </cell>
          <cell r="E214">
            <v>1.174496644295302</v>
          </cell>
          <cell r="F214">
            <v>0.42441860465116277</v>
          </cell>
          <cell r="G214">
            <v>1.3636363636363635</v>
          </cell>
        </row>
        <row r="215">
          <cell r="A215">
            <v>35759</v>
          </cell>
          <cell r="B215">
            <v>0.68151815181518149</v>
          </cell>
          <cell r="C215">
            <v>0.93369734789391579</v>
          </cell>
          <cell r="D215">
            <v>0.88721804511278191</v>
          </cell>
          <cell r="E215">
            <v>1.1812080536912752</v>
          </cell>
          <cell r="F215">
            <v>0.42790697674418604</v>
          </cell>
          <cell r="G215">
            <v>1.3636363636363635</v>
          </cell>
        </row>
        <row r="216">
          <cell r="A216">
            <v>35760</v>
          </cell>
          <cell r="B216">
            <v>0.70792079207920788</v>
          </cell>
          <cell r="C216">
            <v>0.93447737909516382</v>
          </cell>
          <cell r="D216">
            <v>0.84774436090225569</v>
          </cell>
          <cell r="E216">
            <v>1.1845637583892616</v>
          </cell>
          <cell r="F216">
            <v>0.43604651162790697</v>
          </cell>
          <cell r="G216">
            <v>1.3636363636363635</v>
          </cell>
        </row>
        <row r="217">
          <cell r="A217">
            <v>35761</v>
          </cell>
          <cell r="B217">
            <v>0.70792079207920788</v>
          </cell>
          <cell r="C217">
            <v>0.93447737909516382</v>
          </cell>
          <cell r="D217">
            <v>0.84774436090225569</v>
          </cell>
          <cell r="E217">
            <v>1.1845637583892616</v>
          </cell>
          <cell r="F217">
            <v>0.43604651162790697</v>
          </cell>
          <cell r="G217">
            <v>1.3636363636363635</v>
          </cell>
        </row>
        <row r="218">
          <cell r="A218">
            <v>35762</v>
          </cell>
          <cell r="B218">
            <v>0.70957095709570961</v>
          </cell>
          <cell r="C218">
            <v>0.93603744149765988</v>
          </cell>
          <cell r="D218">
            <v>0.84398496240601506</v>
          </cell>
          <cell r="E218">
            <v>1.1912751677852349</v>
          </cell>
          <cell r="F218">
            <v>0.44418604651162791</v>
          </cell>
          <cell r="G218">
            <v>1.3636363636363635</v>
          </cell>
        </row>
        <row r="219">
          <cell r="A219">
            <v>35765</v>
          </cell>
          <cell r="B219">
            <v>0.72277227722772275</v>
          </cell>
          <cell r="C219">
            <v>0.96723868954758185</v>
          </cell>
          <cell r="D219">
            <v>0.85902255639097747</v>
          </cell>
          <cell r="E219">
            <v>1.2281879194630871</v>
          </cell>
          <cell r="F219">
            <v>0.45348837209302323</v>
          </cell>
          <cell r="G219">
            <v>1.3636363636363635</v>
          </cell>
        </row>
        <row r="220">
          <cell r="A220">
            <v>35766</v>
          </cell>
          <cell r="B220">
            <v>0.70132013201320131</v>
          </cell>
          <cell r="C220">
            <v>0.98283931357254295</v>
          </cell>
          <cell r="D220">
            <v>0.84586466165413532</v>
          </cell>
          <cell r="E220">
            <v>1.2080536912751678</v>
          </cell>
          <cell r="F220">
            <v>0.43720930232558142</v>
          </cell>
          <cell r="G220">
            <v>1.3636363636363635</v>
          </cell>
        </row>
        <row r="221">
          <cell r="A221">
            <v>35767</v>
          </cell>
          <cell r="B221">
            <v>0.71122112211221122</v>
          </cell>
          <cell r="C221">
            <v>1.0015600624024961</v>
          </cell>
          <cell r="D221">
            <v>0.84586466165413532</v>
          </cell>
          <cell r="E221">
            <v>1.1879194630872483</v>
          </cell>
          <cell r="F221">
            <v>0.44186046511627908</v>
          </cell>
          <cell r="G221">
            <v>1.3636363636363635</v>
          </cell>
        </row>
        <row r="222">
          <cell r="A222">
            <v>35768</v>
          </cell>
          <cell r="B222">
            <v>0.70709570957095713</v>
          </cell>
          <cell r="C222">
            <v>0.9929797191887676</v>
          </cell>
          <cell r="D222">
            <v>0.84210526315789469</v>
          </cell>
          <cell r="E222">
            <v>1.2483221476510067</v>
          </cell>
          <cell r="F222">
            <v>0.39302325581395348</v>
          </cell>
          <cell r="G222">
            <v>1.3636363636363635</v>
          </cell>
        </row>
        <row r="223">
          <cell r="A223">
            <v>35769</v>
          </cell>
          <cell r="B223">
            <v>0.71452145214521456</v>
          </cell>
          <cell r="C223">
            <v>0.99687987519500776</v>
          </cell>
          <cell r="D223">
            <v>0.84210526315789469</v>
          </cell>
          <cell r="E223">
            <v>1.2583892617449663</v>
          </cell>
          <cell r="F223">
            <v>0.413953488372093</v>
          </cell>
          <cell r="G223">
            <v>1.3636363636363635</v>
          </cell>
        </row>
        <row r="224">
          <cell r="A224">
            <v>35772</v>
          </cell>
          <cell r="B224">
            <v>0.72277227722772275</v>
          </cell>
          <cell r="C224">
            <v>0.98673946957878311</v>
          </cell>
          <cell r="D224">
            <v>0.82518796992481203</v>
          </cell>
          <cell r="E224">
            <v>1.2483221476510067</v>
          </cell>
          <cell r="F224">
            <v>0.39767441860465114</v>
          </cell>
          <cell r="G224">
            <v>1.3636363636363635</v>
          </cell>
        </row>
        <row r="225">
          <cell r="A225">
            <v>35773</v>
          </cell>
          <cell r="B225">
            <v>0.71617161716171618</v>
          </cell>
          <cell r="C225">
            <v>0.99219968798751945</v>
          </cell>
          <cell r="D225">
            <v>0.80639097744360899</v>
          </cell>
          <cell r="E225">
            <v>1.2751677852348993</v>
          </cell>
          <cell r="F225">
            <v>0.37325581395348839</v>
          </cell>
          <cell r="G225">
            <v>1.3636363636363635</v>
          </cell>
        </row>
        <row r="226">
          <cell r="A226">
            <v>35774</v>
          </cell>
          <cell r="B226">
            <v>0.70792079207920788</v>
          </cell>
          <cell r="C226">
            <v>0.98751950078003126</v>
          </cell>
          <cell r="D226">
            <v>0.76315789473684215</v>
          </cell>
          <cell r="E226">
            <v>1.1476510067114094</v>
          </cell>
          <cell r="F226">
            <v>0.31860465116279069</v>
          </cell>
          <cell r="G226">
            <v>1.3636363636363635</v>
          </cell>
        </row>
        <row r="227">
          <cell r="A227">
            <v>35775</v>
          </cell>
          <cell r="B227">
            <v>0.70709570957095713</v>
          </cell>
          <cell r="C227">
            <v>0.9750390015600624</v>
          </cell>
          <cell r="D227">
            <v>0.75939849624060152</v>
          </cell>
          <cell r="E227">
            <v>1.1275167785234899</v>
          </cell>
          <cell r="F227">
            <v>0.30813953488372092</v>
          </cell>
          <cell r="G227">
            <v>1.3636363636363635</v>
          </cell>
        </row>
        <row r="228">
          <cell r="A228">
            <v>35776</v>
          </cell>
          <cell r="B228">
            <v>0.70297029702970293</v>
          </cell>
          <cell r="C228">
            <v>0.98517940717628705</v>
          </cell>
          <cell r="D228">
            <v>0.75939849624060152</v>
          </cell>
          <cell r="E228">
            <v>1.1241610738255035</v>
          </cell>
          <cell r="F228">
            <v>0.28953488372093023</v>
          </cell>
          <cell r="G228">
            <v>1.3636363636363635</v>
          </cell>
        </row>
        <row r="229">
          <cell r="A229">
            <v>35779</v>
          </cell>
          <cell r="B229">
            <v>0.71122112211221122</v>
          </cell>
          <cell r="C229">
            <v>1.0031201248049921</v>
          </cell>
          <cell r="D229">
            <v>0.73684210526315785</v>
          </cell>
          <cell r="E229">
            <v>1.1174496644295302</v>
          </cell>
          <cell r="F229">
            <v>0.2930232558139535</v>
          </cell>
          <cell r="G229">
            <v>1.3636363636363635</v>
          </cell>
        </row>
        <row r="230">
          <cell r="A230">
            <v>35780</v>
          </cell>
          <cell r="B230">
            <v>0.71947194719471952</v>
          </cell>
          <cell r="C230">
            <v>0.99375975039001563</v>
          </cell>
          <cell r="D230">
            <v>0.73872180451127822</v>
          </cell>
          <cell r="E230">
            <v>1.0906040268456376</v>
          </cell>
          <cell r="F230">
            <v>0.30116279069767443</v>
          </cell>
          <cell r="G230">
            <v>1.3636363636363635</v>
          </cell>
        </row>
        <row r="231">
          <cell r="A231">
            <v>35781</v>
          </cell>
          <cell r="B231">
            <v>0.71782178217821779</v>
          </cell>
          <cell r="C231">
            <v>0.98439937597503901</v>
          </cell>
          <cell r="D231">
            <v>0.75375939849624063</v>
          </cell>
          <cell r="E231">
            <v>1.080536912751678</v>
          </cell>
          <cell r="F231">
            <v>0.3</v>
          </cell>
          <cell r="G231">
            <v>1.3636363636363635</v>
          </cell>
        </row>
        <row r="232">
          <cell r="A232">
            <v>35782</v>
          </cell>
          <cell r="B232">
            <v>0.71122112211221122</v>
          </cell>
          <cell r="C232">
            <v>0.86739469578783146</v>
          </cell>
          <cell r="D232">
            <v>0.71240601503759393</v>
          </cell>
          <cell r="E232">
            <v>1.0671140939597314</v>
          </cell>
          <cell r="F232">
            <v>0.27790697674418607</v>
          </cell>
          <cell r="G232">
            <v>1.3636363636363635</v>
          </cell>
        </row>
        <row r="233">
          <cell r="A233">
            <v>35783</v>
          </cell>
          <cell r="B233">
            <v>0.70379537953795379</v>
          </cell>
          <cell r="C233">
            <v>0.84789391575663031</v>
          </cell>
          <cell r="D233">
            <v>0.68045112781954886</v>
          </cell>
          <cell r="E233">
            <v>1.0503355704697988</v>
          </cell>
          <cell r="F233">
            <v>0.28255813953488373</v>
          </cell>
          <cell r="G233">
            <v>1.3636363636363635</v>
          </cell>
        </row>
        <row r="234">
          <cell r="A234">
            <v>35786</v>
          </cell>
          <cell r="B234">
            <v>0.71947194719471952</v>
          </cell>
          <cell r="C234">
            <v>0.8408736349453978</v>
          </cell>
          <cell r="D234">
            <v>0.68045112781954886</v>
          </cell>
          <cell r="E234">
            <v>1.0402684563758389</v>
          </cell>
          <cell r="F234">
            <v>0.28139534883720929</v>
          </cell>
          <cell r="G234">
            <v>1.3636363636363635</v>
          </cell>
        </row>
        <row r="235">
          <cell r="A235">
            <v>35787</v>
          </cell>
          <cell r="B235">
            <v>0.70627062706270627</v>
          </cell>
          <cell r="C235">
            <v>0.8408736349453978</v>
          </cell>
          <cell r="D235">
            <v>0.67669172932330823</v>
          </cell>
          <cell r="E235">
            <v>1.0201342281879195</v>
          </cell>
          <cell r="F235">
            <v>0.27209302325581397</v>
          </cell>
          <cell r="G235">
            <v>1.3636363636363635</v>
          </cell>
        </row>
        <row r="236">
          <cell r="A236">
            <v>35788</v>
          </cell>
          <cell r="B236">
            <v>0.70297029702970293</v>
          </cell>
          <cell r="C236">
            <v>0.83619344773790949</v>
          </cell>
          <cell r="D236">
            <v>0.68421052631578949</v>
          </cell>
          <cell r="E236">
            <v>1.0134228187919463</v>
          </cell>
          <cell r="F236">
            <v>0.26976744186046514</v>
          </cell>
          <cell r="G236">
            <v>1.3636363636363635</v>
          </cell>
        </row>
        <row r="237">
          <cell r="A237">
            <v>35789</v>
          </cell>
          <cell r="B237">
            <v>0.70297029702970293</v>
          </cell>
          <cell r="C237">
            <v>0.83619344773790949</v>
          </cell>
          <cell r="D237">
            <v>0.68421052631578949</v>
          </cell>
          <cell r="E237">
            <v>1.0134228187919463</v>
          </cell>
          <cell r="F237">
            <v>0.26976744186046514</v>
          </cell>
          <cell r="G237">
            <v>1.3636363636363635</v>
          </cell>
        </row>
        <row r="238">
          <cell r="A238">
            <v>35790</v>
          </cell>
          <cell r="B238">
            <v>0.70462046204620465</v>
          </cell>
          <cell r="C238">
            <v>0.8408736349453978</v>
          </cell>
          <cell r="D238">
            <v>0.68233082706766912</v>
          </cell>
          <cell r="E238">
            <v>1.0134228187919463</v>
          </cell>
          <cell r="F238">
            <v>0.2686046511627907</v>
          </cell>
          <cell r="G238">
            <v>1.3636363636363635</v>
          </cell>
        </row>
        <row r="239">
          <cell r="A239">
            <v>35793</v>
          </cell>
          <cell r="B239">
            <v>0.68976897689768979</v>
          </cell>
          <cell r="C239">
            <v>0.84165366614664583</v>
          </cell>
          <cell r="D239">
            <v>0.68045112781954886</v>
          </cell>
          <cell r="E239">
            <v>1.0335570469798658</v>
          </cell>
          <cell r="F239">
            <v>0.2686046511627907</v>
          </cell>
          <cell r="G239">
            <v>1.3636363636363635</v>
          </cell>
        </row>
        <row r="240">
          <cell r="A240">
            <v>35794</v>
          </cell>
          <cell r="B240">
            <v>0.69471947194719474</v>
          </cell>
          <cell r="C240">
            <v>0.87363494539781594</v>
          </cell>
          <cell r="D240">
            <v>0.6992481203007519</v>
          </cell>
          <cell r="E240">
            <v>1.080536912751678</v>
          </cell>
          <cell r="F240">
            <v>0.28837209302325584</v>
          </cell>
          <cell r="G240">
            <v>1.3636363636363635</v>
          </cell>
        </row>
        <row r="241">
          <cell r="A241">
            <v>35795</v>
          </cell>
          <cell r="B241">
            <v>0.6914191419141914</v>
          </cell>
          <cell r="C241">
            <v>0.88065522620904835</v>
          </cell>
          <cell r="D241">
            <v>0.66917293233082709</v>
          </cell>
          <cell r="E241">
            <v>1.1140939597315436</v>
          </cell>
          <cell r="F241">
            <v>0.28953488372093023</v>
          </cell>
          <cell r="G241">
            <v>1.3636363636363635</v>
          </cell>
        </row>
        <row r="242">
          <cell r="A242">
            <v>35796</v>
          </cell>
          <cell r="B242">
            <v>0.6914191419141914</v>
          </cell>
          <cell r="C242">
            <v>0.88065522620904835</v>
          </cell>
          <cell r="D242">
            <v>0.66917293233082709</v>
          </cell>
          <cell r="E242">
            <v>1.1140939597315436</v>
          </cell>
          <cell r="F242">
            <v>0.28953488372093023</v>
          </cell>
          <cell r="G242">
            <v>1.3636363636363635</v>
          </cell>
        </row>
        <row r="243">
          <cell r="A243">
            <v>35797</v>
          </cell>
          <cell r="B243">
            <v>0.69636963696369636</v>
          </cell>
          <cell r="C243">
            <v>0.87363494539781594</v>
          </cell>
          <cell r="D243">
            <v>0.69548872180451127</v>
          </cell>
          <cell r="E243">
            <v>1.1342281879194631</v>
          </cell>
          <cell r="F243">
            <v>0.31860465116279069</v>
          </cell>
          <cell r="G243">
            <v>1.3636363636363635</v>
          </cell>
        </row>
        <row r="244">
          <cell r="A244">
            <v>35800</v>
          </cell>
          <cell r="B244">
            <v>0.68811881188118806</v>
          </cell>
          <cell r="C244">
            <v>0.87831513260530425</v>
          </cell>
          <cell r="D244">
            <v>0.69548872180451127</v>
          </cell>
          <cell r="E244">
            <v>1.1409395973154361</v>
          </cell>
          <cell r="F244">
            <v>0.33953488372093021</v>
          </cell>
          <cell r="G244">
            <v>1.3636363636363635</v>
          </cell>
        </row>
        <row r="245">
          <cell r="A245">
            <v>35801</v>
          </cell>
          <cell r="B245">
            <v>0.66666666666666663</v>
          </cell>
          <cell r="C245">
            <v>0.9024960998439937</v>
          </cell>
          <cell r="D245">
            <v>0.69172932330827064</v>
          </cell>
          <cell r="E245">
            <v>1.1140939597315436</v>
          </cell>
          <cell r="F245">
            <v>0.32558139534883723</v>
          </cell>
          <cell r="G245">
            <v>1.3636363636363635</v>
          </cell>
        </row>
        <row r="246">
          <cell r="A246">
            <v>35802</v>
          </cell>
          <cell r="B246">
            <v>0.72607260726072609</v>
          </cell>
          <cell r="C246">
            <v>0.91107644305772228</v>
          </cell>
          <cell r="D246">
            <v>0.73308270676691734</v>
          </cell>
          <cell r="E246">
            <v>1.1677852348993289</v>
          </cell>
          <cell r="F246">
            <v>0.3174418604651163</v>
          </cell>
          <cell r="G246">
            <v>1.3636363636363635</v>
          </cell>
        </row>
        <row r="247">
          <cell r="A247">
            <v>35803</v>
          </cell>
          <cell r="B247">
            <v>0.68646864686468645</v>
          </cell>
          <cell r="C247">
            <v>0.88767550702028086</v>
          </cell>
          <cell r="D247">
            <v>0.74060150375939848</v>
          </cell>
          <cell r="E247">
            <v>1.1174496644295302</v>
          </cell>
          <cell r="F247">
            <v>0.30465116279069765</v>
          </cell>
          <cell r="G247">
            <v>1.3636363636363635</v>
          </cell>
        </row>
        <row r="248">
          <cell r="A248">
            <v>35804</v>
          </cell>
          <cell r="B248">
            <v>0.65841584158415845</v>
          </cell>
          <cell r="C248">
            <v>0.86895475819032764</v>
          </cell>
          <cell r="D248">
            <v>0.74060150375939848</v>
          </cell>
          <cell r="E248">
            <v>1.0536912751677852</v>
          </cell>
          <cell r="F248">
            <v>0.29186046511627906</v>
          </cell>
          <cell r="G248">
            <v>1.3636363636363635</v>
          </cell>
        </row>
        <row r="249">
          <cell r="A249">
            <v>35807</v>
          </cell>
          <cell r="B249">
            <v>0.65676567656765672</v>
          </cell>
          <cell r="C249">
            <v>0.87909516380655228</v>
          </cell>
          <cell r="D249">
            <v>0.74060150375939848</v>
          </cell>
          <cell r="E249">
            <v>1.0738255033557047</v>
          </cell>
          <cell r="F249">
            <v>0.28255813953488373</v>
          </cell>
          <cell r="G249">
            <v>1.3636363636363635</v>
          </cell>
        </row>
        <row r="250">
          <cell r="A250">
            <v>35808</v>
          </cell>
          <cell r="B250">
            <v>0.66666666666666663</v>
          </cell>
          <cell r="C250">
            <v>0.87753510140405622</v>
          </cell>
          <cell r="D250">
            <v>0.73684210526315785</v>
          </cell>
          <cell r="E250">
            <v>1.0604026845637584</v>
          </cell>
          <cell r="F250">
            <v>0.28720930232558139</v>
          </cell>
          <cell r="G250">
            <v>1.3636363636363635</v>
          </cell>
        </row>
        <row r="251">
          <cell r="A251">
            <v>35809</v>
          </cell>
          <cell r="B251">
            <v>0.68316831683168322</v>
          </cell>
          <cell r="C251">
            <v>0.87597503900156004</v>
          </cell>
          <cell r="D251">
            <v>0.72556390977443608</v>
          </cell>
          <cell r="E251">
            <v>1.0939597315436242</v>
          </cell>
          <cell r="F251">
            <v>0.29534883720930233</v>
          </cell>
          <cell r="G251">
            <v>1.3636363636363635</v>
          </cell>
        </row>
        <row r="252">
          <cell r="A252">
            <v>35810</v>
          </cell>
          <cell r="B252">
            <v>0.71287128712871284</v>
          </cell>
          <cell r="C252">
            <v>0.89235569422776906</v>
          </cell>
          <cell r="D252">
            <v>0.73496240601503759</v>
          </cell>
          <cell r="E252">
            <v>1.0704697986577181</v>
          </cell>
          <cell r="F252">
            <v>0.29418604651162789</v>
          </cell>
          <cell r="G252">
            <v>1.3636363636363635</v>
          </cell>
        </row>
        <row r="253">
          <cell r="A253">
            <v>35811</v>
          </cell>
          <cell r="B253">
            <v>0.7277227722772277</v>
          </cell>
          <cell r="C253">
            <v>0.89703588143525737</v>
          </cell>
          <cell r="D253">
            <v>0.75187969924812026</v>
          </cell>
          <cell r="E253">
            <v>1.0838926174496644</v>
          </cell>
          <cell r="F253">
            <v>0.29534883720930233</v>
          </cell>
          <cell r="G253">
            <v>1.3636363636363635</v>
          </cell>
        </row>
        <row r="254">
          <cell r="A254">
            <v>35814</v>
          </cell>
          <cell r="B254">
            <v>0.7277227722772277</v>
          </cell>
          <cell r="C254">
            <v>0.89703588143525737</v>
          </cell>
          <cell r="D254">
            <v>0.75187969924812026</v>
          </cell>
          <cell r="E254">
            <v>1.0838926174496644</v>
          </cell>
          <cell r="F254">
            <v>0.29534883720930233</v>
          </cell>
          <cell r="G254">
            <v>1.3636363636363635</v>
          </cell>
        </row>
        <row r="255">
          <cell r="A255">
            <v>35815</v>
          </cell>
          <cell r="B255">
            <v>0.73019801980198018</v>
          </cell>
          <cell r="C255">
            <v>0.90873634945397819</v>
          </cell>
          <cell r="D255">
            <v>0.77067669172932329</v>
          </cell>
          <cell r="E255">
            <v>1.0738255033557047</v>
          </cell>
          <cell r="F255">
            <v>0.27906976744186046</v>
          </cell>
          <cell r="G255">
            <v>1.3636363636363635</v>
          </cell>
        </row>
        <row r="256">
          <cell r="A256">
            <v>35816</v>
          </cell>
          <cell r="B256">
            <v>0.76567656765676573</v>
          </cell>
          <cell r="C256">
            <v>0.91575663026521059</v>
          </cell>
          <cell r="D256">
            <v>0.77631578947368418</v>
          </cell>
          <cell r="E256">
            <v>1.0704697986577181</v>
          </cell>
          <cell r="F256">
            <v>0.27209302325581397</v>
          </cell>
          <cell r="G256">
            <v>1.3636363636363635</v>
          </cell>
        </row>
        <row r="257">
          <cell r="A257">
            <v>35817</v>
          </cell>
          <cell r="B257">
            <v>0.7722772277227723</v>
          </cell>
          <cell r="C257">
            <v>0.92823712948517945</v>
          </cell>
          <cell r="D257">
            <v>0.77819548872180455</v>
          </cell>
          <cell r="E257">
            <v>1.063758389261745</v>
          </cell>
          <cell r="F257">
            <v>0.2744186046511628</v>
          </cell>
          <cell r="G257">
            <v>1.3636363636363635</v>
          </cell>
        </row>
        <row r="258">
          <cell r="A258">
            <v>35818</v>
          </cell>
          <cell r="B258">
            <v>0.77516501650165015</v>
          </cell>
          <cell r="C258">
            <v>0.92199687987519496</v>
          </cell>
          <cell r="D258">
            <v>0.75563909774436089</v>
          </cell>
          <cell r="E258">
            <v>1.0469798657718121</v>
          </cell>
          <cell r="F258">
            <v>0.27325581395348836</v>
          </cell>
          <cell r="G258">
            <v>1.3636363636363635</v>
          </cell>
        </row>
        <row r="259">
          <cell r="A259">
            <v>35821</v>
          </cell>
          <cell r="B259">
            <v>0.7722772277227723</v>
          </cell>
          <cell r="C259">
            <v>0.93447737909516382</v>
          </cell>
          <cell r="D259">
            <v>0.74812030075187974</v>
          </cell>
          <cell r="E259">
            <v>1.0604026845637584</v>
          </cell>
          <cell r="F259">
            <v>0.27093023255813953</v>
          </cell>
          <cell r="G259">
            <v>1.3636363636363635</v>
          </cell>
        </row>
        <row r="260">
          <cell r="A260">
            <v>35822</v>
          </cell>
          <cell r="B260">
            <v>0.78382838283828382</v>
          </cell>
          <cell r="C260">
            <v>0.94929797191887677</v>
          </cell>
          <cell r="D260">
            <v>0.75187969924812026</v>
          </cell>
          <cell r="E260">
            <v>1.0704697986577181</v>
          </cell>
          <cell r="F260">
            <v>0.2686046511627907</v>
          </cell>
          <cell r="G260">
            <v>1.3636363636363635</v>
          </cell>
        </row>
        <row r="261">
          <cell r="A261">
            <v>35823</v>
          </cell>
          <cell r="B261">
            <v>0.77557755775577553</v>
          </cell>
          <cell r="C261">
            <v>0.94149765990639622</v>
          </cell>
          <cell r="D261">
            <v>0.76879699248120303</v>
          </cell>
          <cell r="E261">
            <v>1.0771812080536913</v>
          </cell>
          <cell r="F261">
            <v>0.26279069767441859</v>
          </cell>
          <cell r="G261">
            <v>1.3636363636363635</v>
          </cell>
        </row>
        <row r="262">
          <cell r="A262">
            <v>35824</v>
          </cell>
          <cell r="B262">
            <v>0.75247524752475248</v>
          </cell>
          <cell r="C262">
            <v>0.93837753510140409</v>
          </cell>
          <cell r="D262">
            <v>0.78947368421052633</v>
          </cell>
          <cell r="E262">
            <v>1.080536912751678</v>
          </cell>
          <cell r="F262">
            <v>0.2686046511627907</v>
          </cell>
          <cell r="G262">
            <v>1.3636363636363635</v>
          </cell>
        </row>
        <row r="263">
          <cell r="A263">
            <v>35825</v>
          </cell>
          <cell r="B263">
            <v>0.76567656765676573</v>
          </cell>
          <cell r="C263">
            <v>0.91731669266770666</v>
          </cell>
          <cell r="D263">
            <v>0.78007518796992481</v>
          </cell>
          <cell r="E263">
            <v>1.0771812080536913</v>
          </cell>
          <cell r="F263">
            <v>0.32558139534883723</v>
          </cell>
          <cell r="G263">
            <v>1.3636363636363635</v>
          </cell>
        </row>
        <row r="264">
          <cell r="A264">
            <v>35828</v>
          </cell>
          <cell r="B264">
            <v>0.7722772277227723</v>
          </cell>
          <cell r="C264">
            <v>0.95709828393135721</v>
          </cell>
          <cell r="D264">
            <v>0.79135338345864659</v>
          </cell>
          <cell r="E264">
            <v>1.1073825503355705</v>
          </cell>
          <cell r="F264">
            <v>0.33023255813953489</v>
          </cell>
          <cell r="G264">
            <v>1.3636363636363635</v>
          </cell>
        </row>
        <row r="265">
          <cell r="A265">
            <v>35829</v>
          </cell>
          <cell r="B265">
            <v>0.78877887788778878</v>
          </cell>
          <cell r="C265">
            <v>0.95397815912636508</v>
          </cell>
          <cell r="D265">
            <v>0.77631578947368418</v>
          </cell>
          <cell r="E265">
            <v>1.0973154362416107</v>
          </cell>
          <cell r="F265">
            <v>0.30813953488372092</v>
          </cell>
          <cell r="G265">
            <v>1.3636363636363635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4"/>
      <sheetName val="09"/>
      <sheetName val="10"/>
      <sheetName val="11"/>
      <sheetName val="Total"/>
      <sheetName val="Europe"/>
      <sheetName val="US"/>
      <sheetName val="Sheet3"/>
      <sheetName val="DIV Y"/>
      <sheetName val="Inc"/>
      <sheetName val="Multiples"/>
    </sheetNames>
    <sheetDataSet>
      <sheetData sheetId="0"/>
      <sheetData sheetId="1"/>
      <sheetData sheetId="2"/>
      <sheetData sheetId="3"/>
      <sheetData sheetId="4" refreshError="1">
        <row r="322">
          <cell r="C322" t="str">
            <v>Quality 1</v>
          </cell>
          <cell r="D322">
            <v>54</v>
          </cell>
        </row>
        <row r="323">
          <cell r="C323" t="str">
            <v>Quality 2</v>
          </cell>
          <cell r="D323">
            <v>37</v>
          </cell>
        </row>
        <row r="324">
          <cell r="C324" t="str">
            <v>Quality 3</v>
          </cell>
          <cell r="D324">
            <v>33</v>
          </cell>
        </row>
        <row r="325">
          <cell r="C325" t="str">
            <v>Quality 4</v>
          </cell>
          <cell r="D325">
            <v>173</v>
          </cell>
        </row>
      </sheetData>
      <sheetData sheetId="5" refreshError="1"/>
      <sheetData sheetId="6" refreshError="1"/>
      <sheetData sheetId="7" refreshError="1"/>
      <sheetData sheetId="8"/>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vol."/>
      <sheetName val="Breakdown"/>
      <sheetName val="20 year"/>
      <sheetName val="ten year"/>
      <sheetName val="5 year"/>
      <sheetName val="spread"/>
      <sheetName val="Trading Summary"/>
      <sheetName val="Expected European Inv"/>
      <sheetName val="Diageo's investor base"/>
      <sheetName val="spread perf."/>
      <sheetName val="spread 2"/>
      <sheetName val="Global dist"/>
      <sheetName val="Global distribution"/>
      <sheetName val="Internat dist"/>
      <sheetName val="Post launch (6)"/>
      <sheetName val="Recent trading (7)"/>
      <sheetName val="salesvol_"/>
      <sheetName val="sales vol_"/>
      <sheetName val="Financials"/>
      <sheetName val="Stock Price"/>
      <sheetName val="20_year"/>
      <sheetName val="ten_year"/>
      <sheetName val="5_year"/>
      <sheetName val="Trading_Summary"/>
      <sheetName val="Expected_European_Inv"/>
      <sheetName val="Diageo's_investor_base"/>
      <sheetName val="sales_vol_"/>
      <sheetName val="spread_perf_"/>
      <sheetName val="spread_2"/>
      <sheetName val="Global_dist"/>
      <sheetName val="Global_distribution"/>
      <sheetName val="Internat_dist"/>
      <sheetName val="Post_launch_(6)"/>
      <sheetName val="Recent_trading_(7)"/>
      <sheetName val="sales_vol_1"/>
      <sheetName val="Stock_Price"/>
      <sheetName val="20_year1"/>
      <sheetName val="ten_year1"/>
      <sheetName val="5_year1"/>
      <sheetName val="Trading_Summary1"/>
      <sheetName val="Expected_European_Inv1"/>
      <sheetName val="Diageo's_investor_base1"/>
      <sheetName val="sales_vol_2"/>
      <sheetName val="spread_perf_1"/>
      <sheetName val="spread_21"/>
      <sheetName val="Global_dist1"/>
      <sheetName val="Global_distribution1"/>
      <sheetName val="Internat_dist1"/>
      <sheetName val="Post_launch_(6)1"/>
      <sheetName val="Recent_trading_(7)1"/>
      <sheetName val="sales_vol_3"/>
      <sheetName val="Stock_Price1"/>
      <sheetName val="20_year2"/>
      <sheetName val="ten_year2"/>
      <sheetName val="5_year2"/>
      <sheetName val="Trading_Summary2"/>
      <sheetName val="Expected_European_Inv2"/>
      <sheetName val="Diageo's_investor_base2"/>
      <sheetName val="sales_vol_4"/>
      <sheetName val="spread_perf_2"/>
      <sheetName val="spread_22"/>
      <sheetName val="Global_dist2"/>
      <sheetName val="Global_distribution2"/>
      <sheetName val="Internat_dist2"/>
      <sheetName val="Post_launch_(6)2"/>
      <sheetName val="Recent_trading_(7)2"/>
      <sheetName val="sales_vol_5"/>
      <sheetName val="Stock_Price2"/>
      <sheetName val="Input Projected"/>
      <sheetName val="consolidated"/>
      <sheetName val="oldSEG"/>
      <sheetName val="Quarters"/>
      <sheetName val="Financial Overview ShortProfile"/>
      <sheetName val="Summary"/>
      <sheetName val="CUS Image"/>
      <sheetName val="9-05046L"/>
      <sheetName val="Input"/>
      <sheetName val="ProForma"/>
      <sheetName val="__FDSCACHE__"/>
      <sheetName val="Output"/>
      <sheetName val="Sheet1"/>
      <sheetName val="Delhaize"/>
      <sheetName val="Prop Model"/>
      <sheetName val="Office Data"/>
      <sheetName val="Pro forma IS"/>
      <sheetName val="BTMAIN"/>
      <sheetName val="Assumptions"/>
      <sheetName val="OPER"/>
      <sheetName val="RSR"/>
      <sheetName val="Weeklies"/>
      <sheetName val="Opportunity Codes "/>
      <sheetName val="2013"/>
      <sheetName val="Sheet2"/>
      <sheetName val="Sheet3"/>
      <sheetName val="Sheet4"/>
      <sheetName val="Total"/>
      <sheetName val="CAPITAL PH1"/>
      <sheetName val=" BUDGET P1"/>
      <sheetName val="EuroInputs"/>
      <sheetName val="MktAss"/>
      <sheetName val="A"/>
      <sheetName val="Corp Overhead"/>
      <sheetName val="MWC"/>
      <sheetName val="Corp_Overhead"/>
      <sheetName val="Corp_Overhead1"/>
      <sheetName val="Corp_Overhead2"/>
      <sheetName val="CAPEX"/>
      <sheetName val="Parameters"/>
      <sheetName val="INPUT ACQUIROR DATA"/>
      <sheetName val="Transaction-Assum."/>
      <sheetName val="Gráfico"/>
      <sheetName val="Data"/>
      <sheetName val="All Sum"/>
      <sheetName val="P&amp;L --KRON"/>
      <sheetName val="P&amp;L -BayTV"/>
      <sheetName val="215002"/>
      <sheetName val="Summary Financials"/>
      <sheetName val="Amarillo I-40-HI"/>
      <sheetName val="LTM"/>
      <sheetName val="CREDIT STATS"/>
      <sheetName val="DropZone"/>
      <sheetName val="Cover"/>
      <sheetName val="Total Firm"/>
      <sheetName val="Data for 03-04 Base Position"/>
      <sheetName val="company"/>
      <sheetName val="BS Rollup"/>
      <sheetName val="BEV"/>
      <sheetName val="EBITDA"/>
      <sheetName val="Price Performance Output"/>
      <sheetName val="Historical Multiples Output"/>
      <sheetName val="Straw Man"/>
      <sheetName val="MedSolutions Financial Data"/>
      <sheetName val="Football Field "/>
      <sheetName val="DCF"/>
      <sheetName val="Qcharts"/>
      <sheetName val="Charts"/>
      <sheetName val="Offers G&amp;C"/>
      <sheetName val="Offers GE"/>
      <sheetName val="Offers GS"/>
      <sheetName val="Offers MC"/>
      <sheetName val="13199"/>
      <sheetName val="PNGOil"/>
      <sheetName val="Model"/>
      <sheetName val="MLP IPO Yields vs MLP Index"/>
      <sheetName val="Control Panel"/>
      <sheetName val="Market"/>
      <sheetName val="Country Risk"/>
      <sheetName val="Quarterly rates"/>
      <sheetName val="Codes"/>
      <sheetName val="NCV Pivot"/>
      <sheetName val="exec sum (ncv) (3)"/>
      <sheetName val="Data Control"/>
    </sheetNames>
    <sheetDataSet>
      <sheetData sheetId="0" refreshError="1">
        <row r="34">
          <cell r="J34" t="str">
            <v>Europe</v>
          </cell>
        </row>
        <row r="35">
          <cell r="J35" t="str">
            <v>Other</v>
          </cell>
        </row>
        <row r="36">
          <cell r="J36" t="str">
            <v>Swiss</v>
          </cell>
        </row>
        <row r="37">
          <cell r="J37" t="str">
            <v>UK</v>
          </cell>
        </row>
        <row r="211">
          <cell r="J211" t="str">
            <v>Europe</v>
          </cell>
          <cell r="K211">
            <v>42560000</v>
          </cell>
        </row>
        <row r="212">
          <cell r="J212" t="str">
            <v>Other</v>
          </cell>
          <cell r="K212">
            <v>87425000</v>
          </cell>
        </row>
        <row r="213">
          <cell r="J213" t="str">
            <v>Swiss</v>
          </cell>
          <cell r="K213">
            <v>24660000</v>
          </cell>
        </row>
        <row r="214">
          <cell r="J214" t="str">
            <v>UK</v>
          </cell>
          <cell r="K214">
            <v>42000000</v>
          </cell>
        </row>
        <row r="398">
          <cell r="J398" t="str">
            <v>Europe</v>
          </cell>
          <cell r="K398">
            <v>33000000</v>
          </cell>
        </row>
        <row r="399">
          <cell r="J399" t="str">
            <v>Other</v>
          </cell>
          <cell r="K399">
            <v>21500000</v>
          </cell>
        </row>
        <row r="400">
          <cell r="J400" t="str">
            <v>Swiss</v>
          </cell>
          <cell r="K400">
            <v>116440000</v>
          </cell>
        </row>
        <row r="401">
          <cell r="J401" t="str">
            <v>UK</v>
          </cell>
          <cell r="K401">
            <v>101448000</v>
          </cell>
        </row>
        <row r="1121">
          <cell r="I1121" t="str">
            <v>Europe</v>
          </cell>
          <cell r="J1121">
            <v>11000000</v>
          </cell>
        </row>
        <row r="1122">
          <cell r="I1122" t="str">
            <v>Swiss</v>
          </cell>
          <cell r="J1122">
            <v>3370000</v>
          </cell>
        </row>
        <row r="1632">
          <cell r="I1632" t="str">
            <v>Europe</v>
          </cell>
          <cell r="J1632">
            <v>96300000</v>
          </cell>
        </row>
        <row r="1633">
          <cell r="I1633" t="str">
            <v>Other</v>
          </cell>
          <cell r="J1633">
            <v>39000000</v>
          </cell>
        </row>
        <row r="1634">
          <cell r="I1634" t="str">
            <v>Swiss</v>
          </cell>
          <cell r="J1634">
            <v>92900000</v>
          </cell>
        </row>
        <row r="1635">
          <cell r="I1635" t="str">
            <v>UK</v>
          </cell>
          <cell r="J1635">
            <v>64000000</v>
          </cell>
        </row>
        <row r="2248">
          <cell r="I2248" t="str">
            <v>Europe</v>
          </cell>
          <cell r="J2248">
            <v>12600000</v>
          </cell>
        </row>
        <row r="2249">
          <cell r="I2249" t="str">
            <v>Other</v>
          </cell>
          <cell r="J2249">
            <v>24500000</v>
          </cell>
        </row>
        <row r="2250">
          <cell r="I2250" t="str">
            <v>Swiss</v>
          </cell>
          <cell r="J2250">
            <v>56200000</v>
          </cell>
        </row>
        <row r="2251">
          <cell r="I2251" t="str">
            <v>UK</v>
          </cell>
          <cell r="J2251">
            <v>56400000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Check List"/>
      <sheetName val="History"/>
      <sheetName val="TB"/>
      <sheetName val="Data"/>
      <sheetName val="CFWorkings"/>
      <sheetName val="Cover"/>
      <sheetName val="Contents"/>
      <sheetName val="Information"/>
      <sheetName val="Director"/>
      <sheetName val="Responsibilities"/>
      <sheetName val="Audit"/>
      <sheetName val="Compilation"/>
      <sheetName val="Accountant"/>
      <sheetName val="PL"/>
      <sheetName val="RGL"/>
      <sheetName val="PL 1 Page"/>
      <sheetName val="BS"/>
      <sheetName val="CF"/>
      <sheetName val="BS 1 Page"/>
      <sheetName val="Cash Flow"/>
      <sheetName val="Notes"/>
      <sheetName val="DetailPL1"/>
      <sheetName val="DetailPL2"/>
      <sheetName val="AbbCover"/>
      <sheetName val="AbbAudit"/>
      <sheetName val="AbbCompilation"/>
      <sheetName val="AbbAccountant"/>
      <sheetName val="AbbBS"/>
      <sheetName val="AbbNotes"/>
      <sheetName val="Library"/>
      <sheetName val="Info Required"/>
      <sheetName val="FAR"/>
      <sheetName val="Tax Comp"/>
      <sheetName val="Workings"/>
      <sheetName val="VT_Results"/>
      <sheetName val="2004 05 SCS UK management acco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6">
          <cell r="C56" t="str">
            <v>Stem Cell Sciences (UK) Limited</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MultInputs"/>
      <sheetName val="Setup"/>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7F0B-3E7F-4945-9BD1-BE91D010EB0A}">
  <dimension ref="A1:M1"/>
  <sheetViews>
    <sheetView workbookViewId="0"/>
  </sheetViews>
  <sheetFormatPr defaultRowHeight="15" x14ac:dyDescent="0.25"/>
  <sheetData>
    <row r="1" spans="1:13" x14ac:dyDescent="0.25">
      <c r="A1">
        <v>13</v>
      </c>
      <c r="B1" t="s">
        <v>295</v>
      </c>
      <c r="C1" t="s">
        <v>296</v>
      </c>
      <c r="D1" t="s">
        <v>297</v>
      </c>
      <c r="E1" t="s">
        <v>298</v>
      </c>
      <c r="F1" t="s">
        <v>299</v>
      </c>
      <c r="G1" t="s">
        <v>300</v>
      </c>
      <c r="H1" t="s">
        <v>301</v>
      </c>
      <c r="I1" t="s">
        <v>302</v>
      </c>
      <c r="J1" t="s">
        <v>303</v>
      </c>
      <c r="K1" t="s">
        <v>304</v>
      </c>
      <c r="L1" t="s">
        <v>305</v>
      </c>
      <c r="M1" t="s">
        <v>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42"/>
  <sheetViews>
    <sheetView showGridLines="0" view="pageBreakPreview" topLeftCell="A25" zoomScaleNormal="100" zoomScaleSheetLayoutView="100" workbookViewId="0">
      <selection activeCell="G21" sqref="G21"/>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31">
        <f>'Asset Vol_2'!AB2</f>
        <v>43465</v>
      </c>
    </row>
    <row r="3" spans="2:35" s="34" customFormat="1" ht="15.75" customHeight="1" x14ac:dyDescent="0.25">
      <c r="B3" s="36" t="str">
        <f>Outline!C15</f>
        <v>Workpaper 7</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1.75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Methods'!F9</f>
        <v>1.75</v>
      </c>
      <c r="O7" s="98">
        <f>'Risk-Free Rates'!F45</f>
        <v>2.5174999999999999E-2</v>
      </c>
      <c r="P7" s="103"/>
      <c r="Q7" s="146">
        <f>ROUND(N7,0)</f>
        <v>2</v>
      </c>
    </row>
    <row r="8" spans="2:35" s="34" customFormat="1" ht="25.5" customHeight="1" collapsed="1" x14ac:dyDescent="0.2">
      <c r="D8" s="92" t="s">
        <v>105</v>
      </c>
      <c r="E8" s="93"/>
      <c r="F8" s="93"/>
      <c r="G8" s="93"/>
      <c r="H8" s="93"/>
      <c r="I8" s="93"/>
      <c r="J8" s="93"/>
      <c r="K8" s="94"/>
      <c r="M8" s="92" t="s">
        <v>106</v>
      </c>
      <c r="N8" s="93"/>
      <c r="O8" s="93"/>
      <c r="P8" s="147"/>
      <c r="Q8" s="94"/>
      <c r="S8" s="386" t="s">
        <v>107</v>
      </c>
      <c r="T8" s="387"/>
      <c r="U8" s="387"/>
      <c r="V8" s="387"/>
      <c r="W8" s="387"/>
      <c r="X8" s="386" t="s">
        <v>107</v>
      </c>
      <c r="Y8" s="388"/>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1.75</v>
      </c>
      <c r="O11" s="165">
        <f t="shared" si="0"/>
        <v>2.5174999999999999E-2</v>
      </c>
      <c r="P11" s="166"/>
      <c r="Q11" s="167">
        <f>IFERROR(HLOOKUP($Q$7,'Equity Vol'!$B$8:$K10,ROWS('Equity Vol'!$C$8:$C10),FALSE),"n/a")</f>
        <v>0.28856512088536501</v>
      </c>
      <c r="R11" s="103"/>
      <c r="S11" s="168">
        <f>IFERROR(IF(Q11="n/a","n/a",Q11^2),"n/a")</f>
        <v>8.3269828991585318E-2</v>
      </c>
      <c r="T11" s="168">
        <f>IF(OR(K11="n/a",S11="n/a"),"n/a",IF(H11=0,0,IF(M11=0,(LN(K11/H11)+((O11+(S11/2))*N11))/((S11*N11)^0.5),(LN(K11/H11)+((O11-M11+(S11/2))*N11))/((S11*N11)^0.5))))</f>
        <v>1.6479030515186694</v>
      </c>
      <c r="U11" s="169">
        <f>IF(T11="n/a","n/a",IF(H11=0,0,T11-(S11*N11)^0.5))</f>
        <v>1.2661672780636861</v>
      </c>
      <c r="V11" s="169">
        <f>IF(OR(T11="n/a",S11="n/a"),"n/a",IF(H11=0,0,NORMSDIST(T11)))</f>
        <v>0.950313716432578</v>
      </c>
      <c r="W11" s="169">
        <f>IF(OR(U11="n/a",S11="n/a"),"n/a",IF(H11=0,0,NORMSDIST(U11)))</f>
        <v>0.89727340006084211</v>
      </c>
      <c r="X11" s="170">
        <f>IF(OR(K11="n/a",S11="n/a"),"n/a",IF(M11=0,(K11*V11)-((H11*EXP(1)^(-O11*N11))*W11),(K11*(2.718^(-M11*N11))*V11)-(H11*(2.718^(-O11*N11))*W11)))</f>
        <v>23782.725852218759</v>
      </c>
      <c r="Y11" s="171">
        <f>IFERROR(IF(LEN(B11)&gt;0,IF(H11=0,Q11,IF(ISERROR(Q11/((K11/X11)*V11)),"n/a",Q11/((K11/X11)*V11)))),"n/a")</f>
        <v>0.12829115093149979</v>
      </c>
      <c r="AA11" s="172" t="str">
        <f>'Asset Vol_2'!AA11</f>
        <v>DB:FRE</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1.75</v>
      </c>
      <c r="O12" s="165">
        <f t="shared" si="0"/>
        <v>2.5174999999999999E-2</v>
      </c>
      <c r="P12" s="166"/>
      <c r="Q12" s="167">
        <f>IFERROR(HLOOKUP($Q$7,'Equity Vol'!$B$8:$K11,ROWS('Equity Vol'!$C$8:$C11),FALSE),"n/a")</f>
        <v>0.26144451973052713</v>
      </c>
      <c r="R12" s="103"/>
      <c r="S12" s="168">
        <f>IFERROR(IF(Q12="n/a","n/a",Q12^2),"n/a")</f>
        <v>6.8353236897125982E-2</v>
      </c>
      <c r="T12" s="168">
        <f>IF(OR(K12="n/a",S12="n/a"),"n/a",IF(H12=0,0,IF(M12=0,(LN(K12/H12)+((O12+(S12/2))*N12))/((S12*N12)^0.5),(LN(K12/H12)+((O12-M12+(S12/2))*N12))/((S12*N12)^0.5))))</f>
        <v>3.1796901465241194</v>
      </c>
      <c r="U12" s="169">
        <f>IF(T12="n/a","n/a",IF(H12=0,0,T12-(S12*N12)^0.5))</f>
        <v>2.833831556100272</v>
      </c>
      <c r="V12" s="169">
        <f>IF(OR(T12="n/a",S12="n/a"),"n/a",IF(H12=0,0,NORMSDIST(T12)))</f>
        <v>0.99926283696624385</v>
      </c>
      <c r="W12" s="169">
        <f>IF(OR(U12="n/a",S12="n/a"),"n/a",IF(H12=0,0,NORMSDIST(U12)))</f>
        <v>0.99770032157826183</v>
      </c>
      <c r="X12" s="170">
        <f>IF(OR(K12="n/a",S12="n/a"),"n/a",IF(M12=0,(K12*V12)-((H12*EXP(1)^(-O12*N12))*W12),(K12*(2.718^(-M12*N12))*V12)-(H12*(2.718^(-O12*N12))*W12)))</f>
        <v>17284.764957265728</v>
      </c>
      <c r="Y12" s="171">
        <f>IFERROR(IF(LEN(B12)&gt;0,IF(H12=0,Q12,IF(ISERROR(Q12/((K12/X12)*V12)),"n/a",Q12/((K12/X12)*V12)))),"n/a")</f>
        <v>0.1637221801270434</v>
      </c>
      <c r="AA12" s="172" t="str">
        <f>'Asset Vol_2'!AA12</f>
        <v>XTRA:FME</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1.75</v>
      </c>
      <c r="O13" s="165">
        <f t="shared" si="0"/>
        <v>2.5174999999999999E-2</v>
      </c>
      <c r="P13" s="166"/>
      <c r="Q13" s="167">
        <f>IFERROR(HLOOKUP($Q$7,'Equity Vol'!$B$8:$K12,ROWS('Equity Vol'!$C$8:$C12),FALSE),"n/a")</f>
        <v>0.30047832513311512</v>
      </c>
      <c r="R13" s="103"/>
      <c r="S13" s="168">
        <f>IFERROR(IF(Q13="n/a","n/a",Q13^2),"n/a")</f>
        <v>9.0287223874802036E-2</v>
      </c>
      <c r="T13" s="168">
        <f>IF(OR(K13="n/a",S13="n/a"),"n/a",IF(H13=0,0,IF(M13=0,(LN(K13/H13)+((O13+(S13/2))*N13))/((S13*N13)^0.5),(LN(K13/H13)+((O13-M13+(S13/2))*N13))/((S13*N13)^0.5))))</f>
        <v>1.6500394165176249</v>
      </c>
      <c r="U13" s="169">
        <f>IF(T13="n/a","n/a",IF(H13=0,0,T13-(S13*N13)^0.5))</f>
        <v>1.252543955183909</v>
      </c>
      <c r="V13" s="169">
        <f>IF(OR(T13="n/a",S13="n/a"),"n/a",IF(H13=0,0,NORMSDIST(T13)))</f>
        <v>0.950532562762475</v>
      </c>
      <c r="W13" s="169">
        <f>IF(OR(U13="n/a",S13="n/a"),"n/a",IF(H13=0,0,NORMSDIST(U13)))</f>
        <v>0.89481413892102846</v>
      </c>
      <c r="X13" s="170">
        <f>IF(OR(K13="n/a",S13="n/a"),"n/a",IF(M13=0,(K13*V13)-((H13*EXP(1)^(-O13*N13))*W13),(K13*(2.718^(-M13*N13))*V13)-(H13*(2.718^(-O13*N13))*W13)))</f>
        <v>8772.1803256085586</v>
      </c>
      <c r="Y13" s="171">
        <f>IFERROR(IF(LEN(B13)&gt;0,IF(H13=0,Q13,IF(ISERROR(Q13/((K13/X13)*V13)),"n/a",Q13/((K13/X13)*V13)))),"n/a")</f>
        <v>0.14160814769103966</v>
      </c>
      <c r="AA13" s="172" t="str">
        <f>'Asset Vol_2'!AA13</f>
        <v>NYSE:DVA</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1.75</v>
      </c>
      <c r="O14" s="165">
        <f t="shared" si="0"/>
        <v>2.5174999999999999E-2</v>
      </c>
      <c r="P14" s="166"/>
      <c r="Q14" s="167">
        <f>IFERROR(HLOOKUP($Q$7,'Equity Vol'!$B$8:$K13,ROWS('Equity Vol'!$C$8:$C13),FALSE),"n/a")</f>
        <v>0.29706003745331494</v>
      </c>
      <c r="R14" s="103"/>
      <c r="S14" s="168">
        <f>IFERROR(IF(Q14="n/a","n/a",Q14^2),"n/a")</f>
        <v>8.8244665851764881E-2</v>
      </c>
      <c r="T14" s="168">
        <f>IF(OR(K14="n/a",S14="n/a"),"n/a",IF(H14=0,0,IF(M14=0,(LN(K14/H14)+((O14+(S14/2))*N14))/((S14*N14)^0.5),(LN(K14/H14)+((O14-M14+(S14/2))*N14))/((S14*N14)^0.5))))</f>
        <v>12.773352449962399</v>
      </c>
      <c r="U14" s="169">
        <f>IF(T14="n/a","n/a",IF(H14=0,0,T14-(S14*N14)^0.5))</f>
        <v>12.380378958183897</v>
      </c>
      <c r="V14" s="169">
        <f>IF(OR(T14="n/a",S14="n/a"),"n/a",IF(H14=0,0,NORMSDIST(T14)))</f>
        <v>1</v>
      </c>
      <c r="W14" s="169">
        <f>IF(OR(U14="n/a",S14="n/a"),"n/a",IF(H14=0,0,NORMSDIST(U14)))</f>
        <v>1</v>
      </c>
      <c r="X14" s="170">
        <f>IF(OR(K14="n/a",S14="n/a"),"n/a",IF(M14=0,(K14*V14)-((H14*EXP(1)^(-O14*N14))*W14),(K14*(2.718^(-M14*N14))*V14)-(H14*(2.718^(-O14*N14))*W14)))</f>
        <v>1827.1635219110035</v>
      </c>
      <c r="Y14" s="171">
        <f>IFERROR(IF(LEN(B14)&gt;0,IF(H14=0,Q14,IF(ISERROR(Q14/((K14/X14)*V14)),"n/a",Q14/((K14/X14)*V14)))),"n/a")</f>
        <v>0.29493973354089975</v>
      </c>
      <c r="Z14" s="175"/>
      <c r="AA14" s="172" t="str">
        <f>'Asset Vol_2'!AA14</f>
        <v>IQ115544</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1.75</v>
      </c>
      <c r="O15" s="165">
        <f t="shared" si="0"/>
        <v>2.5174999999999999E-2</v>
      </c>
      <c r="P15" s="166"/>
      <c r="Q15" s="167">
        <f>IFERROR(HLOOKUP($Q$7,'Equity Vol'!$B$8:$K14,ROWS('Equity Vol'!$C$8:$C14),FALSE),"n/a")</f>
        <v>0.49317678642885571</v>
      </c>
      <c r="R15" s="103"/>
      <c r="S15" s="168">
        <f>IFERROR(IF(Q15="n/a","n/a",Q15^2),"n/a")</f>
        <v>0.24322334267229315</v>
      </c>
      <c r="T15" s="168">
        <f>IF(OR(K15="n/a",S15="n/a"),"n/a",IF(H15=0,0,IF(M15=0,(LN(K15/H15)+((O15+(S15/2))*N15))/((S15*N15)^0.5),(LN(K15/H15)+((O15-M15+(S15/2))*N15))/((S15*N15)^0.5))))</f>
        <v>0.86306301075952319</v>
      </c>
      <c r="U15" s="169">
        <f>IF(T15="n/a","n/a",IF(H15=0,0,T15-(S15*N15)^0.5))</f>
        <v>0.21065144611913988</v>
      </c>
      <c r="V15" s="169">
        <f>IF(OR(T15="n/a",S15="n/a"),"n/a",IF(H15=0,0,NORMSDIST(T15)))</f>
        <v>0.80594858814315007</v>
      </c>
      <c r="W15" s="169">
        <f>IF(OR(U15="n/a",S15="n/a"),"n/a",IF(H15=0,0,NORMSDIST(U15)))</f>
        <v>0.58342036763270189</v>
      </c>
      <c r="X15" s="170">
        <f>IF(OR(K15="n/a",S15="n/a"),"n/a",IF(M15=0,(K15*V15)-((H15*EXP(1)^(-O15*N15))*W15),(K15*(2.718^(-M15*N15))*V15)-(H15*(2.718^(-O15*N15))*W15)))</f>
        <v>466.70333989389673</v>
      </c>
      <c r="Y15" s="171">
        <f>IFERROR(IF(LEN(B15)&gt;0,IF(H15=0,Q15,IF(ISERROR(Q15/((K15/X15)*V15)),"n/a",Q15/((K15/X15)*V15)))),"n/a")</f>
        <v>0.24166147873797636</v>
      </c>
      <c r="Z15" s="175"/>
      <c r="AA15" s="172" t="str">
        <f>'Asset Vol_2'!AA15</f>
        <v>NYSE:ARA</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1.75</v>
      </c>
      <c r="O25" s="179">
        <f>MAX(O11:O14)</f>
        <v>2.5174999999999999E-2</v>
      </c>
      <c r="P25" s="180"/>
      <c r="Q25" s="181">
        <f>MAX(Q11:Q14)</f>
        <v>0.30047832513311512</v>
      </c>
      <c r="R25" s="182"/>
      <c r="S25" s="183">
        <f t="shared" ref="S25:Y25" si="1">MAX(S11:S14)</f>
        <v>9.0287223874802036E-2</v>
      </c>
      <c r="T25" s="183">
        <f t="shared" si="1"/>
        <v>12.773352449962399</v>
      </c>
      <c r="U25" s="184">
        <f t="shared" si="1"/>
        <v>12.380378958183897</v>
      </c>
      <c r="V25" s="184">
        <f t="shared" si="1"/>
        <v>1</v>
      </c>
      <c r="W25" s="184">
        <f t="shared" si="1"/>
        <v>1</v>
      </c>
      <c r="X25" s="185">
        <f t="shared" si="1"/>
        <v>23782.725852218759</v>
      </c>
      <c r="Y25" s="186">
        <f t="shared" si="1"/>
        <v>0.29493973354089975</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1.75</v>
      </c>
      <c r="O26" s="193">
        <f>MIN(O11:O14)</f>
        <v>2.5174999999999999E-2</v>
      </c>
      <c r="P26" s="194"/>
      <c r="Q26" s="195">
        <f>MIN(Q11:Q14)</f>
        <v>0.26144451973052713</v>
      </c>
      <c r="R26" s="196"/>
      <c r="S26" s="197">
        <f t="shared" ref="S26:Y26" si="2">MIN(S11:S14)</f>
        <v>6.8353236897125982E-2</v>
      </c>
      <c r="T26" s="197">
        <f t="shared" si="2"/>
        <v>1.6479030515186694</v>
      </c>
      <c r="U26" s="198">
        <f t="shared" si="2"/>
        <v>1.252543955183909</v>
      </c>
      <c r="V26" s="198">
        <f t="shared" si="2"/>
        <v>0.950313716432578</v>
      </c>
      <c r="W26" s="198">
        <f t="shared" si="2"/>
        <v>0.89481413892102846</v>
      </c>
      <c r="X26" s="199">
        <f t="shared" si="2"/>
        <v>1827.1635219110035</v>
      </c>
      <c r="Y26" s="200">
        <f t="shared" si="2"/>
        <v>0.12829115093149979</v>
      </c>
      <c r="AB26" s="201">
        <f>Y33</f>
        <v>0.245</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1.75</v>
      </c>
      <c r="O27" s="193">
        <f>AVERAGE(O11:O14)</f>
        <v>2.5174999999999999E-2</v>
      </c>
      <c r="P27" s="194"/>
      <c r="Q27" s="195">
        <f>AVERAGE(Q11:Q14)</f>
        <v>0.28688700080058055</v>
      </c>
      <c r="R27" s="196"/>
      <c r="S27" s="197">
        <f t="shared" ref="S27:Y27" si="3">AVERAGE(S11:S14)</f>
        <v>8.2538738903819547E-2</v>
      </c>
      <c r="T27" s="197">
        <f t="shared" si="3"/>
        <v>4.812746266130703</v>
      </c>
      <c r="U27" s="198">
        <f t="shared" si="3"/>
        <v>4.4332304368829414</v>
      </c>
      <c r="V27" s="198">
        <f t="shared" si="3"/>
        <v>0.97502727904032427</v>
      </c>
      <c r="W27" s="198">
        <f t="shared" si="3"/>
        <v>0.94744696514003302</v>
      </c>
      <c r="X27" s="199">
        <f t="shared" si="3"/>
        <v>12916.708664251011</v>
      </c>
      <c r="Y27" s="200">
        <f t="shared" si="3"/>
        <v>0.18214030307262066</v>
      </c>
      <c r="AB27" s="201">
        <f>Y31</f>
        <v>0.245</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1.75</v>
      </c>
      <c r="O28" s="193">
        <f>MEDIAN(O11:O14)</f>
        <v>2.5174999999999999E-2</v>
      </c>
      <c r="P28" s="194"/>
      <c r="Q28" s="195">
        <f>MEDIAN(Q11:Q14)</f>
        <v>0.29281257916934</v>
      </c>
      <c r="R28" s="196"/>
      <c r="S28" s="197">
        <f t="shared" ref="S28:Y28" si="4">MEDIAN(S11:S14)</f>
        <v>8.5757247421675092E-2</v>
      </c>
      <c r="T28" s="197">
        <f t="shared" si="4"/>
        <v>2.4148647815208721</v>
      </c>
      <c r="U28" s="198">
        <f t="shared" si="4"/>
        <v>2.0499994170819793</v>
      </c>
      <c r="V28" s="198">
        <f t="shared" si="4"/>
        <v>0.97489769986435948</v>
      </c>
      <c r="W28" s="198">
        <f t="shared" si="4"/>
        <v>0.94748686081955191</v>
      </c>
      <c r="X28" s="199">
        <f t="shared" si="4"/>
        <v>13028.472641437143</v>
      </c>
      <c r="Y28" s="200">
        <f t="shared" si="4"/>
        <v>0.15266516390904153</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1.75</v>
      </c>
      <c r="O29" s="193">
        <f>QUARTILE(O11:O14,1)</f>
        <v>2.5174999999999999E-2</v>
      </c>
      <c r="P29" s="194"/>
      <c r="Q29" s="195">
        <f>QUARTILE(Q11:Q14,1)</f>
        <v>0.28178497059665553</v>
      </c>
      <c r="R29" s="196"/>
      <c r="S29" s="197">
        <f t="shared" ref="S29:Y29" si="5">QUARTILE(S11:S14,1)</f>
        <v>7.9540680967970484E-2</v>
      </c>
      <c r="T29" s="197">
        <f t="shared" si="5"/>
        <v>1.649505325267886</v>
      </c>
      <c r="U29" s="198">
        <f t="shared" si="5"/>
        <v>1.2627614473437418</v>
      </c>
      <c r="V29" s="198">
        <f t="shared" si="5"/>
        <v>0.95047785118000072</v>
      </c>
      <c r="W29" s="198">
        <f t="shared" si="5"/>
        <v>0.89665858477588867</v>
      </c>
      <c r="X29" s="199">
        <f t="shared" si="5"/>
        <v>7035.9261246841706</v>
      </c>
      <c r="Y29" s="200">
        <f t="shared" si="5"/>
        <v>0.13827889850115468</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1.75</v>
      </c>
      <c r="O30" s="193">
        <f>QUARTILE(O11:O14,3)</f>
        <v>2.5174999999999999E-2</v>
      </c>
      <c r="P30" s="194"/>
      <c r="Q30" s="195">
        <f>QUARTILE(Q11:Q14,3)</f>
        <v>0.29791460937326497</v>
      </c>
      <c r="R30" s="196"/>
      <c r="S30" s="197">
        <f t="shared" ref="S30:Y30" si="6">QUARTILE(S11:S14,3)</f>
        <v>8.875530535752417E-2</v>
      </c>
      <c r="T30" s="197">
        <f t="shared" si="6"/>
        <v>5.5781057223836896</v>
      </c>
      <c r="U30" s="198">
        <f t="shared" si="6"/>
        <v>5.2204684066211779</v>
      </c>
      <c r="V30" s="198">
        <f t="shared" si="6"/>
        <v>0.99944712772468292</v>
      </c>
      <c r="W30" s="198">
        <f t="shared" si="6"/>
        <v>0.99827524118369637</v>
      </c>
      <c r="X30" s="199">
        <f t="shared" si="6"/>
        <v>18909.255181003988</v>
      </c>
      <c r="Y30" s="200">
        <f t="shared" si="6"/>
        <v>0.19652656848050748</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0.245</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1.4463100127818356</v>
      </c>
      <c r="L33" s="124"/>
      <c r="M33" s="224">
        <f>'DLOM_Quantitative Methods'!F11</f>
        <v>0</v>
      </c>
      <c r="N33" s="210">
        <f>N$7</f>
        <v>1.75</v>
      </c>
      <c r="O33" s="225">
        <f>O$7</f>
        <v>2.5174999999999999E-2</v>
      </c>
      <c r="P33" s="214"/>
      <c r="Q33" s="226">
        <v>0.245</v>
      </c>
      <c r="R33" s="124"/>
      <c r="S33" s="215">
        <f>IF(Q33="n/a","n/a",Q33^2)</f>
        <v>6.0024999999999995E-2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0.245</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1.4463100127818356</v>
      </c>
      <c r="L35" s="124"/>
      <c r="M35" s="213">
        <f>M33</f>
        <v>0</v>
      </c>
      <c r="N35" s="210">
        <f>N$7</f>
        <v>1.75</v>
      </c>
      <c r="O35" s="225">
        <f>O$7</f>
        <v>2.5174999999999999E-2</v>
      </c>
      <c r="P35" s="214"/>
      <c r="Q35" s="226">
        <v>0.27300000000000002</v>
      </c>
      <c r="R35" s="124"/>
      <c r="S35" s="215">
        <f>IF(Q35="n/a","n/a",Q35^2)</f>
        <v>7.4529000000000012E-2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0.27300000000000002</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400" t="s">
        <v>133</v>
      </c>
      <c r="C38" s="400"/>
      <c r="D38" s="400"/>
      <c r="E38" s="400"/>
      <c r="F38" s="400"/>
      <c r="G38" s="400"/>
      <c r="H38" s="400"/>
      <c r="I38" s="400"/>
      <c r="J38" s="400"/>
      <c r="K38" s="400"/>
      <c r="L38" s="400"/>
      <c r="M38" s="400"/>
      <c r="N38" s="400"/>
      <c r="O38" s="400"/>
      <c r="P38" s="400"/>
      <c r="Q38" s="400"/>
      <c r="R38" s="400"/>
      <c r="S38" s="400"/>
      <c r="T38" s="400"/>
      <c r="U38" s="400"/>
      <c r="V38" s="400"/>
      <c r="W38" s="400"/>
      <c r="X38" s="400"/>
      <c r="Y38" s="400"/>
    </row>
    <row r="39" spans="1:25" s="34" customFormat="1" ht="13.5" customHeight="1" x14ac:dyDescent="0.2">
      <c r="A39" s="128" t="s">
        <v>59</v>
      </c>
      <c r="B39" s="400" t="s">
        <v>134</v>
      </c>
      <c r="C39" s="400"/>
      <c r="D39" s="400"/>
      <c r="E39" s="400"/>
      <c r="F39" s="400"/>
      <c r="G39" s="400"/>
      <c r="H39" s="400"/>
      <c r="I39" s="400"/>
      <c r="J39" s="400"/>
      <c r="K39" s="400"/>
      <c r="L39" s="400"/>
      <c r="M39" s="400"/>
      <c r="N39" s="400"/>
      <c r="O39" s="400"/>
      <c r="P39" s="400"/>
      <c r="Q39" s="400"/>
      <c r="R39" s="400"/>
      <c r="S39" s="400"/>
      <c r="T39" s="400"/>
      <c r="U39" s="400"/>
      <c r="V39" s="400"/>
      <c r="W39" s="400"/>
      <c r="X39" s="400"/>
      <c r="Y39" s="400"/>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6:B22">
    <cfRule type="cellIs" dxfId="21" priority="4" operator="equal">
      <formula>"(Invalid Identifier)"</formula>
    </cfRule>
  </conditionalFormatting>
  <conditionalFormatting sqref="C4:Y4">
    <cfRule type="cellIs" dxfId="20" priority="3" stopIfTrue="1" operator="equal">
      <formula>"input"</formula>
    </cfRule>
  </conditionalFormatting>
  <conditionalFormatting sqref="B4">
    <cfRule type="cellIs" dxfId="19" priority="2" stopIfTrue="1" operator="equal">
      <formula>"input"</formula>
    </cfRule>
  </conditionalFormatting>
  <conditionalFormatting sqref="B11:B15">
    <cfRule type="cellIs" dxfId="18" priority="1" operator="equal">
      <formula>"(Invalid Identifier)"</formula>
    </cfRule>
  </conditionalFormatting>
  <pageMargins left="0.5" right="0.5" top="0.5" bottom="0.5" header="0.5" footer="0.5"/>
  <pageSetup scale="85" fitToWidth="0" fitToHeight="0" orientation="landscape" r:id="rId1"/>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7"/>
  <sheetViews>
    <sheetView showGridLines="0" view="pageBreakPreview" topLeftCell="D16" zoomScaleNormal="100" zoomScaleSheetLayoutView="100" workbookViewId="0">
      <selection activeCell="G21" sqref="G21"/>
    </sheetView>
  </sheetViews>
  <sheetFormatPr defaultColWidth="9.140625" defaultRowHeight="15" x14ac:dyDescent="0.25"/>
  <cols>
    <col min="1" max="1" width="2.7109375" style="34" customWidth="1"/>
    <col min="2" max="2" width="13.5703125" style="34" customWidth="1"/>
    <col min="3" max="3" width="27" style="34" customWidth="1"/>
    <col min="4" max="4" width="2.7109375" style="34" customWidth="1"/>
    <col min="5" max="5" width="17.140625" style="34" customWidth="1"/>
    <col min="6" max="6" width="3.28515625" style="34" customWidth="1"/>
    <col min="7" max="7" width="14.85546875" style="34" customWidth="1"/>
    <col min="8" max="8" width="3.140625" style="34" customWidth="1"/>
    <col min="9" max="9" width="10.140625" style="34" customWidth="1"/>
    <col min="10" max="10" width="27" style="34" customWidth="1"/>
    <col min="11" max="11" width="2.7109375" style="34" customWidth="1"/>
    <col min="12" max="12" width="29.85546875" style="34" customWidth="1"/>
    <col min="13" max="13" width="18.5703125" style="34" customWidth="1"/>
    <col min="14" max="14" width="2.7109375" customWidth="1"/>
    <col min="15" max="15" width="20.7109375" customWidth="1"/>
    <col min="16" max="16" width="16.85546875" style="34" customWidth="1"/>
    <col min="17" max="20" width="9.140625" style="34"/>
    <col min="21" max="21" width="73.28515625" style="34" customWidth="1"/>
    <col min="22" max="22" width="2.42578125" style="34" customWidth="1"/>
    <col min="23" max="24" width="18" style="34" customWidth="1"/>
    <col min="25" max="16384" width="9.140625" style="34"/>
  </cols>
  <sheetData>
    <row r="1" spans="2:23" ht="10.7" customHeight="1" thickBot="1" x14ac:dyDescent="0.3">
      <c r="N1" s="34"/>
    </row>
    <row r="2" spans="2:23" ht="16.5" customHeight="1" thickTop="1" x14ac:dyDescent="0.25">
      <c r="B2" s="35" t="str">
        <f>Outline!B2</f>
        <v>Satellite Healthcare - Wellbound Santa Cruz</v>
      </c>
      <c r="C2" s="35"/>
      <c r="D2" s="35"/>
      <c r="E2" s="35"/>
      <c r="F2" s="35"/>
      <c r="G2" s="35"/>
      <c r="H2" s="35"/>
      <c r="I2" s="35"/>
      <c r="J2" s="35"/>
      <c r="K2" s="35"/>
      <c r="L2" s="35"/>
      <c r="M2" s="35"/>
      <c r="N2" s="34"/>
    </row>
    <row r="3" spans="2:23" ht="15.75" customHeight="1" x14ac:dyDescent="0.25">
      <c r="B3" s="36" t="str">
        <f>Outline!C16</f>
        <v>Workpaper 8</v>
      </c>
      <c r="C3" s="36"/>
      <c r="D3" s="36"/>
      <c r="E3" s="36"/>
      <c r="F3" s="36"/>
      <c r="G3" s="36"/>
      <c r="H3" s="36"/>
      <c r="I3" s="36"/>
      <c r="J3" s="36"/>
      <c r="K3" s="36"/>
      <c r="L3" s="36"/>
      <c r="M3" s="36"/>
      <c r="N3" s="34"/>
    </row>
    <row r="4" spans="2:23" ht="16.5" customHeight="1" thickBot="1" x14ac:dyDescent="0.3">
      <c r="B4" s="37" t="s">
        <v>136</v>
      </c>
      <c r="C4" s="37"/>
      <c r="D4" s="37"/>
      <c r="E4" s="37"/>
      <c r="F4" s="37"/>
      <c r="G4" s="37"/>
      <c r="H4" s="37"/>
      <c r="I4" s="37"/>
      <c r="J4" s="37"/>
      <c r="K4" s="37"/>
      <c r="L4" s="37"/>
      <c r="M4" s="37"/>
      <c r="N4" s="34"/>
      <c r="S4" s="230"/>
    </row>
    <row r="5" spans="2:23" ht="12.75" customHeight="1" thickTop="1" x14ac:dyDescent="0.25">
      <c r="S5" s="230"/>
    </row>
    <row r="6" spans="2:23" ht="12.75" customHeight="1" x14ac:dyDescent="0.25">
      <c r="C6" s="231"/>
      <c r="I6" s="231"/>
      <c r="J6" s="231"/>
    </row>
    <row r="7" spans="2:23" ht="15" customHeight="1" x14ac:dyDescent="0.25">
      <c r="B7" s="232" t="s">
        <v>137</v>
      </c>
      <c r="C7" s="233"/>
      <c r="D7" s="41"/>
      <c r="E7" s="41"/>
      <c r="F7" s="41"/>
      <c r="G7" s="41"/>
      <c r="H7" s="41"/>
      <c r="I7" s="232" t="s">
        <v>259</v>
      </c>
      <c r="J7" s="233"/>
      <c r="K7" s="41"/>
      <c r="L7" s="41"/>
      <c r="M7" s="41"/>
      <c r="U7" s="233"/>
    </row>
    <row r="8" spans="2:23" s="149" customFormat="1" ht="14.25" customHeight="1" x14ac:dyDescent="0.2">
      <c r="B8" s="234" t="s">
        <v>138</v>
      </c>
      <c r="C8" s="235"/>
      <c r="E8" s="236" t="s">
        <v>281</v>
      </c>
      <c r="F8" s="94"/>
      <c r="G8" s="34"/>
      <c r="H8" s="41"/>
      <c r="I8" s="234" t="s">
        <v>138</v>
      </c>
      <c r="J8" s="235"/>
      <c r="L8" s="237" t="s">
        <v>281</v>
      </c>
      <c r="M8" s="41"/>
      <c r="P8" s="238"/>
      <c r="U8" s="239"/>
      <c r="V8" s="240"/>
      <c r="W8" s="237"/>
    </row>
    <row r="9" spans="2:23" ht="15" customHeight="1" thickBot="1" x14ac:dyDescent="0.3">
      <c r="B9" s="241"/>
      <c r="C9" s="241"/>
      <c r="D9" s="241"/>
      <c r="E9" s="242" t="s">
        <v>139</v>
      </c>
      <c r="F9" s="241"/>
      <c r="H9" s="41"/>
      <c r="I9" s="241"/>
      <c r="J9" s="241"/>
      <c r="K9" s="241"/>
      <c r="L9" s="242"/>
      <c r="M9" s="243"/>
      <c r="P9" s="238"/>
      <c r="U9" s="242"/>
      <c r="V9" s="242"/>
      <c r="W9" s="242"/>
    </row>
    <row r="10" spans="2:23" ht="12.75" customHeight="1" x14ac:dyDescent="0.25">
      <c r="B10" s="34" t="s">
        <v>34</v>
      </c>
      <c r="C10" s="39"/>
      <c r="D10" s="39"/>
      <c r="E10" s="244">
        <f>MAX(M28:M33)</f>
        <v>0.49209999999999998</v>
      </c>
      <c r="H10" s="244"/>
      <c r="I10" s="34" t="s">
        <v>34</v>
      </c>
      <c r="J10" s="39"/>
      <c r="K10" s="39"/>
      <c r="L10" s="244">
        <f>MAX(M37:M48)</f>
        <v>0.48699999999999999</v>
      </c>
      <c r="M10" s="41"/>
      <c r="P10" s="238"/>
      <c r="V10" s="39"/>
      <c r="W10" s="244"/>
    </row>
    <row r="11" spans="2:23" ht="12.75" customHeight="1" x14ac:dyDescent="0.25">
      <c r="B11" s="34" t="s">
        <v>130</v>
      </c>
      <c r="C11" s="39"/>
      <c r="D11" s="39"/>
      <c r="E11" s="244">
        <f>QUARTILE(M28:M33,3)</f>
        <v>0.28902500000000003</v>
      </c>
      <c r="H11" s="244"/>
      <c r="I11" s="34" t="s">
        <v>130</v>
      </c>
      <c r="J11" s="39"/>
      <c r="K11" s="39"/>
      <c r="L11" s="244">
        <f>QUARTILE(M37:M48,3)</f>
        <v>0.2455</v>
      </c>
      <c r="M11" s="244"/>
      <c r="P11" s="238"/>
      <c r="V11" s="243"/>
      <c r="W11" s="245"/>
    </row>
    <row r="12" spans="2:23" ht="12.75" customHeight="1" x14ac:dyDescent="0.25">
      <c r="B12" s="34" t="s">
        <v>140</v>
      </c>
      <c r="E12" s="244">
        <f>AVERAGE(M28:M33)</f>
        <v>0.26186666666666669</v>
      </c>
      <c r="H12" s="245"/>
      <c r="I12" s="34" t="s">
        <v>140</v>
      </c>
      <c r="L12" s="245">
        <f>AVERAGE(M37:M48)</f>
        <v>0.18690909090909091</v>
      </c>
      <c r="M12" s="245"/>
      <c r="P12" s="238"/>
      <c r="W12" s="245"/>
    </row>
    <row r="13" spans="2:23" ht="12.75" customHeight="1" x14ac:dyDescent="0.25">
      <c r="B13" s="34" t="s">
        <v>128</v>
      </c>
      <c r="E13" s="244">
        <f>MEDIAN(M28:M33)</f>
        <v>0.24580000000000002</v>
      </c>
      <c r="H13" s="245"/>
      <c r="I13" s="34" t="s">
        <v>128</v>
      </c>
      <c r="L13" s="245">
        <f>MEDIAN(M37:M48)</f>
        <v>0.14799999999999999</v>
      </c>
      <c r="M13" s="245"/>
      <c r="P13" s="238"/>
      <c r="W13" s="245"/>
    </row>
    <row r="14" spans="2:23" ht="12.75" customHeight="1" x14ac:dyDescent="0.25">
      <c r="B14" s="34" t="s">
        <v>129</v>
      </c>
      <c r="E14" s="244">
        <f>QUARTILE(M28:M33,1)</f>
        <v>0.19035000000000002</v>
      </c>
      <c r="H14" s="244"/>
      <c r="I14" s="34" t="s">
        <v>129</v>
      </c>
      <c r="L14" s="244">
        <f>QUARTILE(M37:M48,1)</f>
        <v>7.1500000000000008E-2</v>
      </c>
      <c r="M14" s="244"/>
      <c r="P14" s="238"/>
      <c r="W14" s="245"/>
    </row>
    <row r="15" spans="2:23" ht="12.75" customHeight="1" x14ac:dyDescent="0.25">
      <c r="B15" s="34" t="s">
        <v>31</v>
      </c>
      <c r="E15" s="244">
        <f>MIN(M28:M33)</f>
        <v>0.11219999999999999</v>
      </c>
      <c r="H15" s="244"/>
      <c r="I15" s="34" t="s">
        <v>31</v>
      </c>
      <c r="L15" s="244">
        <f>MIN(M37:M48)</f>
        <v>4.3999999999999997E-2</v>
      </c>
      <c r="M15" s="244"/>
      <c r="P15" s="238"/>
      <c r="W15" s="245"/>
    </row>
    <row r="16" spans="2:23" ht="9.9499999999999993" customHeight="1" x14ac:dyDescent="0.25">
      <c r="E16" s="106"/>
      <c r="F16" s="106"/>
      <c r="G16" s="106"/>
      <c r="H16" s="106"/>
      <c r="I16" s="106"/>
      <c r="J16" s="106"/>
      <c r="K16" s="106"/>
      <c r="L16" s="106"/>
      <c r="P16" s="238"/>
    </row>
    <row r="17" spans="2:23" ht="12.75" customHeight="1" thickBot="1" x14ac:dyDescent="0.3">
      <c r="B17" s="246" t="s">
        <v>141</v>
      </c>
      <c r="C17" s="241"/>
      <c r="D17" s="241"/>
      <c r="E17" s="247"/>
      <c r="F17" s="106"/>
      <c r="G17" s="106"/>
      <c r="H17" s="106"/>
      <c r="I17" s="106"/>
      <c r="J17" s="106"/>
      <c r="K17" s="106"/>
      <c r="L17" s="106"/>
      <c r="P17" s="238"/>
    </row>
    <row r="18" spans="2:23" ht="12.75" customHeight="1" x14ac:dyDescent="0.25">
      <c r="B18" s="34" t="s">
        <v>34</v>
      </c>
      <c r="C18" s="39"/>
      <c r="D18" s="39"/>
      <c r="E18" s="244">
        <f>MAX(M28:M48)</f>
        <v>0.49209999999999998</v>
      </c>
      <c r="F18" s="106"/>
      <c r="G18" s="106"/>
      <c r="H18" s="106"/>
      <c r="I18" s="106"/>
      <c r="J18" s="106"/>
      <c r="K18" s="106"/>
      <c r="L18" s="106"/>
      <c r="P18" s="238"/>
    </row>
    <row r="19" spans="2:23" ht="12.75" customHeight="1" x14ac:dyDescent="0.25">
      <c r="B19" s="34" t="s">
        <v>130</v>
      </c>
      <c r="C19" s="39"/>
      <c r="D19" s="39"/>
      <c r="E19" s="244">
        <f>QUARTILE(M28:M48,3)</f>
        <v>0.2828</v>
      </c>
      <c r="F19" s="106"/>
      <c r="G19" s="106"/>
      <c r="H19" s="106"/>
      <c r="I19" s="106"/>
      <c r="J19" s="106"/>
      <c r="K19" s="106"/>
      <c r="L19" s="106"/>
      <c r="P19" s="238"/>
    </row>
    <row r="20" spans="2:23" ht="12.75" customHeight="1" x14ac:dyDescent="0.25">
      <c r="B20" s="34" t="s">
        <v>140</v>
      </c>
      <c r="E20" s="245">
        <f>AVERAGE(M28:M48)</f>
        <v>0.21336470588235298</v>
      </c>
      <c r="F20" s="230"/>
      <c r="G20" s="230"/>
      <c r="H20" s="230"/>
      <c r="I20" s="230"/>
      <c r="J20" s="230"/>
      <c r="K20" s="230"/>
      <c r="L20" s="230"/>
      <c r="P20" s="238"/>
    </row>
    <row r="21" spans="2:23" ht="12.75" customHeight="1" x14ac:dyDescent="0.25">
      <c r="B21" s="34" t="s">
        <v>128</v>
      </c>
      <c r="E21" s="245">
        <f>MEDIAN(M28:M48)</f>
        <v>0.19600000000000001</v>
      </c>
      <c r="F21" s="230"/>
      <c r="G21" s="230"/>
      <c r="H21" s="230"/>
      <c r="I21" s="230"/>
      <c r="J21" s="230"/>
      <c r="K21" s="230"/>
      <c r="L21" s="230"/>
      <c r="P21" s="238"/>
    </row>
    <row r="22" spans="2:23" ht="12.75" customHeight="1" x14ac:dyDescent="0.25">
      <c r="B22" s="34" t="s">
        <v>129</v>
      </c>
      <c r="E22" s="245">
        <f>QUARTILE(M28:M48,1)</f>
        <v>0.11219999999999999</v>
      </c>
      <c r="F22" s="230"/>
      <c r="G22" s="230"/>
      <c r="H22" s="230"/>
      <c r="I22" s="230"/>
      <c r="J22" s="230"/>
      <c r="K22" s="230"/>
      <c r="L22" s="230"/>
      <c r="P22" s="238"/>
    </row>
    <row r="23" spans="2:23" ht="12.75" customHeight="1" x14ac:dyDescent="0.25">
      <c r="B23" s="34" t="s">
        <v>31</v>
      </c>
      <c r="E23" s="245">
        <f>MIN(M28:M48)</f>
        <v>4.3999999999999997E-2</v>
      </c>
      <c r="F23" s="230"/>
      <c r="G23" s="230"/>
      <c r="H23" s="230"/>
      <c r="I23" s="230"/>
      <c r="J23" s="230"/>
      <c r="K23" s="230"/>
      <c r="L23" s="230"/>
      <c r="P23" s="238"/>
    </row>
    <row r="24" spans="2:23" ht="12.75" customHeight="1" x14ac:dyDescent="0.25">
      <c r="E24" s="245"/>
      <c r="F24" s="230"/>
      <c r="G24" s="230"/>
      <c r="H24" s="230"/>
      <c r="I24" s="230"/>
      <c r="J24" s="230"/>
      <c r="K24" s="230"/>
      <c r="L24" s="230"/>
      <c r="P24" s="238"/>
    </row>
    <row r="25" spans="2:23" ht="14.25" customHeight="1" x14ac:dyDescent="0.25">
      <c r="B25" s="248" t="s">
        <v>263</v>
      </c>
      <c r="D25" s="230"/>
      <c r="E25" s="230"/>
      <c r="F25" s="230"/>
      <c r="G25" s="230"/>
      <c r="H25" s="230"/>
      <c r="I25" s="230"/>
      <c r="J25" s="230"/>
      <c r="R25" s="249"/>
    </row>
    <row r="26" spans="2:23" ht="27.75" customHeight="1" x14ac:dyDescent="0.25">
      <c r="B26" s="250" t="s">
        <v>142</v>
      </c>
      <c r="C26" s="251" t="s">
        <v>143</v>
      </c>
      <c r="D26" s="252"/>
      <c r="E26" s="409" t="s">
        <v>144</v>
      </c>
      <c r="F26" s="409"/>
      <c r="G26" s="409"/>
      <c r="H26" s="409"/>
      <c r="I26" s="409"/>
      <c r="J26" s="253"/>
      <c r="K26" s="253"/>
      <c r="L26" s="254"/>
      <c r="M26" s="255" t="s">
        <v>283</v>
      </c>
      <c r="O26" t="s">
        <v>145</v>
      </c>
      <c r="P26" s="39" t="s">
        <v>146</v>
      </c>
    </row>
    <row r="27" spans="2:23" ht="6" customHeight="1" x14ac:dyDescent="0.25">
      <c r="B27" s="339"/>
      <c r="C27" s="340"/>
      <c r="D27" s="341"/>
      <c r="E27" s="342"/>
      <c r="F27" s="342"/>
      <c r="G27" s="342"/>
      <c r="H27" s="342"/>
      <c r="I27" s="342"/>
      <c r="J27" s="343"/>
      <c r="K27" s="343"/>
      <c r="L27" s="344"/>
      <c r="M27" s="344"/>
      <c r="P27" s="39"/>
    </row>
    <row r="28" spans="2:23" s="149" customFormat="1" ht="24.75" customHeight="1" x14ac:dyDescent="0.2">
      <c r="B28" s="256">
        <v>43283</v>
      </c>
      <c r="C28" s="257" t="s">
        <v>275</v>
      </c>
      <c r="E28" s="407" t="s">
        <v>276</v>
      </c>
      <c r="F28" s="407"/>
      <c r="G28" s="407"/>
      <c r="H28" s="407"/>
      <c r="I28" s="407"/>
      <c r="J28" s="407"/>
      <c r="K28" s="407"/>
      <c r="L28" s="407"/>
      <c r="M28" s="258">
        <v>0.1842</v>
      </c>
      <c r="O28" s="149" t="s">
        <v>148</v>
      </c>
      <c r="P28" s="407" t="s">
        <v>149</v>
      </c>
      <c r="Q28" s="407"/>
      <c r="R28" s="407"/>
      <c r="S28" s="407"/>
      <c r="T28" s="407"/>
      <c r="U28" s="407"/>
      <c r="V28" s="407"/>
      <c r="W28" s="407"/>
    </row>
    <row r="29" spans="2:23" s="149" customFormat="1" ht="39" customHeight="1" x14ac:dyDescent="0.2">
      <c r="B29" s="256">
        <v>43188</v>
      </c>
      <c r="C29" s="257" t="s">
        <v>150</v>
      </c>
      <c r="E29" s="407" t="s">
        <v>151</v>
      </c>
      <c r="F29" s="407"/>
      <c r="G29" s="407"/>
      <c r="H29" s="407"/>
      <c r="I29" s="407"/>
      <c r="J29" s="407"/>
      <c r="K29" s="407"/>
      <c r="L29" s="407"/>
      <c r="M29" s="258">
        <v>0.29110000000000003</v>
      </c>
      <c r="P29" s="407" t="s">
        <v>152</v>
      </c>
      <c r="Q29" s="407"/>
      <c r="R29" s="407"/>
      <c r="S29" s="407"/>
      <c r="T29" s="407"/>
      <c r="U29" s="407"/>
      <c r="V29" s="407"/>
      <c r="W29" s="407"/>
    </row>
    <row r="30" spans="2:23" s="149" customFormat="1" ht="27.75" customHeight="1" x14ac:dyDescent="0.2">
      <c r="B30" s="256">
        <v>43076</v>
      </c>
      <c r="C30" s="257" t="s">
        <v>153</v>
      </c>
      <c r="E30" s="407" t="s">
        <v>154</v>
      </c>
      <c r="F30" s="407"/>
      <c r="G30" s="407"/>
      <c r="H30" s="407"/>
      <c r="I30" s="407"/>
      <c r="J30" s="407"/>
      <c r="K30" s="407"/>
      <c r="L30" s="407"/>
      <c r="M30" s="258">
        <v>0.11219999999999999</v>
      </c>
      <c r="P30" s="407" t="s">
        <v>155</v>
      </c>
      <c r="Q30" s="407"/>
      <c r="R30" s="407"/>
      <c r="S30" s="407"/>
      <c r="T30" s="407"/>
      <c r="U30" s="407"/>
      <c r="V30" s="407"/>
      <c r="W30" s="407"/>
    </row>
    <row r="31" spans="2:23" s="149" customFormat="1" ht="42.75" customHeight="1" x14ac:dyDescent="0.2">
      <c r="B31" s="256">
        <v>42859</v>
      </c>
      <c r="C31" s="257" t="s">
        <v>156</v>
      </c>
      <c r="E31" s="407" t="s">
        <v>157</v>
      </c>
      <c r="F31" s="407"/>
      <c r="G31" s="407"/>
      <c r="H31" s="407"/>
      <c r="I31" s="407"/>
      <c r="J31" s="407"/>
      <c r="K31" s="407"/>
      <c r="L31" s="407"/>
      <c r="M31" s="258">
        <v>0.49209999999999998</v>
      </c>
      <c r="P31" s="406" t="s">
        <v>158</v>
      </c>
      <c r="Q31" s="406"/>
      <c r="R31" s="406"/>
      <c r="S31" s="406"/>
      <c r="T31" s="406"/>
      <c r="U31" s="406"/>
      <c r="V31" s="406"/>
      <c r="W31" s="406"/>
    </row>
    <row r="32" spans="2:23" s="149" customFormat="1" ht="42.75" customHeight="1" x14ac:dyDescent="0.2">
      <c r="B32" s="256">
        <v>42453</v>
      </c>
      <c r="C32" s="257" t="s">
        <v>159</v>
      </c>
      <c r="E32" s="407" t="s">
        <v>160</v>
      </c>
      <c r="F32" s="407"/>
      <c r="G32" s="407"/>
      <c r="H32" s="407"/>
      <c r="I32" s="407"/>
      <c r="J32" s="407"/>
      <c r="K32" s="407"/>
      <c r="L32" s="407"/>
      <c r="M32" s="258">
        <v>0.2828</v>
      </c>
      <c r="P32" s="406" t="s">
        <v>161</v>
      </c>
      <c r="Q32" s="406"/>
      <c r="R32" s="406"/>
      <c r="S32" s="406"/>
      <c r="T32" s="406"/>
      <c r="U32" s="406"/>
      <c r="V32" s="406"/>
      <c r="W32" s="406"/>
    </row>
    <row r="33" spans="2:23" s="149" customFormat="1" ht="80.25" customHeight="1" x14ac:dyDescent="0.2">
      <c r="B33" s="256">
        <v>42234</v>
      </c>
      <c r="C33" s="257" t="s">
        <v>162</v>
      </c>
      <c r="E33" s="407" t="s">
        <v>163</v>
      </c>
      <c r="F33" s="407"/>
      <c r="G33" s="407"/>
      <c r="H33" s="407"/>
      <c r="I33" s="407"/>
      <c r="J33" s="407"/>
      <c r="K33" s="407"/>
      <c r="L33" s="407"/>
      <c r="M33" s="258">
        <v>0.20880000000000001</v>
      </c>
      <c r="P33" s="406" t="s">
        <v>164</v>
      </c>
      <c r="Q33" s="406"/>
      <c r="R33" s="406"/>
      <c r="S33" s="406"/>
      <c r="T33" s="406"/>
      <c r="U33" s="406"/>
      <c r="V33" s="406"/>
      <c r="W33" s="406"/>
    </row>
    <row r="34" spans="2:23" ht="12.75" customHeight="1" x14ac:dyDescent="0.25">
      <c r="B34" s="248" t="s">
        <v>165</v>
      </c>
      <c r="D34" s="230"/>
      <c r="E34" s="230"/>
      <c r="F34" s="230"/>
      <c r="G34" s="230"/>
      <c r="H34" s="230"/>
      <c r="I34" s="230"/>
      <c r="J34" s="230"/>
      <c r="P34" s="381" t="s">
        <v>277</v>
      </c>
      <c r="Q34" s="382">
        <v>0.5</v>
      </c>
    </row>
    <row r="35" spans="2:23" ht="27.75" customHeight="1" x14ac:dyDescent="0.25">
      <c r="B35" s="250" t="s">
        <v>142</v>
      </c>
      <c r="C35" s="251" t="s">
        <v>143</v>
      </c>
      <c r="D35" s="252"/>
      <c r="E35" s="409" t="s">
        <v>144</v>
      </c>
      <c r="F35" s="409"/>
      <c r="G35" s="409"/>
      <c r="H35" s="409"/>
      <c r="I35" s="409"/>
      <c r="J35" s="254"/>
      <c r="K35" s="253"/>
      <c r="L35" s="254"/>
      <c r="M35" s="255" t="s">
        <v>284</v>
      </c>
      <c r="O35" s="385" t="s">
        <v>166</v>
      </c>
      <c r="P35" s="259" t="s">
        <v>169</v>
      </c>
    </row>
    <row r="36" spans="2:23" ht="6" customHeight="1" x14ac:dyDescent="0.25">
      <c r="B36" s="339"/>
      <c r="C36" s="340"/>
      <c r="D36" s="341"/>
      <c r="E36" s="342"/>
      <c r="F36" s="342"/>
      <c r="G36" s="342"/>
      <c r="H36" s="342"/>
      <c r="I36" s="342"/>
      <c r="J36" s="343"/>
      <c r="K36" s="343"/>
      <c r="L36" s="344"/>
      <c r="M36" s="344"/>
      <c r="O36" s="259"/>
      <c r="P36" s="39"/>
    </row>
    <row r="37" spans="2:23" s="149" customFormat="1" ht="28.5" customHeight="1" x14ac:dyDescent="0.2">
      <c r="B37" s="256">
        <v>43283</v>
      </c>
      <c r="C37" s="257" t="s">
        <v>275</v>
      </c>
      <c r="E37" s="407" t="s">
        <v>147</v>
      </c>
      <c r="F37" s="407"/>
      <c r="G37" s="407"/>
      <c r="H37" s="407"/>
      <c r="I37" s="407"/>
      <c r="J37" s="407"/>
      <c r="K37" s="407"/>
      <c r="L37" s="407"/>
      <c r="M37" s="380">
        <f t="shared" ref="M37:M48" si="0">IF(O37&gt;$Q$34,"NM",O37)</f>
        <v>4.7E-2</v>
      </c>
      <c r="O37" s="258">
        <v>4.7E-2</v>
      </c>
      <c r="P37" s="407" t="s">
        <v>149</v>
      </c>
      <c r="Q37" s="407"/>
      <c r="R37" s="407"/>
      <c r="S37" s="407"/>
      <c r="T37" s="407"/>
      <c r="U37" s="407"/>
      <c r="V37" s="407"/>
      <c r="W37" s="407"/>
    </row>
    <row r="38" spans="2:23" s="149" customFormat="1" ht="38.25" customHeight="1" x14ac:dyDescent="0.2">
      <c r="B38" s="256">
        <v>43237</v>
      </c>
      <c r="C38" s="257" t="s">
        <v>278</v>
      </c>
      <c r="E38" s="407" t="s">
        <v>279</v>
      </c>
      <c r="F38" s="407"/>
      <c r="G38" s="407"/>
      <c r="H38" s="407"/>
      <c r="I38" s="407"/>
      <c r="J38" s="407"/>
      <c r="K38" s="407"/>
      <c r="L38" s="407"/>
      <c r="M38" s="380" t="str">
        <f t="shared" si="0"/>
        <v>NM</v>
      </c>
      <c r="O38" s="258">
        <v>2.0150000000000001</v>
      </c>
      <c r="P38" s="408" t="s">
        <v>279</v>
      </c>
      <c r="Q38" s="408"/>
      <c r="R38" s="408"/>
      <c r="S38" s="408"/>
      <c r="T38" s="408"/>
      <c r="U38" s="408"/>
      <c r="V38" s="408"/>
      <c r="W38" s="408"/>
    </row>
    <row r="39" spans="2:23" s="149" customFormat="1" ht="38.25" customHeight="1" x14ac:dyDescent="0.2">
      <c r="B39" s="256">
        <v>42978</v>
      </c>
      <c r="C39" s="257" t="s">
        <v>167</v>
      </c>
      <c r="E39" s="407" t="s">
        <v>168</v>
      </c>
      <c r="F39" s="407"/>
      <c r="G39" s="407"/>
      <c r="H39" s="407"/>
      <c r="I39" s="407"/>
      <c r="J39" s="407"/>
      <c r="K39" s="407"/>
      <c r="L39" s="407"/>
      <c r="M39" s="380">
        <f t="shared" si="0"/>
        <v>4.3999999999999997E-2</v>
      </c>
      <c r="O39" s="258">
        <v>4.3999999999999997E-2</v>
      </c>
      <c r="P39" s="408" t="s">
        <v>170</v>
      </c>
      <c r="Q39" s="408"/>
      <c r="R39" s="408"/>
      <c r="S39" s="408"/>
      <c r="T39" s="408"/>
      <c r="U39" s="408"/>
      <c r="V39" s="408"/>
      <c r="W39" s="408"/>
    </row>
    <row r="40" spans="2:23" s="149" customFormat="1" ht="27" customHeight="1" x14ac:dyDescent="0.2">
      <c r="B40" s="256">
        <v>42951</v>
      </c>
      <c r="C40" s="257" t="s">
        <v>171</v>
      </c>
      <c r="E40" s="407" t="s">
        <v>172</v>
      </c>
      <c r="F40" s="407"/>
      <c r="G40" s="407"/>
      <c r="H40" s="407"/>
      <c r="I40" s="407"/>
      <c r="J40" s="407"/>
      <c r="K40" s="407"/>
      <c r="L40" s="407"/>
      <c r="M40" s="380">
        <f t="shared" si="0"/>
        <v>0.24099999999999999</v>
      </c>
      <c r="O40" s="258">
        <v>0.24099999999999999</v>
      </c>
      <c r="P40" s="408" t="s">
        <v>173</v>
      </c>
      <c r="Q40" s="408"/>
      <c r="R40" s="408"/>
      <c r="S40" s="408"/>
      <c r="T40" s="408"/>
      <c r="U40" s="408"/>
      <c r="V40" s="408"/>
      <c r="W40" s="408"/>
    </row>
    <row r="41" spans="2:23" s="149" customFormat="1" ht="25.5" customHeight="1" x14ac:dyDescent="0.2">
      <c r="B41" s="256">
        <v>42902</v>
      </c>
      <c r="C41" s="257" t="s">
        <v>174</v>
      </c>
      <c r="E41" s="407" t="s">
        <v>175</v>
      </c>
      <c r="F41" s="407"/>
      <c r="G41" s="407"/>
      <c r="H41" s="407"/>
      <c r="I41" s="407"/>
      <c r="J41" s="407"/>
      <c r="K41" s="407"/>
      <c r="L41" s="407"/>
      <c r="M41" s="380">
        <f t="shared" si="0"/>
        <v>0.25</v>
      </c>
      <c r="O41" s="258">
        <v>0.25</v>
      </c>
      <c r="P41" s="408" t="s">
        <v>176</v>
      </c>
      <c r="Q41" s="408"/>
      <c r="R41" s="408"/>
      <c r="S41" s="408"/>
      <c r="T41" s="408"/>
      <c r="U41" s="408"/>
      <c r="V41" s="408"/>
      <c r="W41" s="408"/>
    </row>
    <row r="42" spans="2:23" s="149" customFormat="1" ht="15.75" customHeight="1" x14ac:dyDescent="0.2">
      <c r="B42" s="256">
        <v>42867</v>
      </c>
      <c r="C42" s="257" t="s">
        <v>177</v>
      </c>
      <c r="E42" s="407" t="s">
        <v>178</v>
      </c>
      <c r="F42" s="407"/>
      <c r="G42" s="407"/>
      <c r="H42" s="407"/>
      <c r="I42" s="407"/>
      <c r="J42" s="407"/>
      <c r="K42" s="407"/>
      <c r="L42" s="407"/>
      <c r="M42" s="380">
        <f t="shared" si="0"/>
        <v>0.05</v>
      </c>
      <c r="O42" s="258">
        <v>0.05</v>
      </c>
      <c r="P42" s="408" t="s">
        <v>179</v>
      </c>
      <c r="Q42" s="408"/>
      <c r="R42" s="408"/>
      <c r="S42" s="408"/>
      <c r="T42" s="408"/>
      <c r="U42" s="408"/>
      <c r="V42" s="408"/>
      <c r="W42" s="408"/>
    </row>
    <row r="43" spans="2:23" s="149" customFormat="1" ht="39" customHeight="1" x14ac:dyDescent="0.2">
      <c r="B43" s="256">
        <v>42818</v>
      </c>
      <c r="C43" s="257" t="s">
        <v>180</v>
      </c>
      <c r="E43" s="407" t="s">
        <v>181</v>
      </c>
      <c r="F43" s="407"/>
      <c r="G43" s="407"/>
      <c r="H43" s="407"/>
      <c r="I43" s="407"/>
      <c r="J43" s="407"/>
      <c r="K43" s="407"/>
      <c r="L43" s="407"/>
      <c r="M43" s="380">
        <f t="shared" si="0"/>
        <v>0.14799999999999999</v>
      </c>
      <c r="O43" s="258">
        <v>0.14799999999999999</v>
      </c>
      <c r="P43" s="408"/>
      <c r="Q43" s="408"/>
      <c r="R43" s="408"/>
      <c r="S43" s="408"/>
      <c r="T43" s="408"/>
      <c r="U43" s="408"/>
      <c r="V43" s="408"/>
      <c r="W43" s="408"/>
    </row>
    <row r="44" spans="2:23" s="149" customFormat="1" ht="26.25" customHeight="1" x14ac:dyDescent="0.2">
      <c r="B44" s="256">
        <v>42643</v>
      </c>
      <c r="C44" s="257" t="s">
        <v>182</v>
      </c>
      <c r="E44" s="407" t="s">
        <v>183</v>
      </c>
      <c r="F44" s="407"/>
      <c r="G44" s="407"/>
      <c r="H44" s="407"/>
      <c r="I44" s="407"/>
      <c r="J44" s="407"/>
      <c r="K44" s="407"/>
      <c r="L44" s="407"/>
      <c r="M44" s="380">
        <f t="shared" si="0"/>
        <v>9.2999999999999999E-2</v>
      </c>
      <c r="O44" s="258">
        <v>9.2999999999999999E-2</v>
      </c>
      <c r="P44" s="408" t="s">
        <v>184</v>
      </c>
      <c r="Q44" s="408"/>
      <c r="R44" s="408"/>
      <c r="S44" s="408"/>
      <c r="T44" s="408"/>
      <c r="U44" s="408"/>
      <c r="V44" s="408"/>
      <c r="W44" s="408"/>
    </row>
    <row r="45" spans="2:23" s="149" customFormat="1" ht="26.25" customHeight="1" x14ac:dyDescent="0.2">
      <c r="B45" s="256">
        <v>42458</v>
      </c>
      <c r="C45" s="257" t="s">
        <v>185</v>
      </c>
      <c r="E45" s="407" t="s">
        <v>186</v>
      </c>
      <c r="F45" s="407"/>
      <c r="G45" s="407"/>
      <c r="H45" s="407"/>
      <c r="I45" s="407"/>
      <c r="J45" s="407"/>
      <c r="K45" s="407"/>
      <c r="L45" s="407"/>
      <c r="M45" s="380">
        <f t="shared" si="0"/>
        <v>0.127</v>
      </c>
      <c r="O45" s="258">
        <v>0.127</v>
      </c>
      <c r="P45" s="408" t="s">
        <v>187</v>
      </c>
      <c r="Q45" s="408"/>
      <c r="R45" s="408"/>
      <c r="S45" s="408"/>
      <c r="T45" s="408"/>
      <c r="U45" s="408"/>
      <c r="V45" s="408"/>
      <c r="W45" s="408"/>
    </row>
    <row r="46" spans="2:23" s="149" customFormat="1" ht="14.25" customHeight="1" x14ac:dyDescent="0.2">
      <c r="B46" s="256">
        <v>42429</v>
      </c>
      <c r="C46" s="257" t="s">
        <v>188</v>
      </c>
      <c r="E46" s="407" t="s">
        <v>189</v>
      </c>
      <c r="F46" s="407"/>
      <c r="G46" s="407"/>
      <c r="H46" s="407"/>
      <c r="I46" s="407"/>
      <c r="J46" s="407"/>
      <c r="K46" s="407"/>
      <c r="L46" s="407"/>
      <c r="M46" s="380">
        <f t="shared" si="0"/>
        <v>0.48699999999999999</v>
      </c>
      <c r="O46" s="258">
        <v>0.48699999999999999</v>
      </c>
      <c r="P46" s="408" t="s">
        <v>190</v>
      </c>
      <c r="Q46" s="408"/>
      <c r="R46" s="408"/>
      <c r="S46" s="408"/>
      <c r="T46" s="408"/>
      <c r="U46" s="408"/>
      <c r="V46" s="408"/>
      <c r="W46" s="408"/>
    </row>
    <row r="47" spans="2:23" s="149" customFormat="1" ht="26.25" customHeight="1" x14ac:dyDescent="0.2">
      <c r="B47" s="256">
        <v>42331</v>
      </c>
      <c r="C47" s="257" t="s">
        <v>191</v>
      </c>
      <c r="E47" s="407" t="s">
        <v>192</v>
      </c>
      <c r="F47" s="407"/>
      <c r="G47" s="407"/>
      <c r="H47" s="407"/>
      <c r="I47" s="407"/>
      <c r="J47" s="407"/>
      <c r="K47" s="407"/>
      <c r="L47" s="407"/>
      <c r="M47" s="380">
        <f t="shared" si="0"/>
        <v>0.373</v>
      </c>
      <c r="O47" s="258">
        <v>0.373</v>
      </c>
      <c r="P47" s="408" t="s">
        <v>193</v>
      </c>
      <c r="Q47" s="408"/>
      <c r="R47" s="408"/>
      <c r="S47" s="408"/>
      <c r="T47" s="408"/>
      <c r="U47" s="408"/>
      <c r="V47" s="408"/>
      <c r="W47" s="408"/>
    </row>
    <row r="48" spans="2:23" s="149" customFormat="1" ht="27" customHeight="1" x14ac:dyDescent="0.2">
      <c r="B48" s="256">
        <v>42298</v>
      </c>
      <c r="C48" s="257" t="s">
        <v>194</v>
      </c>
      <c r="E48" s="407" t="s">
        <v>195</v>
      </c>
      <c r="F48" s="407"/>
      <c r="G48" s="407"/>
      <c r="H48" s="407"/>
      <c r="I48" s="407"/>
      <c r="J48" s="407"/>
      <c r="K48" s="407"/>
      <c r="L48" s="407"/>
      <c r="M48" s="380">
        <f t="shared" si="0"/>
        <v>0.19600000000000001</v>
      </c>
      <c r="O48" s="258">
        <v>0.19600000000000001</v>
      </c>
      <c r="P48" s="408" t="s">
        <v>196</v>
      </c>
      <c r="Q48" s="408"/>
      <c r="R48" s="408"/>
      <c r="S48" s="408"/>
      <c r="T48" s="408"/>
      <c r="U48" s="408"/>
      <c r="V48" s="408"/>
      <c r="W48" s="408"/>
    </row>
    <row r="49" spans="1:15" ht="12.75" customHeight="1" x14ac:dyDescent="0.2">
      <c r="B49" s="176" t="s">
        <v>197</v>
      </c>
      <c r="C49" s="177"/>
      <c r="D49" s="260"/>
      <c r="E49" s="261"/>
      <c r="F49" s="261" t="s">
        <v>74</v>
      </c>
      <c r="G49" s="261"/>
      <c r="H49" s="261"/>
      <c r="I49" s="262">
        <v>0.11</v>
      </c>
      <c r="N49" s="34"/>
      <c r="O49" s="34"/>
    </row>
    <row r="50" spans="1:15" ht="12.75" customHeight="1" x14ac:dyDescent="0.2">
      <c r="B50" s="263" t="s">
        <v>198</v>
      </c>
      <c r="C50" s="264"/>
      <c r="D50" s="264"/>
      <c r="E50" s="264"/>
      <c r="F50" s="265"/>
      <c r="G50" s="265"/>
      <c r="H50" s="265"/>
      <c r="I50" s="266">
        <f>MROUND(1-1/(1+I49),1%)</f>
        <v>0.1</v>
      </c>
      <c r="N50" s="34"/>
      <c r="O50" s="34"/>
    </row>
    <row r="51" spans="1:15" ht="12.75" customHeight="1" x14ac:dyDescent="0.2">
      <c r="B51" s="39"/>
      <c r="C51" s="39"/>
      <c r="N51" s="34"/>
      <c r="O51" s="34"/>
    </row>
    <row r="52" spans="1:15" ht="12.75" customHeight="1" x14ac:dyDescent="0.2">
      <c r="B52" s="127" t="s">
        <v>73</v>
      </c>
      <c r="C52" s="127"/>
      <c r="N52" s="34"/>
      <c r="O52" s="34"/>
    </row>
    <row r="53" spans="1:15" ht="12.75" customHeight="1" x14ac:dyDescent="0.2">
      <c r="A53" s="267" t="s">
        <v>55</v>
      </c>
      <c r="B53" s="400" t="s">
        <v>286</v>
      </c>
      <c r="C53" s="400"/>
      <c r="D53" s="400"/>
      <c r="E53" s="400"/>
      <c r="F53" s="400"/>
      <c r="N53" s="34"/>
      <c r="O53" s="34"/>
    </row>
    <row r="54" spans="1:15" ht="12.75" x14ac:dyDescent="0.2">
      <c r="A54" s="267" t="s">
        <v>59</v>
      </c>
      <c r="B54" s="400" t="s">
        <v>287</v>
      </c>
      <c r="C54" s="400"/>
      <c r="D54" s="400"/>
      <c r="E54" s="400"/>
      <c r="F54" s="400"/>
      <c r="G54" s="268"/>
      <c r="H54" s="268"/>
      <c r="I54" s="268"/>
      <c r="N54" s="34"/>
      <c r="O54" s="34"/>
    </row>
    <row r="55" spans="1:15" ht="12.75" customHeight="1" x14ac:dyDescent="0.2">
      <c r="A55" s="267" t="s">
        <v>74</v>
      </c>
      <c r="B55" s="405" t="s">
        <v>272</v>
      </c>
      <c r="C55" s="405"/>
      <c r="D55" s="405"/>
      <c r="E55" s="405"/>
      <c r="F55" s="405"/>
      <c r="G55" s="405"/>
      <c r="H55" s="405"/>
      <c r="I55" s="405"/>
      <c r="J55" s="405"/>
      <c r="K55" s="405"/>
      <c r="L55" s="405"/>
      <c r="M55" s="405"/>
      <c r="N55" s="34"/>
      <c r="O55" s="34"/>
    </row>
    <row r="56" spans="1:15" ht="12.75" customHeight="1" x14ac:dyDescent="0.2">
      <c r="A56" s="267" t="s">
        <v>282</v>
      </c>
      <c r="B56" s="405" t="s">
        <v>285</v>
      </c>
      <c r="C56" s="405"/>
      <c r="D56" s="405"/>
      <c r="E56" s="405"/>
      <c r="F56" s="405"/>
      <c r="G56" s="405"/>
      <c r="H56" s="405"/>
      <c r="I56" s="405"/>
      <c r="J56" s="405"/>
      <c r="K56" s="405"/>
      <c r="L56" s="405"/>
      <c r="M56" s="405"/>
      <c r="N56" s="34"/>
      <c r="O56" s="34"/>
    </row>
    <row r="57" spans="1:15" ht="12.75" x14ac:dyDescent="0.2">
      <c r="N57" s="34"/>
      <c r="O57" s="34"/>
    </row>
    <row r="58" spans="1:15" ht="12.75" customHeight="1" x14ac:dyDescent="0.2">
      <c r="B58" s="175"/>
      <c r="C58" s="175"/>
      <c r="N58" s="34"/>
      <c r="O58" s="34"/>
    </row>
    <row r="59" spans="1:15" ht="12.75" customHeight="1" x14ac:dyDescent="0.2">
      <c r="C59" s="269"/>
      <c r="N59" s="34"/>
      <c r="O59" s="34"/>
    </row>
    <row r="60" spans="1:15" ht="12.75" x14ac:dyDescent="0.2">
      <c r="C60" s="269"/>
      <c r="N60" s="34"/>
      <c r="O60" s="34"/>
    </row>
    <row r="61" spans="1:15" ht="12.75" x14ac:dyDescent="0.2">
      <c r="C61" s="269"/>
      <c r="N61" s="34"/>
      <c r="O61" s="34"/>
    </row>
    <row r="62" spans="1:15" ht="12.75" x14ac:dyDescent="0.2">
      <c r="C62" s="269"/>
      <c r="N62" s="34"/>
      <c r="O62" s="34"/>
    </row>
    <row r="63" spans="1:15" ht="12.75" x14ac:dyDescent="0.2">
      <c r="N63" s="34"/>
      <c r="O63" s="34"/>
    </row>
    <row r="64" spans="1:15" ht="12.75" x14ac:dyDescent="0.2">
      <c r="C64" s="257"/>
      <c r="N64" s="34"/>
      <c r="O64" s="34"/>
    </row>
    <row r="65" spans="3:15" ht="12.75" x14ac:dyDescent="0.2">
      <c r="C65" s="257"/>
      <c r="N65" s="34"/>
      <c r="O65" s="34"/>
    </row>
    <row r="66" spans="3:15" ht="12.75" x14ac:dyDescent="0.2">
      <c r="C66" s="257"/>
      <c r="N66" s="34"/>
      <c r="O66" s="34"/>
    </row>
    <row r="67" spans="3:15" ht="12.75" x14ac:dyDescent="0.2">
      <c r="C67" s="257"/>
      <c r="N67" s="34"/>
      <c r="O67" s="34"/>
    </row>
    <row r="68" spans="3:15" ht="12.75" x14ac:dyDescent="0.2">
      <c r="C68" s="257"/>
      <c r="N68" s="34"/>
      <c r="O68" s="34"/>
    </row>
    <row r="69" spans="3:15" ht="12.75" x14ac:dyDescent="0.2">
      <c r="C69" s="257"/>
      <c r="N69" s="34"/>
      <c r="O69" s="34"/>
    </row>
    <row r="70" spans="3:15" ht="12.75" x14ac:dyDescent="0.2">
      <c r="C70" s="257"/>
      <c r="N70" s="34"/>
      <c r="O70" s="34"/>
    </row>
    <row r="71" spans="3:15" ht="12.75" x14ac:dyDescent="0.2">
      <c r="C71" s="257"/>
      <c r="N71" s="34"/>
      <c r="O71" s="34"/>
    </row>
    <row r="72" spans="3:15" x14ac:dyDescent="0.25">
      <c r="C72" s="257"/>
    </row>
    <row r="73" spans="3:15" x14ac:dyDescent="0.25">
      <c r="C73" s="257"/>
    </row>
    <row r="74" spans="3:15" x14ac:dyDescent="0.25">
      <c r="C74" s="257"/>
    </row>
    <row r="75" spans="3:15" x14ac:dyDescent="0.25">
      <c r="C75" s="257"/>
    </row>
    <row r="76" spans="3:15" x14ac:dyDescent="0.25">
      <c r="C76" s="257"/>
    </row>
    <row r="77" spans="3:15" x14ac:dyDescent="0.25">
      <c r="C77" s="257"/>
    </row>
  </sheetData>
  <mergeCells count="42">
    <mergeCell ref="P33:W33"/>
    <mergeCell ref="P28:W28"/>
    <mergeCell ref="E42:L42"/>
    <mergeCell ref="P42:W42"/>
    <mergeCell ref="P39:W39"/>
    <mergeCell ref="E32:L32"/>
    <mergeCell ref="E33:L33"/>
    <mergeCell ref="E35:I35"/>
    <mergeCell ref="E39:L39"/>
    <mergeCell ref="E37:L37"/>
    <mergeCell ref="P37:W37"/>
    <mergeCell ref="E38:L38"/>
    <mergeCell ref="P38:W38"/>
    <mergeCell ref="P29:W29"/>
    <mergeCell ref="P30:W30"/>
    <mergeCell ref="P31:W31"/>
    <mergeCell ref="E26:I26"/>
    <mergeCell ref="E28:L28"/>
    <mergeCell ref="E29:L29"/>
    <mergeCell ref="E30:L30"/>
    <mergeCell ref="E31:L31"/>
    <mergeCell ref="B55:M55"/>
    <mergeCell ref="E48:L48"/>
    <mergeCell ref="P48:W48"/>
    <mergeCell ref="B53:F53"/>
    <mergeCell ref="B54:F54"/>
    <mergeCell ref="B56:M56"/>
    <mergeCell ref="P32:W32"/>
    <mergeCell ref="E46:L46"/>
    <mergeCell ref="P46:W46"/>
    <mergeCell ref="E43:L43"/>
    <mergeCell ref="P43:W43"/>
    <mergeCell ref="E44:L44"/>
    <mergeCell ref="P44:W44"/>
    <mergeCell ref="E45:L45"/>
    <mergeCell ref="P45:W45"/>
    <mergeCell ref="E40:L40"/>
    <mergeCell ref="P40:W40"/>
    <mergeCell ref="E41:L41"/>
    <mergeCell ref="P41:W41"/>
    <mergeCell ref="E47:L47"/>
    <mergeCell ref="P47:W47"/>
  </mergeCells>
  <conditionalFormatting sqref="C78:C1048576 C57:C63 C49:C52 C1 C5:C34 C54">
    <cfRule type="duplicateValues" dxfId="17" priority="18"/>
  </conditionalFormatting>
  <conditionalFormatting sqref="J7:J8">
    <cfRule type="duplicateValues" dxfId="16" priority="17"/>
  </conditionalFormatting>
  <conditionalFormatting sqref="J9:J15">
    <cfRule type="duplicateValues" dxfId="15" priority="16"/>
  </conditionalFormatting>
  <conditionalFormatting sqref="C35">
    <cfRule type="duplicateValues" dxfId="14" priority="15"/>
  </conditionalFormatting>
  <conditionalFormatting sqref="C39">
    <cfRule type="duplicateValues" dxfId="13" priority="14"/>
  </conditionalFormatting>
  <conditionalFormatting sqref="B4:M4">
    <cfRule type="cellIs" dxfId="12" priority="12" stopIfTrue="1" operator="equal">
      <formula>"input"</formula>
    </cfRule>
  </conditionalFormatting>
  <conditionalFormatting sqref="C53">
    <cfRule type="duplicateValues" dxfId="11" priority="6"/>
  </conditionalFormatting>
  <conditionalFormatting sqref="C40:C48">
    <cfRule type="duplicateValues" dxfId="10" priority="31"/>
  </conditionalFormatting>
  <conditionalFormatting sqref="C64:C67">
    <cfRule type="duplicateValues" dxfId="9" priority="37"/>
  </conditionalFormatting>
  <conditionalFormatting sqref="C68:C77">
    <cfRule type="duplicateValues" dxfId="8" priority="38"/>
  </conditionalFormatting>
  <conditionalFormatting sqref="C59:C77">
    <cfRule type="duplicateValues" dxfId="7" priority="39"/>
  </conditionalFormatting>
  <conditionalFormatting sqref="C36">
    <cfRule type="duplicateValues" dxfId="6" priority="5"/>
  </conditionalFormatting>
  <conditionalFormatting sqref="C37">
    <cfRule type="duplicateValues" dxfId="5" priority="4"/>
  </conditionalFormatting>
  <conditionalFormatting sqref="C38">
    <cfRule type="duplicateValues" dxfId="4" priority="2"/>
  </conditionalFormatting>
  <pageMargins left="0.5" right="0.5" top="0.5" bottom="0.5" header="0.5" footer="0.5"/>
  <pageSetup scale="74" fitToWidth="0" fitToHeight="0" orientation="landscape" r:id="rId1"/>
  <rowBreaks count="2" manualBreakCount="2">
    <brk id="33" max="13" man="1"/>
    <brk id="48"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49"/>
  <sheetViews>
    <sheetView showGridLines="0" view="pageBreakPreview" topLeftCell="A28" zoomScaleNormal="100" zoomScaleSheetLayoutView="100" workbookViewId="0">
      <selection activeCell="G21" sqref="G21"/>
    </sheetView>
  </sheetViews>
  <sheetFormatPr defaultColWidth="9.140625" defaultRowHeight="12.75" outlineLevelCol="1" x14ac:dyDescent="0.2"/>
  <cols>
    <col min="1" max="1" width="2.7109375" style="54" customWidth="1"/>
    <col min="2" max="2" width="71.28515625" style="54" customWidth="1"/>
    <col min="3" max="3" width="2.7109375" style="54" customWidth="1"/>
    <col min="4" max="4" width="17.42578125" style="54" hidden="1" customWidth="1" outlineLevel="1"/>
    <col min="5" max="5" width="24" style="54" customWidth="1" collapsed="1"/>
    <col min="6" max="6" width="24" style="54" customWidth="1"/>
    <col min="7" max="7" width="2.7109375" style="54" customWidth="1"/>
    <col min="8" max="8" width="16.7109375" style="54" bestFit="1" customWidth="1"/>
    <col min="9" max="9" width="1.5703125" style="54" customWidth="1"/>
    <col min="10" max="11" width="11" style="54" customWidth="1"/>
    <col min="12" max="12" width="1.5703125" style="54" customWidth="1"/>
    <col min="13" max="16384" width="9.140625" style="54"/>
  </cols>
  <sheetData>
    <row r="1" spans="2:11" s="34" customFormat="1" ht="10.7" customHeight="1" thickBot="1" x14ac:dyDescent="0.25">
      <c r="H1" s="54"/>
      <c r="I1" s="54"/>
      <c r="J1" s="54"/>
      <c r="K1" s="54"/>
    </row>
    <row r="2" spans="2:11" s="34" customFormat="1" ht="16.5" customHeight="1" thickTop="1" x14ac:dyDescent="0.25">
      <c r="B2" s="35" t="str">
        <f>Outline!B2</f>
        <v>Satellite Healthcare - Wellbound Santa Cruz</v>
      </c>
      <c r="C2" s="35"/>
      <c r="D2" s="35"/>
      <c r="E2" s="35"/>
      <c r="F2" s="35"/>
      <c r="G2" s="54"/>
      <c r="H2" s="54"/>
      <c r="I2" s="54"/>
      <c r="J2" s="54"/>
      <c r="K2" s="54"/>
    </row>
    <row r="3" spans="2:11" s="34" customFormat="1" ht="15.75" customHeight="1" x14ac:dyDescent="0.25">
      <c r="B3" s="36" t="str">
        <f>Outline!C17</f>
        <v>Workpaper 9</v>
      </c>
      <c r="C3" s="36"/>
      <c r="D3" s="36"/>
      <c r="E3" s="36"/>
      <c r="F3" s="36"/>
      <c r="G3" s="54"/>
      <c r="H3" s="270" t="s">
        <v>199</v>
      </c>
      <c r="I3" s="54"/>
      <c r="J3" s="330">
        <f>'Asset Vol_2'!AB2</f>
        <v>43465</v>
      </c>
      <c r="K3" s="54"/>
    </row>
    <row r="4" spans="2:11" s="34" customFormat="1" ht="16.5" customHeight="1" thickBot="1" x14ac:dyDescent="0.3">
      <c r="B4" s="37" t="s">
        <v>200</v>
      </c>
      <c r="C4" s="37"/>
      <c r="D4" s="37"/>
      <c r="E4" s="37"/>
      <c r="F4" s="37"/>
      <c r="G4" s="54"/>
      <c r="H4" s="202" t="s">
        <v>201</v>
      </c>
      <c r="J4" s="271">
        <f>'DLOM_Quantitative Methods'!D9</f>
        <v>0.75</v>
      </c>
      <c r="K4" s="54"/>
    </row>
    <row r="5" spans="2:11" s="34" customFormat="1" ht="12.75" customHeight="1" thickTop="1" x14ac:dyDescent="0.2">
      <c r="I5" s="202"/>
      <c r="J5" s="271">
        <f>'DLOM_Quantitative Methods'!E9</f>
        <v>1.25</v>
      </c>
    </row>
    <row r="6" spans="2:11" s="34" customFormat="1" ht="12.75" customHeight="1" x14ac:dyDescent="0.2">
      <c r="J6" s="271">
        <f>'DLOM_Quantitative Methods'!F9</f>
        <v>1.75</v>
      </c>
    </row>
    <row r="7" spans="2:11" s="149" customFormat="1" x14ac:dyDescent="0.2">
      <c r="B7" s="272" t="s">
        <v>29</v>
      </c>
      <c r="D7" s="273" t="s">
        <v>202</v>
      </c>
      <c r="E7" s="273" t="s">
        <v>203</v>
      </c>
      <c r="F7" s="274" t="s">
        <v>56</v>
      </c>
      <c r="H7" s="275"/>
      <c r="I7" s="275"/>
      <c r="J7" s="275"/>
      <c r="K7" s="275"/>
    </row>
    <row r="8" spans="2:11" s="34" customFormat="1" ht="12.75" customHeight="1" x14ac:dyDescent="0.2">
      <c r="J8" s="276" t="s">
        <v>204</v>
      </c>
      <c r="K8" s="277" t="s">
        <v>205</v>
      </c>
    </row>
    <row r="9" spans="2:11" s="34" customFormat="1" ht="12.75" customHeight="1" x14ac:dyDescent="0.2">
      <c r="B9" s="34" t="s">
        <v>206</v>
      </c>
      <c r="D9" s="278" t="s">
        <v>207</v>
      </c>
      <c r="E9" s="279">
        <f>1/12</f>
        <v>8.3333333333333329E-2</v>
      </c>
      <c r="F9" s="280">
        <f>_xll.ciqfunctions.udf.CIQSP(D9, "IQ_LASTSALEPRICE",$J$3)/100</f>
        <v>2.4399999999999998E-2</v>
      </c>
      <c r="H9" s="281"/>
      <c r="I9" s="106"/>
      <c r="J9" s="282"/>
      <c r="K9" s="107">
        <f>E10</f>
        <v>0.25</v>
      </c>
    </row>
    <row r="10" spans="2:11" s="34" customFormat="1" ht="12.75" customHeight="1" x14ac:dyDescent="0.2">
      <c r="B10" s="34" t="s">
        <v>208</v>
      </c>
      <c r="D10" s="283" t="s">
        <v>209</v>
      </c>
      <c r="E10" s="279">
        <f>3/12</f>
        <v>0.25</v>
      </c>
      <c r="F10" s="280">
        <f>_xll.ciqfunctions.udf.CIQSP(D10, "IQ_LASTSALEPRICE",$J$3)/100</f>
        <v>2.4500000000000001E-2</v>
      </c>
      <c r="H10" s="281"/>
      <c r="I10" s="106"/>
      <c r="J10" s="284">
        <f>E9</f>
        <v>8.3333333333333329E-2</v>
      </c>
      <c r="K10" s="107">
        <f t="shared" ref="K10:K18" si="0">E11</f>
        <v>0.5</v>
      </c>
    </row>
    <row r="11" spans="2:11" s="34" customFormat="1" ht="12.75" customHeight="1" x14ac:dyDescent="0.2">
      <c r="B11" s="34" t="s">
        <v>210</v>
      </c>
      <c r="D11" s="283" t="s">
        <v>211</v>
      </c>
      <c r="E11" s="279">
        <f>6/12</f>
        <v>0.5</v>
      </c>
      <c r="F11" s="280">
        <f>_xll.ciqfunctions.udf.CIQSP(D11, "IQ_LASTSALEPRICE",$J$3)/100</f>
        <v>2.5600000000000001E-2</v>
      </c>
      <c r="H11" s="281"/>
      <c r="I11" s="106"/>
      <c r="J11" s="284">
        <f t="shared" ref="J11:J19" si="1">E10</f>
        <v>0.25</v>
      </c>
      <c r="K11" s="107">
        <f t="shared" si="0"/>
        <v>1</v>
      </c>
    </row>
    <row r="12" spans="2:11" s="34" customFormat="1" ht="12.75" customHeight="1" x14ac:dyDescent="0.2">
      <c r="B12" s="34" t="s">
        <v>212</v>
      </c>
      <c r="D12" s="283" t="s">
        <v>213</v>
      </c>
      <c r="E12" s="279">
        <v>1</v>
      </c>
      <c r="F12" s="280">
        <f>_xll.ciqfunctions.udf.CIQSP(D12, "IQ_LASTSALEPRICE",$J$3)/100</f>
        <v>2.63E-2</v>
      </c>
      <c r="H12" s="281"/>
      <c r="I12" s="106"/>
      <c r="J12" s="284">
        <f t="shared" si="1"/>
        <v>0.5</v>
      </c>
      <c r="K12" s="107">
        <f t="shared" si="0"/>
        <v>2</v>
      </c>
    </row>
    <row r="13" spans="2:11" s="34" customFormat="1" ht="12.75" customHeight="1" x14ac:dyDescent="0.2">
      <c r="B13" s="34" t="s">
        <v>214</v>
      </c>
      <c r="D13" s="283" t="s">
        <v>215</v>
      </c>
      <c r="E13" s="279">
        <v>2</v>
      </c>
      <c r="F13" s="280">
        <f>_xll.ciqfunctions.udf.CIQSP(D13, "IQ_LASTSALEPRICE",$J$3)/100</f>
        <v>2.4799999999999999E-2</v>
      </c>
      <c r="H13" s="281"/>
      <c r="I13" s="106"/>
      <c r="J13" s="284">
        <f t="shared" si="1"/>
        <v>1</v>
      </c>
      <c r="K13" s="107">
        <f t="shared" si="0"/>
        <v>3</v>
      </c>
    </row>
    <row r="14" spans="2:11" s="34" customFormat="1" ht="12.75" customHeight="1" x14ac:dyDescent="0.2">
      <c r="B14" s="34" t="s">
        <v>216</v>
      </c>
      <c r="D14" s="283" t="s">
        <v>217</v>
      </c>
      <c r="E14" s="279">
        <v>3</v>
      </c>
      <c r="F14" s="280">
        <f>_xll.ciqfunctions.udf.CIQSP(D14, "IQ_LASTSALEPRICE",$J$3)/100</f>
        <v>2.46E-2</v>
      </c>
      <c r="H14" s="281"/>
      <c r="I14" s="106"/>
      <c r="J14" s="284">
        <f t="shared" si="1"/>
        <v>2</v>
      </c>
      <c r="K14" s="107">
        <f t="shared" si="0"/>
        <v>5</v>
      </c>
    </row>
    <row r="15" spans="2:11" s="34" customFormat="1" ht="12.75" customHeight="1" x14ac:dyDescent="0.2">
      <c r="B15" s="34" t="s">
        <v>218</v>
      </c>
      <c r="D15" s="283" t="s">
        <v>219</v>
      </c>
      <c r="E15" s="279">
        <v>5</v>
      </c>
      <c r="F15" s="280">
        <f>_xll.ciqfunctions.udf.CIQSP(D15, "IQ_LASTSALEPRICE",$J$3)/100</f>
        <v>2.5099999999999997E-2</v>
      </c>
      <c r="H15" s="281"/>
      <c r="I15" s="106"/>
      <c r="J15" s="284">
        <f t="shared" si="1"/>
        <v>3</v>
      </c>
      <c r="K15" s="107">
        <f t="shared" si="0"/>
        <v>7</v>
      </c>
    </row>
    <row r="16" spans="2:11" s="34" customFormat="1" ht="12.75" customHeight="1" x14ac:dyDescent="0.2">
      <c r="B16" s="34" t="s">
        <v>220</v>
      </c>
      <c r="D16" s="283" t="s">
        <v>221</v>
      </c>
      <c r="E16" s="279">
        <v>7</v>
      </c>
      <c r="F16" s="280">
        <f>_xll.ciqfunctions.udf.CIQSP(D16, "IQ_LASTSALEPRICE",$J$3)/100</f>
        <v>2.5899999999999999E-2</v>
      </c>
      <c r="H16" s="281"/>
      <c r="I16" s="106"/>
      <c r="J16" s="284">
        <f t="shared" si="1"/>
        <v>5</v>
      </c>
      <c r="K16" s="107">
        <f t="shared" si="0"/>
        <v>10</v>
      </c>
    </row>
    <row r="17" spans="2:11" s="34" customFormat="1" ht="12.75" customHeight="1" x14ac:dyDescent="0.2">
      <c r="B17" s="34" t="s">
        <v>222</v>
      </c>
      <c r="D17" s="283" t="s">
        <v>223</v>
      </c>
      <c r="E17" s="279">
        <v>10</v>
      </c>
      <c r="F17" s="280">
        <f>_xll.ciqfunctions.udf.CIQSP(D17, "IQ_LASTSALEPRICE",$J$3)/100</f>
        <v>2.69E-2</v>
      </c>
      <c r="H17" s="281"/>
      <c r="I17" s="106"/>
      <c r="J17" s="284">
        <f t="shared" si="1"/>
        <v>7</v>
      </c>
      <c r="K17" s="107">
        <f t="shared" si="0"/>
        <v>20</v>
      </c>
    </row>
    <row r="18" spans="2:11" s="34" customFormat="1" ht="12.75" customHeight="1" x14ac:dyDescent="0.2">
      <c r="B18" s="34" t="s">
        <v>224</v>
      </c>
      <c r="D18" s="283" t="s">
        <v>225</v>
      </c>
      <c r="E18" s="279">
        <v>20</v>
      </c>
      <c r="F18" s="280">
        <f>_xll.ciqfunctions.udf.CIQSP(D18, "IQ_LASTSALEPRICE",$J$3)/100</f>
        <v>2.87E-2</v>
      </c>
      <c r="H18" s="281"/>
      <c r="I18" s="106"/>
      <c r="J18" s="284">
        <f t="shared" si="1"/>
        <v>10</v>
      </c>
      <c r="K18" s="107">
        <f t="shared" si="0"/>
        <v>30</v>
      </c>
    </row>
    <row r="19" spans="2:11" s="34" customFormat="1" ht="12.75" customHeight="1" x14ac:dyDescent="0.2">
      <c r="B19" s="34" t="s">
        <v>226</v>
      </c>
      <c r="D19" s="283" t="s">
        <v>227</v>
      </c>
      <c r="E19" s="279">
        <v>30</v>
      </c>
      <c r="F19" s="280">
        <f>_xll.ciqfunctions.udf.CIQSP(D19, "IQ_LASTSALEPRICE",$J$3)/100</f>
        <v>3.0200000000000001E-2</v>
      </c>
      <c r="H19" s="281"/>
      <c r="I19" s="106"/>
      <c r="J19" s="285">
        <f t="shared" si="1"/>
        <v>20</v>
      </c>
      <c r="K19" s="286"/>
    </row>
    <row r="20" spans="2:11" s="34" customFormat="1" ht="12.75" customHeight="1" x14ac:dyDescent="0.2"/>
    <row r="21" spans="2:11" s="34" customFormat="1" ht="12.75" customHeight="1" x14ac:dyDescent="0.2"/>
    <row r="22" spans="2:11" s="34" customFormat="1" ht="12.75" customHeight="1" x14ac:dyDescent="0.2">
      <c r="B22" s="176" t="str">
        <f>"Interpolation - DLOM Term - "&amp;TEXT(J4,"0.0")&amp;" Year"</f>
        <v>Interpolation - DLOM Term - 0.8 Year</v>
      </c>
      <c r="C22" s="260"/>
      <c r="D22" s="260"/>
      <c r="E22" s="260"/>
      <c r="F22" s="287"/>
      <c r="I22" s="103"/>
      <c r="J22" s="103"/>
      <c r="K22" s="103"/>
    </row>
    <row r="23" spans="2:11" s="34" customFormat="1" ht="12.75" customHeight="1" x14ac:dyDescent="0.2">
      <c r="B23" s="288" t="s">
        <v>204</v>
      </c>
      <c r="C23" s="289"/>
      <c r="D23" s="289"/>
      <c r="E23" s="290">
        <f>SUMIFS(E9:E19,E9:E19,"&lt;"&amp;E25,K9:K19,"&gt;"&amp;E25)</f>
        <v>0.5</v>
      </c>
      <c r="F23" s="291">
        <f>IF(ISERROR(VLOOKUP(E23,$E$9:$F$19,COLUMNS($E$7:$F$7),FALSE)), "n/a", VLOOKUP(E23,$E$9:$F$19,COLUMNS($E$7:$F$7),FALSE))</f>
        <v>2.5600000000000001E-2</v>
      </c>
      <c r="I23" s="103"/>
      <c r="J23" s="103"/>
      <c r="K23" s="103"/>
    </row>
    <row r="24" spans="2:11" s="34" customFormat="1" ht="12.75" customHeight="1" x14ac:dyDescent="0.2">
      <c r="B24" s="288" t="s">
        <v>205</v>
      </c>
      <c r="C24" s="289"/>
      <c r="D24" s="289"/>
      <c r="E24" s="290">
        <f>SUMIFS(E9:E19,E9:E19,"&gt;"&amp;E25,J9:J19,"&lt;"&amp;E25)</f>
        <v>1</v>
      </c>
      <c r="F24" s="291">
        <f>IF(ISERROR(VLOOKUP(E24,$E$9:$F$19,COLUMNS($E$7:$F$7),FALSE)), "n/a", VLOOKUP(E24,$E$9:$F$19,COLUMNS($E$7:$F$7),FALSE))</f>
        <v>2.63E-2</v>
      </c>
      <c r="I24" s="103"/>
      <c r="J24" s="103"/>
      <c r="K24" s="103"/>
    </row>
    <row r="25" spans="2:11" s="34" customFormat="1" ht="12.75" customHeight="1" x14ac:dyDescent="0.2">
      <c r="B25" s="288" t="s">
        <v>66</v>
      </c>
      <c r="C25" s="289"/>
      <c r="D25" s="289"/>
      <c r="E25" s="290">
        <f>J4</f>
        <v>0.75</v>
      </c>
      <c r="F25" s="291">
        <f>IF(ISERROR(+F23+(F24-F23)/(E24-E23)*(E25-E23)), "n/a", +F23+(F24-F23)/(E24-E23)*(E25-E23))</f>
        <v>2.5950000000000001E-2</v>
      </c>
      <c r="I25" s="103"/>
      <c r="J25" s="103"/>
      <c r="K25" s="103"/>
    </row>
    <row r="26" spans="2:11" s="34" customFormat="1" ht="12.75" customHeight="1" x14ac:dyDescent="0.2">
      <c r="B26" s="288" t="s">
        <v>228</v>
      </c>
      <c r="C26" s="289"/>
      <c r="D26" s="289"/>
      <c r="E26" s="290">
        <f>E25</f>
        <v>0.75</v>
      </c>
      <c r="F26" s="291" t="str">
        <f>IF(ISERROR(VLOOKUP(E26,$E$9:$F$19,COLUMNS($E$7:$F$7),FALSE)), "n/a", VLOOKUP(E26,$E$9:$F$19,COLUMNS($E$7:$F$7),FALSE))</f>
        <v>n/a</v>
      </c>
      <c r="I26" s="103"/>
      <c r="J26" s="103"/>
      <c r="K26" s="103"/>
    </row>
    <row r="27" spans="2:11" s="34" customFormat="1" ht="12.75" customHeight="1" x14ac:dyDescent="0.2">
      <c r="B27" s="292"/>
      <c r="C27" s="289"/>
      <c r="D27" s="289"/>
      <c r="E27" s="289"/>
      <c r="F27" s="293"/>
      <c r="I27" s="103"/>
      <c r="J27" s="103"/>
      <c r="K27" s="103"/>
    </row>
    <row r="28" spans="2:11" s="34" customFormat="1" ht="12.75" customHeight="1" x14ac:dyDescent="0.2">
      <c r="B28" s="263" t="s">
        <v>229</v>
      </c>
      <c r="C28" s="264"/>
      <c r="D28" s="264"/>
      <c r="E28" s="264"/>
      <c r="F28" s="294">
        <f>IF(F25="n/a",F26,F25)</f>
        <v>2.5950000000000001E-2</v>
      </c>
      <c r="I28" s="295"/>
      <c r="J28" s="295"/>
      <c r="K28" s="295"/>
    </row>
    <row r="29" spans="2:11" s="34" customFormat="1" ht="12.75" customHeight="1" x14ac:dyDescent="0.2">
      <c r="I29" s="103"/>
      <c r="J29" s="103"/>
      <c r="K29" s="103"/>
    </row>
    <row r="30" spans="2:11" s="34" customFormat="1" ht="12.75" customHeight="1" x14ac:dyDescent="0.2"/>
    <row r="31" spans="2:11" s="34" customFormat="1" ht="12.75" customHeight="1" x14ac:dyDescent="0.2">
      <c r="B31" s="176" t="str">
        <f>"Interpolation - DLOM Term - "&amp;TEXT(J5,"0.0")&amp;" Year"</f>
        <v>Interpolation - DLOM Term - 1.3 Year</v>
      </c>
      <c r="C31" s="260"/>
      <c r="D31" s="260"/>
      <c r="E31" s="260"/>
      <c r="F31" s="287"/>
      <c r="I31" s="103"/>
      <c r="J31" s="103"/>
      <c r="K31" s="103"/>
    </row>
    <row r="32" spans="2:11" s="34" customFormat="1" ht="12.75" customHeight="1" x14ac:dyDescent="0.2">
      <c r="B32" s="288" t="s">
        <v>204</v>
      </c>
      <c r="C32" s="289"/>
      <c r="D32" s="289"/>
      <c r="E32" s="290">
        <f>SUMIFS(E9:E19,E9:E19,"&lt;"&amp;E34,K9:K19,"&gt;"&amp;E34)</f>
        <v>1</v>
      </c>
      <c r="F32" s="291">
        <f>IF(ISERROR(VLOOKUP(E32,$E$9:$F$19,COLUMNS($E$7:$F$7),FALSE)), "n/a", VLOOKUP(E32,$E$9:$F$19,COLUMNS($E$7:$F$7),FALSE))</f>
        <v>2.63E-2</v>
      </c>
      <c r="I32" s="103"/>
      <c r="J32" s="103"/>
      <c r="K32" s="103"/>
    </row>
    <row r="33" spans="2:11" s="34" customFormat="1" ht="12.75" customHeight="1" x14ac:dyDescent="0.2">
      <c r="B33" s="288" t="s">
        <v>205</v>
      </c>
      <c r="C33" s="289"/>
      <c r="D33" s="289"/>
      <c r="E33" s="290">
        <f>SUMIFS(E9:E19,E9:E19,"&gt;"&amp;E34,J9:J19,"&lt;"&amp;E34)</f>
        <v>2</v>
      </c>
      <c r="F33" s="291">
        <f>IF(ISERROR(VLOOKUP(E33,$E$9:$F$19,COLUMNS($E$7:$F$7),FALSE)), "n/a", VLOOKUP(E33,$E$9:$F$19,COLUMNS($E$7:$F$7),FALSE))</f>
        <v>2.4799999999999999E-2</v>
      </c>
      <c r="I33" s="103"/>
      <c r="J33" s="103"/>
      <c r="K33" s="103"/>
    </row>
    <row r="34" spans="2:11" s="34" customFormat="1" ht="12.75" customHeight="1" x14ac:dyDescent="0.2">
      <c r="B34" s="288" t="s">
        <v>66</v>
      </c>
      <c r="C34" s="289"/>
      <c r="D34" s="289"/>
      <c r="E34" s="290">
        <f>J5</f>
        <v>1.25</v>
      </c>
      <c r="F34" s="291">
        <f>IF(ISERROR(+F32+(F33-F32)/(E33-E32)*(E34-E32)), "n/a", +F32+(F33-F32)/(E33-E32)*(E34-E32))</f>
        <v>2.5925E-2</v>
      </c>
      <c r="I34" s="103"/>
      <c r="J34" s="103"/>
      <c r="K34" s="103"/>
    </row>
    <row r="35" spans="2:11" s="34" customFormat="1" ht="12.75" customHeight="1" x14ac:dyDescent="0.2">
      <c r="B35" s="288" t="s">
        <v>228</v>
      </c>
      <c r="C35" s="289"/>
      <c r="D35" s="289"/>
      <c r="E35" s="290">
        <f>E34</f>
        <v>1.25</v>
      </c>
      <c r="F35" s="291" t="str">
        <f>IF(ISERROR(VLOOKUP(E35,$E$9:$F$19,COLUMNS($E$7:$F$7),FALSE)), "n/a", VLOOKUP(E35,$E$9:$F$19,COLUMNS($E$7:$F$7),FALSE))</f>
        <v>n/a</v>
      </c>
      <c r="I35" s="103"/>
      <c r="J35" s="103"/>
      <c r="K35" s="103"/>
    </row>
    <row r="36" spans="2:11" s="34" customFormat="1" ht="12.75" customHeight="1" x14ac:dyDescent="0.2">
      <c r="B36" s="292"/>
      <c r="C36" s="289"/>
      <c r="D36" s="289"/>
      <c r="E36" s="289"/>
      <c r="F36" s="293"/>
      <c r="I36" s="103"/>
      <c r="J36" s="103"/>
      <c r="K36" s="103"/>
    </row>
    <row r="37" spans="2:11" s="34" customFormat="1" ht="12.75" customHeight="1" x14ac:dyDescent="0.2">
      <c r="B37" s="263" t="s">
        <v>229</v>
      </c>
      <c r="C37" s="264"/>
      <c r="D37" s="264"/>
      <c r="E37" s="264"/>
      <c r="F37" s="294">
        <f>IF(F34="n/a",F35,F34)</f>
        <v>2.5925E-2</v>
      </c>
      <c r="I37" s="295"/>
      <c r="J37" s="295"/>
      <c r="K37" s="295"/>
    </row>
    <row r="38" spans="2:11" s="34" customFormat="1" ht="12.75" customHeight="1" x14ac:dyDescent="0.2"/>
    <row r="39" spans="2:11" s="34" customFormat="1" ht="12.75" customHeight="1" x14ac:dyDescent="0.2">
      <c r="B39" s="176" t="str">
        <f>"Interpolation - DLOM Term - "&amp;TEXT(J6,"0.0")&amp;" Year"</f>
        <v>Interpolation - DLOM Term - 1.8 Year</v>
      </c>
      <c r="C39" s="260"/>
      <c r="D39" s="260"/>
      <c r="E39" s="260"/>
      <c r="F39" s="287"/>
      <c r="I39" s="103"/>
      <c r="J39" s="103"/>
      <c r="K39" s="103"/>
    </row>
    <row r="40" spans="2:11" s="34" customFormat="1" ht="12.75" customHeight="1" x14ac:dyDescent="0.2">
      <c r="B40" s="288" t="s">
        <v>204</v>
      </c>
      <c r="C40" s="289"/>
      <c r="D40" s="289"/>
      <c r="E40" s="290">
        <f>SUMIFS(E9:E19,E9:E19,"&lt;"&amp;E42,K9:K19,"&gt;"&amp;E42)</f>
        <v>1</v>
      </c>
      <c r="F40" s="291">
        <f>IF(ISERROR(VLOOKUP(E40,$E$9:$F$19,COLUMNS($E$7:$F$7),FALSE)), "n/a", VLOOKUP(E40,$E$9:$F$19,COLUMNS($E$7:$F$7),FALSE))</f>
        <v>2.63E-2</v>
      </c>
      <c r="I40" s="103"/>
      <c r="J40" s="103"/>
      <c r="K40" s="103"/>
    </row>
    <row r="41" spans="2:11" s="34" customFormat="1" ht="12.75" customHeight="1" x14ac:dyDescent="0.2">
      <c r="B41" s="288" t="s">
        <v>205</v>
      </c>
      <c r="C41" s="289"/>
      <c r="D41" s="289"/>
      <c r="E41" s="290">
        <f>SUMIFS(E9:E19,E9:E19,"&gt;"&amp;E42,J9:J19,"&lt;"&amp;E42)</f>
        <v>2</v>
      </c>
      <c r="F41" s="291">
        <f>IF(ISERROR(VLOOKUP(E41,$E$9:$F$19,COLUMNS($E$7:$F$7),FALSE)), "n/a", VLOOKUP(E41,$E$9:$F$19,COLUMNS($E$7:$F$7),FALSE))</f>
        <v>2.4799999999999999E-2</v>
      </c>
      <c r="I41" s="103"/>
      <c r="J41" s="103"/>
      <c r="K41" s="103"/>
    </row>
    <row r="42" spans="2:11" s="34" customFormat="1" ht="12.75" customHeight="1" x14ac:dyDescent="0.2">
      <c r="B42" s="288" t="s">
        <v>66</v>
      </c>
      <c r="C42" s="289"/>
      <c r="D42" s="289"/>
      <c r="E42" s="290">
        <f>J6</f>
        <v>1.75</v>
      </c>
      <c r="F42" s="291">
        <f>IF(ISERROR(+F40+(F41-F40)/(E41-E40)*(E42-E40)), "n/a", +F40+(F41-F40)/(E41-E40)*(E42-E40))</f>
        <v>2.5174999999999999E-2</v>
      </c>
      <c r="I42" s="103"/>
      <c r="J42" s="103"/>
      <c r="K42" s="103"/>
    </row>
    <row r="43" spans="2:11" s="34" customFormat="1" ht="12.75" customHeight="1" x14ac:dyDescent="0.2">
      <c r="B43" s="288" t="s">
        <v>228</v>
      </c>
      <c r="C43" s="289"/>
      <c r="D43" s="289"/>
      <c r="E43" s="290">
        <f>E42</f>
        <v>1.75</v>
      </c>
      <c r="F43" s="291" t="str">
        <f>IF(ISERROR(VLOOKUP(E43,$E$9:$F$19,COLUMNS($E$7:$F$7),FALSE)), "n/a", VLOOKUP(E43,$E$9:$F$19,COLUMNS($E$7:$F$7),FALSE))</f>
        <v>n/a</v>
      </c>
      <c r="I43" s="103"/>
      <c r="J43" s="103"/>
      <c r="K43" s="103"/>
    </row>
    <row r="44" spans="2:11" s="34" customFormat="1" ht="12.75" customHeight="1" x14ac:dyDescent="0.2">
      <c r="B44" s="292"/>
      <c r="C44" s="289"/>
      <c r="D44" s="289"/>
      <c r="E44" s="289"/>
      <c r="F44" s="293"/>
      <c r="I44" s="103"/>
      <c r="J44" s="103"/>
      <c r="K44" s="103"/>
    </row>
    <row r="45" spans="2:11" s="34" customFormat="1" ht="12.75" customHeight="1" x14ac:dyDescent="0.2">
      <c r="B45" s="263" t="s">
        <v>229</v>
      </c>
      <c r="C45" s="264"/>
      <c r="D45" s="264"/>
      <c r="E45" s="264"/>
      <c r="F45" s="294">
        <f>IF(F42="n/a",F43,F42)</f>
        <v>2.5174999999999999E-2</v>
      </c>
      <c r="I45" s="295"/>
      <c r="J45" s="295"/>
      <c r="K45" s="295"/>
    </row>
    <row r="46" spans="2:11" ht="12.75" customHeight="1" x14ac:dyDescent="0.2"/>
    <row r="47" spans="2:11" s="34" customFormat="1" ht="12.75" customHeight="1" x14ac:dyDescent="0.2">
      <c r="B47" s="127" t="s">
        <v>135</v>
      </c>
    </row>
    <row r="48" spans="2:11" s="34" customFormat="1" ht="12.75" customHeight="1" x14ac:dyDescent="0.2"/>
    <row r="49" s="34" customFormat="1" ht="12.75" customHeight="1" x14ac:dyDescent="0.2"/>
  </sheetData>
  <conditionalFormatting sqref="B4:F4">
    <cfRule type="cellIs" dxfId="3" priority="1" stopIfTrue="1" operator="equal">
      <formula>"input"</formula>
    </cfRule>
  </conditionalFormatting>
  <pageMargins left="0.5" right="0.5" top="0.5" bottom="0.5" header="0.5" footer="0.5"/>
  <pageSetup fitToWidth="0" fitToHeight="0" orientation="landscape" r:id="rId1"/>
  <rowBreaks count="1" manualBreakCount="1">
    <brk id="37" max="6"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6"/>
  <sheetViews>
    <sheetView showGridLines="0" view="pageBreakPreview" topLeftCell="A7" zoomScaleNormal="100" zoomScaleSheetLayoutView="100" workbookViewId="0">
      <selection activeCell="G21" sqref="G21"/>
    </sheetView>
  </sheetViews>
  <sheetFormatPr defaultColWidth="9.140625" defaultRowHeight="12.75" outlineLevelRow="1" x14ac:dyDescent="0.2"/>
  <cols>
    <col min="1" max="1" width="2.7109375" style="34" customWidth="1"/>
    <col min="2" max="2" width="36" style="34" customWidth="1"/>
    <col min="3" max="3" width="2.7109375" style="34" customWidth="1"/>
    <col min="4" max="11" width="12.28515625" style="34" customWidth="1"/>
    <col min="12" max="12" width="2.7109375" style="34" customWidth="1"/>
    <col min="13" max="13" width="8.140625" style="34" bestFit="1" customWidth="1"/>
    <col min="14" max="14" width="8.85546875" style="34" bestFit="1" customWidth="1"/>
    <col min="15" max="15" width="12.140625" style="43" customWidth="1"/>
    <col min="16" max="16" width="9.140625" style="34"/>
    <col min="17" max="17" width="12.140625" style="34" bestFit="1" customWidth="1"/>
    <col min="18" max="16384" width="9.140625" style="34"/>
  </cols>
  <sheetData>
    <row r="1" spans="2:18" ht="10.7" customHeight="1" thickBot="1" x14ac:dyDescent="0.25"/>
    <row r="2" spans="2:18" ht="16.5" customHeight="1" thickTop="1" x14ac:dyDescent="0.25">
      <c r="B2" s="35" t="str">
        <f>Outline!B2</f>
        <v>Satellite Healthcare - Wellbound Santa Cruz</v>
      </c>
      <c r="C2" s="35"/>
      <c r="D2" s="35"/>
      <c r="E2" s="35"/>
      <c r="F2" s="35"/>
      <c r="G2" s="35"/>
      <c r="H2" s="35"/>
      <c r="I2" s="35"/>
      <c r="J2" s="35"/>
      <c r="K2" s="35"/>
    </row>
    <row r="3" spans="2:18" ht="15.75" customHeight="1" x14ac:dyDescent="0.25">
      <c r="B3" s="36" t="str">
        <f>Outline!C18</f>
        <v>Workpaper 10</v>
      </c>
      <c r="C3" s="36"/>
      <c r="D3" s="36"/>
      <c r="E3" s="36"/>
      <c r="F3" s="36"/>
      <c r="G3" s="36"/>
      <c r="H3" s="36"/>
      <c r="I3" s="36"/>
      <c r="J3" s="36"/>
      <c r="K3" s="36"/>
      <c r="O3" s="34"/>
      <c r="P3" s="296"/>
      <c r="R3" s="296"/>
    </row>
    <row r="4" spans="2:18" ht="16.5" customHeight="1" thickBot="1" x14ac:dyDescent="0.3">
      <c r="B4" s="37" t="s">
        <v>230</v>
      </c>
      <c r="C4" s="37"/>
      <c r="D4" s="37"/>
      <c r="E4" s="37"/>
      <c r="F4" s="37"/>
      <c r="G4" s="37"/>
      <c r="H4" s="37"/>
      <c r="I4" s="37"/>
      <c r="J4" s="37"/>
      <c r="K4" s="37"/>
    </row>
    <row r="5" spans="2:18" ht="12.75" customHeight="1" thickTop="1" x14ac:dyDescent="0.2"/>
    <row r="6" spans="2:18" ht="12.75" customHeight="1" x14ac:dyDescent="0.2">
      <c r="D6" s="41" t="s">
        <v>231</v>
      </c>
      <c r="E6" s="41"/>
      <c r="F6" s="41"/>
      <c r="G6" s="41"/>
      <c r="H6" s="41"/>
      <c r="I6" s="41"/>
      <c r="J6" s="41"/>
      <c r="K6" s="41"/>
      <c r="N6" s="297"/>
    </row>
    <row r="7" spans="2:18" ht="12.75" customHeight="1" x14ac:dyDescent="0.2">
      <c r="D7" s="92" t="s">
        <v>232</v>
      </c>
      <c r="E7" s="93"/>
      <c r="F7" s="93"/>
      <c r="G7" s="93"/>
      <c r="H7" s="94"/>
      <c r="I7" s="93"/>
      <c r="J7" s="93"/>
      <c r="K7" s="94"/>
    </row>
    <row r="8" spans="2:18" ht="15.75" customHeight="1" x14ac:dyDescent="0.2">
      <c r="B8" s="148" t="s">
        <v>108</v>
      </c>
      <c r="D8" s="298">
        <v>1</v>
      </c>
      <c r="E8" s="299">
        <v>2</v>
      </c>
      <c r="F8" s="299">
        <v>3</v>
      </c>
      <c r="G8" s="299">
        <v>4</v>
      </c>
      <c r="H8" s="299">
        <v>5</v>
      </c>
      <c r="I8" s="299">
        <v>6</v>
      </c>
      <c r="J8" s="299">
        <v>7</v>
      </c>
      <c r="K8" s="300">
        <v>8</v>
      </c>
      <c r="M8" s="158"/>
      <c r="O8" s="40"/>
    </row>
    <row r="9" spans="2:18" ht="12.75" customHeight="1" x14ac:dyDescent="0.2"/>
    <row r="10" spans="2:18" ht="12.75" customHeight="1" x14ac:dyDescent="0.2">
      <c r="B10" s="160" t="str">
        <f>'Asset Vol_2'!B11</f>
        <v>Fresenius SE &amp; Co. KGaA</v>
      </c>
      <c r="D10" s="165">
        <f>'Equity Volatility - Output'!F8</f>
        <v>0.37049945727814049</v>
      </c>
      <c r="E10" s="165">
        <f>'Equity Volatility - Output'!G8</f>
        <v>0.28856512088536501</v>
      </c>
      <c r="F10" s="165">
        <f>'Equity Volatility - Output'!H8</f>
        <v>0.27894032343971775</v>
      </c>
      <c r="G10" s="165">
        <f>'Equity Volatility - Output'!I8</f>
        <v>0.27391410956093221</v>
      </c>
      <c r="H10" s="165">
        <f>'Equity Volatility - Output'!J8</f>
        <v>0.2600277213968939</v>
      </c>
      <c r="I10" s="165">
        <f>'Equity Volatility - Output'!K8</f>
        <v>0.2506747364797467</v>
      </c>
      <c r="J10" s="165">
        <f>'Equity Volatility - Output'!L8</f>
        <v>0.24657081702875525</v>
      </c>
      <c r="K10" s="165">
        <f>'Equity Volatility - Output'!M8</f>
        <v>0.25442969787753139</v>
      </c>
      <c r="M10" s="172"/>
      <c r="O10" s="301"/>
    </row>
    <row r="11" spans="2:18" ht="12.75" customHeight="1" x14ac:dyDescent="0.2">
      <c r="B11" s="160" t="str">
        <f>'Asset Vol_2'!B12</f>
        <v>Fresenius Medical Care AG &amp; Co. KGaA</v>
      </c>
      <c r="D11" s="165">
        <f>'Equity Volatility - Output'!F9</f>
        <v>0.3288738213084566</v>
      </c>
      <c r="E11" s="165">
        <f>'Equity Volatility - Output'!G9</f>
        <v>0.26144451973052713</v>
      </c>
      <c r="F11" s="165">
        <f>'Equity Volatility - Output'!H9</f>
        <v>0.2554441388710581</v>
      </c>
      <c r="G11" s="165">
        <f>'Equity Volatility - Output'!I9</f>
        <v>0.25314608513358555</v>
      </c>
      <c r="H11" s="165">
        <f>'Equity Volatility - Output'!J9</f>
        <v>0.24063986816606325</v>
      </c>
      <c r="I11" s="165">
        <f>'Equity Volatility - Output'!K9</f>
        <v>0.23456371438665938</v>
      </c>
      <c r="J11" s="165">
        <f>'Equity Volatility - Output'!L9</f>
        <v>0.23122388370283908</v>
      </c>
      <c r="K11" s="165">
        <f>'Equity Volatility - Output'!M9</f>
        <v>0.23526423934505575</v>
      </c>
      <c r="M11" s="172"/>
      <c r="O11" s="301"/>
    </row>
    <row r="12" spans="2:18" ht="12.75" customHeight="1" x14ac:dyDescent="0.2">
      <c r="B12" s="160" t="str">
        <f>'Asset Vol_2'!B13</f>
        <v>DaVita Inc.</v>
      </c>
      <c r="D12" s="165">
        <f>'Equity Volatility - Output'!F10</f>
        <v>0.30365987198958466</v>
      </c>
      <c r="E12" s="165">
        <f>'Equity Volatility - Output'!G10</f>
        <v>0.30047832513311512</v>
      </c>
      <c r="F12" s="165">
        <f>'Equity Volatility - Output'!H10</f>
        <v>0.27417917042017009</v>
      </c>
      <c r="G12" s="165">
        <f>'Equity Volatility - Output'!I10</f>
        <v>0.249978823765203</v>
      </c>
      <c r="H12" s="165">
        <f>'Equity Volatility - Output'!J10</f>
        <v>0.23373755616110109</v>
      </c>
      <c r="I12" s="165">
        <f>'Equity Volatility - Output'!K10</f>
        <v>0.23438849177301008</v>
      </c>
      <c r="J12" s="165">
        <f>'Equity Volatility - Output'!L10</f>
        <v>0.22895129589493876</v>
      </c>
      <c r="K12" s="165">
        <f>'Equity Volatility - Output'!M10</f>
        <v>0.23666737527064524</v>
      </c>
      <c r="M12" s="172"/>
      <c r="O12" s="301"/>
    </row>
    <row r="13" spans="2:18" ht="12.75" customHeight="1" x14ac:dyDescent="0.2">
      <c r="B13" s="160" t="str">
        <f>'Asset Vol_2'!B14</f>
        <v>NxStage Medical, Inc.</v>
      </c>
      <c r="D13" s="165">
        <f>'Equity Volatility - Output'!F11</f>
        <v>0.15034732733466866</v>
      </c>
      <c r="E13" s="165">
        <f>'Equity Volatility - Output'!G11</f>
        <v>0.29706003745331494</v>
      </c>
      <c r="F13" s="165">
        <f>'Equity Volatility - Output'!H11</f>
        <v>0.34570694848989109</v>
      </c>
      <c r="G13" s="165">
        <f>'Equity Volatility - Output'!I11</f>
        <v>0.34394192365762433</v>
      </c>
      <c r="H13" s="165">
        <f>'Equity Volatility - Output'!J11</f>
        <v>0.34592277457394588</v>
      </c>
      <c r="I13" s="165">
        <f>'Equity Volatility - Output'!K11</f>
        <v>0.34378063081554788</v>
      </c>
      <c r="J13" s="165">
        <f>'Equity Volatility - Output'!L11</f>
        <v>0.35337433996918016</v>
      </c>
      <c r="K13" s="165">
        <f>'Equity Volatility - Output'!M11</f>
        <v>0.36959175946338146</v>
      </c>
      <c r="M13" s="172"/>
      <c r="O13" s="301"/>
    </row>
    <row r="14" spans="2:18" ht="12.75" customHeight="1" x14ac:dyDescent="0.2">
      <c r="B14" s="160" t="str">
        <f>'Asset Vol_2'!B15</f>
        <v>American Renal Associates Holdings, Inc.</v>
      </c>
      <c r="D14" s="165">
        <f>'Equity Volatility - Output'!F12</f>
        <v>0.50552024995048173</v>
      </c>
      <c r="E14" s="165">
        <f>'Equity Volatility - Output'!G12</f>
        <v>0.49317678642885571</v>
      </c>
      <c r="F14" s="165">
        <f>'Equity Volatility - Output'!H12</f>
        <v>0.48823549668578248</v>
      </c>
      <c r="G14" s="302">
        <f>F14</f>
        <v>0.48823549668578248</v>
      </c>
      <c r="H14" s="302">
        <f>G14</f>
        <v>0.48823549668578248</v>
      </c>
      <c r="I14" s="302">
        <f>H14</f>
        <v>0.48823549668578248</v>
      </c>
      <c r="J14" s="302">
        <f>I14</f>
        <v>0.48823549668578248</v>
      </c>
      <c r="K14" s="302">
        <f>J14</f>
        <v>0.48823549668578248</v>
      </c>
      <c r="M14" s="172"/>
      <c r="O14" s="301"/>
    </row>
    <row r="15" spans="2:18" ht="12.75" hidden="1" customHeight="1" outlineLevel="1" x14ac:dyDescent="0.2">
      <c r="D15" s="165"/>
      <c r="E15" s="165"/>
      <c r="F15" s="165"/>
      <c r="G15" s="165"/>
      <c r="H15" s="165"/>
      <c r="I15" s="165"/>
      <c r="J15" s="165"/>
      <c r="K15" s="165"/>
      <c r="M15" s="172"/>
      <c r="O15" s="301"/>
    </row>
    <row r="16" spans="2:18" ht="12.75" hidden="1" customHeight="1" outlineLevel="1" x14ac:dyDescent="0.2">
      <c r="D16" s="165"/>
      <c r="E16" s="165"/>
      <c r="F16" s="165"/>
      <c r="G16" s="165"/>
      <c r="H16" s="165"/>
      <c r="I16" s="165"/>
      <c r="J16" s="165"/>
      <c r="K16" s="165"/>
      <c r="M16" s="172"/>
      <c r="O16" s="301"/>
    </row>
    <row r="17" spans="1:15" ht="12.75" hidden="1" customHeight="1" outlineLevel="1" x14ac:dyDescent="0.2">
      <c r="D17" s="165"/>
      <c r="E17" s="165"/>
      <c r="F17" s="165"/>
      <c r="G17" s="165"/>
      <c r="H17" s="165"/>
      <c r="I17" s="165"/>
      <c r="J17" s="165"/>
      <c r="K17" s="165"/>
      <c r="M17" s="172"/>
      <c r="O17" s="301"/>
    </row>
    <row r="18" spans="1:15" ht="12.75" hidden="1" customHeight="1" outlineLevel="1" x14ac:dyDescent="0.2">
      <c r="D18" s="165"/>
      <c r="E18" s="165"/>
      <c r="F18" s="165"/>
      <c r="G18" s="165"/>
      <c r="H18" s="165"/>
      <c r="I18" s="165"/>
      <c r="J18" s="165"/>
      <c r="K18" s="165"/>
      <c r="M18" s="172"/>
      <c r="O18" s="301"/>
    </row>
    <row r="19" spans="1:15" ht="12.75" customHeight="1" collapsed="1" x14ac:dyDescent="0.2">
      <c r="M19" s="172"/>
      <c r="O19" s="301"/>
    </row>
    <row r="20" spans="1:15" ht="12.75" customHeight="1" x14ac:dyDescent="0.2">
      <c r="B20" s="176" t="s">
        <v>34</v>
      </c>
      <c r="C20" s="260"/>
      <c r="D20" s="179">
        <f t="shared" ref="D20:K20" si="0">MAX(D10:D19)</f>
        <v>0.50552024995048173</v>
      </c>
      <c r="E20" s="179">
        <f t="shared" si="0"/>
        <v>0.49317678642885571</v>
      </c>
      <c r="F20" s="179">
        <f t="shared" si="0"/>
        <v>0.48823549668578248</v>
      </c>
      <c r="G20" s="179">
        <f>MAX(G10:G19)</f>
        <v>0.48823549668578248</v>
      </c>
      <c r="H20" s="179">
        <f t="shared" si="0"/>
        <v>0.48823549668578248</v>
      </c>
      <c r="I20" s="179">
        <f t="shared" si="0"/>
        <v>0.48823549668578248</v>
      </c>
      <c r="J20" s="179">
        <f t="shared" si="0"/>
        <v>0.48823549668578248</v>
      </c>
      <c r="K20" s="303">
        <f t="shared" si="0"/>
        <v>0.48823549668578248</v>
      </c>
    </row>
    <row r="21" spans="1:15" ht="12.75" customHeight="1" x14ac:dyDescent="0.2">
      <c r="B21" s="190" t="s">
        <v>130</v>
      </c>
      <c r="C21" s="289"/>
      <c r="D21" s="193">
        <f t="shared" ref="D21:K21" si="1">QUARTILE(D10:D19,3)</f>
        <v>0.37049945727814049</v>
      </c>
      <c r="E21" s="193">
        <f t="shared" si="1"/>
        <v>0.30047832513311512</v>
      </c>
      <c r="F21" s="193">
        <f t="shared" si="1"/>
        <v>0.34570694848989109</v>
      </c>
      <c r="G21" s="193">
        <f t="shared" si="1"/>
        <v>0.34394192365762433</v>
      </c>
      <c r="H21" s="193">
        <f t="shared" si="1"/>
        <v>0.34592277457394588</v>
      </c>
      <c r="I21" s="193">
        <f t="shared" si="1"/>
        <v>0.34378063081554788</v>
      </c>
      <c r="J21" s="193">
        <f t="shared" si="1"/>
        <v>0.35337433996918016</v>
      </c>
      <c r="K21" s="304">
        <f t="shared" si="1"/>
        <v>0.36959175946338146</v>
      </c>
    </row>
    <row r="22" spans="1:15" ht="12.75" customHeight="1" x14ac:dyDescent="0.2">
      <c r="B22" s="190" t="s">
        <v>125</v>
      </c>
      <c r="C22" s="289"/>
      <c r="D22" s="193">
        <f t="shared" ref="D22:K22" si="2">AVERAGE(D10:D19)</f>
        <v>0.33178014557226643</v>
      </c>
      <c r="E22" s="193">
        <f t="shared" si="2"/>
        <v>0.32814495792623555</v>
      </c>
      <c r="F22" s="193">
        <f t="shared" si="2"/>
        <v>0.32850121558132395</v>
      </c>
      <c r="G22" s="193">
        <f t="shared" si="2"/>
        <v>0.32184328776062548</v>
      </c>
      <c r="H22" s="193">
        <f t="shared" si="2"/>
        <v>0.31371268339675729</v>
      </c>
      <c r="I22" s="193">
        <f t="shared" si="2"/>
        <v>0.31032861402814932</v>
      </c>
      <c r="J22" s="193">
        <f t="shared" si="2"/>
        <v>0.30967116665629912</v>
      </c>
      <c r="K22" s="304">
        <f t="shared" si="2"/>
        <v>0.3168377137284793</v>
      </c>
    </row>
    <row r="23" spans="1:15" ht="12.75" customHeight="1" x14ac:dyDescent="0.2">
      <c r="B23" s="190" t="s">
        <v>128</v>
      </c>
      <c r="C23" s="289"/>
      <c r="D23" s="193">
        <f t="shared" ref="D23:K23" si="3">MEDIAN(D10:D19)</f>
        <v>0.3288738213084566</v>
      </c>
      <c r="E23" s="193">
        <f t="shared" si="3"/>
        <v>0.29706003745331494</v>
      </c>
      <c r="F23" s="193">
        <f t="shared" si="3"/>
        <v>0.27894032343971775</v>
      </c>
      <c r="G23" s="193">
        <f t="shared" si="3"/>
        <v>0.27391410956093221</v>
      </c>
      <c r="H23" s="193">
        <f t="shared" si="3"/>
        <v>0.2600277213968939</v>
      </c>
      <c r="I23" s="193">
        <f t="shared" si="3"/>
        <v>0.2506747364797467</v>
      </c>
      <c r="J23" s="193">
        <f t="shared" si="3"/>
        <v>0.24657081702875525</v>
      </c>
      <c r="K23" s="304">
        <f t="shared" si="3"/>
        <v>0.25442969787753139</v>
      </c>
    </row>
    <row r="24" spans="1:15" ht="12.75" customHeight="1" x14ac:dyDescent="0.2">
      <c r="B24" s="190" t="s">
        <v>129</v>
      </c>
      <c r="C24" s="289"/>
      <c r="D24" s="193">
        <f t="shared" ref="D24:K24" si="4">QUARTILE(D10:D19,1)</f>
        <v>0.30365987198958466</v>
      </c>
      <c r="E24" s="193">
        <f t="shared" si="4"/>
        <v>0.28856512088536501</v>
      </c>
      <c r="F24" s="193">
        <f t="shared" si="4"/>
        <v>0.27417917042017009</v>
      </c>
      <c r="G24" s="193">
        <f t="shared" si="4"/>
        <v>0.25314608513358555</v>
      </c>
      <c r="H24" s="193">
        <f t="shared" si="4"/>
        <v>0.24063986816606325</v>
      </c>
      <c r="I24" s="193">
        <f t="shared" si="4"/>
        <v>0.23456371438665938</v>
      </c>
      <c r="J24" s="193">
        <f t="shared" si="4"/>
        <v>0.23122388370283908</v>
      </c>
      <c r="K24" s="304">
        <f t="shared" si="4"/>
        <v>0.23666737527064524</v>
      </c>
    </row>
    <row r="25" spans="1:15" ht="12.75" customHeight="1" x14ac:dyDescent="0.2">
      <c r="B25" s="263" t="s">
        <v>66</v>
      </c>
      <c r="C25" s="305"/>
      <c r="D25" s="306">
        <f t="shared" ref="D25:K25" si="5">MIN(D10:D19)</f>
        <v>0.15034732733466866</v>
      </c>
      <c r="E25" s="306">
        <f t="shared" si="5"/>
        <v>0.26144451973052713</v>
      </c>
      <c r="F25" s="306">
        <f t="shared" si="5"/>
        <v>0.2554441388710581</v>
      </c>
      <c r="G25" s="306">
        <f t="shared" si="5"/>
        <v>0.249978823765203</v>
      </c>
      <c r="H25" s="306">
        <f t="shared" si="5"/>
        <v>0.23373755616110109</v>
      </c>
      <c r="I25" s="306">
        <f t="shared" si="5"/>
        <v>0.23438849177301008</v>
      </c>
      <c r="J25" s="306">
        <f t="shared" si="5"/>
        <v>0.22895129589493876</v>
      </c>
      <c r="K25" s="266">
        <f t="shared" si="5"/>
        <v>0.23526423934505575</v>
      </c>
    </row>
    <row r="26" spans="1:15" ht="12.75" customHeight="1" x14ac:dyDescent="0.2"/>
    <row r="27" spans="1:15" ht="12.75" customHeight="1" x14ac:dyDescent="0.2">
      <c r="B27" s="127" t="s">
        <v>135</v>
      </c>
    </row>
    <row r="28" spans="1:15" ht="12.75" customHeight="1" x14ac:dyDescent="0.2">
      <c r="B28" s="127"/>
    </row>
    <row r="29" spans="1:15" ht="12.75" customHeight="1" x14ac:dyDescent="0.2">
      <c r="B29" s="127" t="s">
        <v>73</v>
      </c>
    </row>
    <row r="30" spans="1:15" ht="27" customHeight="1" x14ac:dyDescent="0.2">
      <c r="A30" s="267" t="s">
        <v>55</v>
      </c>
      <c r="B30" s="410" t="s">
        <v>233</v>
      </c>
      <c r="C30" s="410"/>
      <c r="D30" s="410"/>
      <c r="E30" s="410"/>
      <c r="F30" s="410"/>
      <c r="G30" s="410"/>
      <c r="H30" s="410"/>
      <c r="I30" s="410"/>
      <c r="J30" s="410"/>
      <c r="K30" s="410"/>
    </row>
    <row r="31" spans="1:15" ht="12.75" customHeight="1" x14ac:dyDescent="0.2">
      <c r="A31" s="307"/>
      <c r="B31" s="410"/>
      <c r="C31" s="410"/>
      <c r="D31" s="410"/>
      <c r="E31" s="410"/>
      <c r="F31" s="410"/>
      <c r="G31" s="410"/>
      <c r="H31" s="410"/>
      <c r="I31" s="411"/>
      <c r="J31" s="411"/>
      <c r="K31" s="411"/>
    </row>
    <row r="33" spans="2:15" s="149" customFormat="1" ht="38.25" x14ac:dyDescent="0.2">
      <c r="B33" s="308" t="s">
        <v>234</v>
      </c>
      <c r="C33" s="309"/>
      <c r="D33" s="310" t="s">
        <v>235</v>
      </c>
      <c r="E33" s="310" t="s">
        <v>236</v>
      </c>
      <c r="F33" s="310" t="s">
        <v>237</v>
      </c>
      <c r="G33" s="310" t="s">
        <v>238</v>
      </c>
      <c r="H33" s="311" t="s">
        <v>239</v>
      </c>
      <c r="I33" s="312"/>
      <c r="J33" s="312"/>
      <c r="K33" s="312"/>
      <c r="O33" s="313"/>
    </row>
    <row r="35" spans="2:15" x14ac:dyDescent="0.2">
      <c r="D35" s="120">
        <f>SUM(D10:D12,D14:D19)</f>
        <v>1.5085534005266634</v>
      </c>
      <c r="E35" s="120">
        <f>SUM(E10:E12,E14:E19)</f>
        <v>1.3436647521778629</v>
      </c>
      <c r="F35" s="120">
        <f>SUM(F10:F12,F14:F19)</f>
        <v>1.2967991294167285</v>
      </c>
      <c r="G35" s="120">
        <f>SUM(G10:G12,G14:G19)</f>
        <v>1.2652745151455032</v>
      </c>
      <c r="H35" s="120">
        <f>SUM(H10:H12,H14:H19)</f>
        <v>1.2226406424098406</v>
      </c>
      <c r="I35" s="120"/>
      <c r="J35" s="120"/>
      <c r="K35" s="120"/>
      <c r="L35" s="120"/>
    </row>
    <row r="36" spans="2:15" x14ac:dyDescent="0.2">
      <c r="D36" s="120">
        <v>6.8621152681439881</v>
      </c>
      <c r="E36" s="120">
        <v>7.3109729417617446</v>
      </c>
      <c r="F36" s="120">
        <v>7.2585751105709271</v>
      </c>
      <c r="G36" s="120">
        <v>7.1922062699769693</v>
      </c>
      <c r="H36" s="120">
        <v>7.1432071472452066</v>
      </c>
      <c r="I36" s="120"/>
      <c r="J36" s="120"/>
      <c r="K36" s="120"/>
    </row>
  </sheetData>
  <mergeCells count="2">
    <mergeCell ref="B30:K30"/>
    <mergeCell ref="B31:K31"/>
  </mergeCells>
  <conditionalFormatting sqref="B10:B13 B15:B19">
    <cfRule type="cellIs" dxfId="2" priority="3" operator="equal">
      <formula>"(Invalid Identifier)"</formula>
    </cfRule>
  </conditionalFormatting>
  <conditionalFormatting sqref="B4:K4">
    <cfRule type="cellIs" dxfId="1" priority="2" stopIfTrue="1" operator="equal">
      <formula>"input"</formula>
    </cfRule>
  </conditionalFormatting>
  <conditionalFormatting sqref="B14">
    <cfRule type="cellIs" dxfId="0" priority="1" operator="equal">
      <formula>"(Invalid Identifier)"</formula>
    </cfRule>
  </conditionalFormatting>
  <pageMargins left="0.5" right="0.5" top="0.5" bottom="0.5" header="0.5" footer="0.5"/>
  <pageSetup scale="90" fitToWidth="0" fitToHeight="0" orientation="landscape" r:id="rId1"/>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view="pageBreakPreview" zoomScale="60" zoomScaleNormal="100" workbookViewId="0"/>
  </sheetViews>
  <sheetFormatPr defaultRowHeight="15" x14ac:dyDescent="0.25"/>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A92"/>
  <sheetViews>
    <sheetView view="pageBreakPreview" zoomScale="80" zoomScaleNormal="80" zoomScaleSheetLayoutView="80" workbookViewId="0">
      <selection activeCell="D10" sqref="D10"/>
    </sheetView>
  </sheetViews>
  <sheetFormatPr defaultColWidth="9.140625" defaultRowHeight="15" outlineLevelRow="1" x14ac:dyDescent="0.25"/>
  <cols>
    <col min="1" max="1" width="8" style="346" customWidth="1"/>
    <col min="2" max="2" width="22.85546875" style="346" customWidth="1"/>
    <col min="3" max="3" width="5" style="346" customWidth="1"/>
    <col min="4" max="4" width="41.7109375" style="348" bestFit="1" customWidth="1"/>
    <col min="5" max="5" width="2.5703125" style="346" customWidth="1"/>
    <col min="6" max="13" width="13.5703125" style="346" customWidth="1"/>
    <col min="14" max="14" width="9.140625" style="346"/>
    <col min="15" max="15" width="16.7109375" style="350" bestFit="1" customWidth="1"/>
    <col min="16" max="16" width="9.140625" style="346"/>
    <col min="17" max="17" width="8.42578125" style="346" bestFit="1" customWidth="1"/>
    <col min="18" max="16384" width="9.140625" style="346"/>
  </cols>
  <sheetData>
    <row r="1" spans="1:27" ht="25.5" x14ac:dyDescent="0.35">
      <c r="A1" s="314" t="s">
        <v>240</v>
      </c>
      <c r="B1" s="315"/>
      <c r="C1" s="315"/>
      <c r="D1" s="315"/>
      <c r="E1" s="315"/>
      <c r="F1" s="315"/>
      <c r="G1" s="315"/>
      <c r="H1" s="315"/>
      <c r="I1" s="315"/>
      <c r="J1" s="315"/>
      <c r="K1" s="315"/>
      <c r="L1" s="315"/>
      <c r="M1" s="315"/>
      <c r="N1" s="316" t="s">
        <v>241</v>
      </c>
      <c r="O1" s="317"/>
      <c r="P1" s="315"/>
      <c r="Q1" s="315"/>
    </row>
    <row r="2" spans="1:27" ht="19.5" x14ac:dyDescent="0.3">
      <c r="A2" s="318" t="s">
        <v>230</v>
      </c>
      <c r="B2" s="315"/>
      <c r="C2" s="315"/>
      <c r="D2" s="315"/>
      <c r="E2" s="315"/>
      <c r="F2" s="315"/>
      <c r="G2" s="315"/>
      <c r="H2" s="315"/>
      <c r="I2" s="315"/>
      <c r="J2" s="315"/>
      <c r="K2" s="315"/>
      <c r="L2" s="315"/>
      <c r="M2" s="315"/>
      <c r="N2" s="315"/>
      <c r="O2" s="317"/>
      <c r="P2" s="315"/>
      <c r="Q2" s="315"/>
      <c r="R2" s="319"/>
    </row>
    <row r="3" spans="1:27" ht="15.75" customHeight="1" x14ac:dyDescent="0.35">
      <c r="A3" s="347"/>
      <c r="G3" s="349"/>
    </row>
    <row r="4" spans="1:27" ht="25.5" x14ac:dyDescent="0.35">
      <c r="A4" s="347"/>
      <c r="B4" s="351" t="s">
        <v>242</v>
      </c>
      <c r="E4" s="348"/>
      <c r="F4" s="348"/>
      <c r="G4" s="352"/>
      <c r="H4" s="348"/>
      <c r="I4" s="348"/>
      <c r="J4" s="348"/>
      <c r="K4" s="348"/>
      <c r="L4" s="348"/>
      <c r="M4" s="348"/>
    </row>
    <row r="5" spans="1:27" ht="15.75" customHeight="1" x14ac:dyDescent="0.25">
      <c r="B5" s="353">
        <v>43465</v>
      </c>
      <c r="D5" s="354" t="s">
        <v>243</v>
      </c>
      <c r="E5" s="355"/>
      <c r="F5" s="355"/>
      <c r="G5" s="355"/>
      <c r="H5" s="355"/>
      <c r="I5" s="355"/>
      <c r="J5" s="356"/>
      <c r="K5" s="355"/>
      <c r="L5" s="355"/>
      <c r="M5" s="356"/>
    </row>
    <row r="6" spans="1:27" x14ac:dyDescent="0.25">
      <c r="B6" s="348"/>
      <c r="E6" s="348"/>
      <c r="F6" s="348"/>
      <c r="G6" s="348"/>
      <c r="H6" s="348"/>
      <c r="I6" s="348"/>
      <c r="J6" s="348"/>
      <c r="K6" s="348"/>
      <c r="L6" s="348"/>
      <c r="M6" s="348"/>
    </row>
    <row r="7" spans="1:27" x14ac:dyDescent="0.25">
      <c r="B7" s="348"/>
      <c r="D7" s="320" t="s">
        <v>244</v>
      </c>
      <c r="E7" s="348"/>
      <c r="F7" s="357" t="s">
        <v>245</v>
      </c>
      <c r="G7" s="358" t="s">
        <v>246</v>
      </c>
      <c r="H7" s="358" t="s">
        <v>247</v>
      </c>
      <c r="I7" s="358" t="s">
        <v>248</v>
      </c>
      <c r="J7" s="358" t="s">
        <v>249</v>
      </c>
      <c r="K7" s="358" t="s">
        <v>250</v>
      </c>
      <c r="L7" s="358" t="s">
        <v>251</v>
      </c>
      <c r="M7" s="359" t="s">
        <v>252</v>
      </c>
      <c r="O7" s="360" t="s">
        <v>253</v>
      </c>
    </row>
    <row r="8" spans="1:27" x14ac:dyDescent="0.25">
      <c r="B8" s="361"/>
      <c r="D8" s="321" t="s">
        <v>254</v>
      </c>
      <c r="E8" s="348"/>
      <c r="F8" s="362">
        <v>0.37049945727814049</v>
      </c>
      <c r="G8" s="363">
        <v>0.28856512088536501</v>
      </c>
      <c r="H8" s="363">
        <v>0.27894032343971775</v>
      </c>
      <c r="I8" s="363">
        <v>0.27391410956093221</v>
      </c>
      <c r="J8" s="363">
        <v>0.2600277213968939</v>
      </c>
      <c r="K8" s="363">
        <v>0.2506747364797467</v>
      </c>
      <c r="L8" s="363">
        <v>0.24657081702875525</v>
      </c>
      <c r="M8" s="364">
        <v>0.25442969787753139</v>
      </c>
      <c r="O8" s="365">
        <v>33921</v>
      </c>
      <c r="W8" s="322"/>
      <c r="X8" s="322"/>
      <c r="Y8" s="322"/>
      <c r="Z8" s="322"/>
      <c r="AA8" s="322"/>
    </row>
    <row r="9" spans="1:27" x14ac:dyDescent="0.25">
      <c r="B9" s="361"/>
      <c r="D9" s="323" t="s">
        <v>266</v>
      </c>
      <c r="E9" s="348"/>
      <c r="F9" s="362">
        <v>0.3288738213084566</v>
      </c>
      <c r="G9" s="363">
        <v>0.26144451973052713</v>
      </c>
      <c r="H9" s="363">
        <v>0.2554441388710581</v>
      </c>
      <c r="I9" s="363">
        <v>0.25314608513358555</v>
      </c>
      <c r="J9" s="363">
        <v>0.24063986816606325</v>
      </c>
      <c r="K9" s="363">
        <v>0.23456371438665938</v>
      </c>
      <c r="L9" s="363">
        <v>0.23122388370283908</v>
      </c>
      <c r="M9" s="364">
        <v>0.23526423934505575</v>
      </c>
      <c r="O9" s="365">
        <v>36318</v>
      </c>
      <c r="W9" s="322"/>
      <c r="X9" s="322"/>
      <c r="Y9" s="322"/>
      <c r="Z9" s="322"/>
      <c r="AA9" s="322"/>
    </row>
    <row r="10" spans="1:27" x14ac:dyDescent="0.25">
      <c r="B10" s="361"/>
      <c r="D10" s="323" t="s">
        <v>255</v>
      </c>
      <c r="E10" s="348"/>
      <c r="F10" s="362">
        <v>0.30365987198958466</v>
      </c>
      <c r="G10" s="363">
        <v>0.30047832513311512</v>
      </c>
      <c r="H10" s="363">
        <v>0.27417917042017009</v>
      </c>
      <c r="I10" s="363">
        <v>0.249978823765203</v>
      </c>
      <c r="J10" s="363">
        <v>0.23373755616110109</v>
      </c>
      <c r="K10" s="363">
        <v>0.23438849177301008</v>
      </c>
      <c r="L10" s="363">
        <v>0.22895129589493876</v>
      </c>
      <c r="M10" s="364">
        <v>0.23666737527064524</v>
      </c>
      <c r="O10" s="365">
        <v>35003</v>
      </c>
      <c r="Q10" s="366"/>
      <c r="W10" s="322"/>
      <c r="X10" s="322"/>
      <c r="Y10" s="322"/>
      <c r="Z10" s="322"/>
      <c r="AA10" s="322"/>
    </row>
    <row r="11" spans="1:27" x14ac:dyDescent="0.25">
      <c r="B11" s="361"/>
      <c r="D11" s="323" t="s">
        <v>267</v>
      </c>
      <c r="E11" s="348"/>
      <c r="F11" s="362">
        <v>0.15034732733466866</v>
      </c>
      <c r="G11" s="363">
        <v>0.29706003745331494</v>
      </c>
      <c r="H11" s="363">
        <v>0.34570694848989109</v>
      </c>
      <c r="I11" s="363">
        <v>0.34394192365762433</v>
      </c>
      <c r="J11" s="363">
        <v>0.34592277457394588</v>
      </c>
      <c r="K11" s="363">
        <v>0.34378063081554788</v>
      </c>
      <c r="L11" s="363">
        <v>0.35337433996918016</v>
      </c>
      <c r="M11" s="364">
        <v>0.36959175946338146</v>
      </c>
      <c r="O11" s="365">
        <v>38652</v>
      </c>
      <c r="Q11" s="366"/>
      <c r="W11" s="322"/>
      <c r="X11" s="322"/>
      <c r="Y11" s="322"/>
      <c r="Z11" s="322"/>
      <c r="AA11" s="322"/>
    </row>
    <row r="12" spans="1:27" x14ac:dyDescent="0.25">
      <c r="B12" s="361"/>
      <c r="D12" s="323" t="s">
        <v>256</v>
      </c>
      <c r="E12" s="348"/>
      <c r="F12" s="362">
        <v>0.50552024995048173</v>
      </c>
      <c r="G12" s="363">
        <v>0.49317678642885571</v>
      </c>
      <c r="H12" s="363">
        <v>0.48823549668578248</v>
      </c>
      <c r="I12" s="363" t="s">
        <v>257</v>
      </c>
      <c r="J12" s="363" t="s">
        <v>257</v>
      </c>
      <c r="K12" s="363" t="s">
        <v>257</v>
      </c>
      <c r="L12" s="363" t="s">
        <v>257</v>
      </c>
      <c r="M12" s="364" t="s">
        <v>257</v>
      </c>
      <c r="O12" s="365">
        <v>42482</v>
      </c>
      <c r="W12" s="322"/>
      <c r="X12" s="322"/>
      <c r="Y12" s="322"/>
      <c r="Z12" s="322"/>
      <c r="AA12" s="322"/>
    </row>
    <row r="13" spans="1:27" hidden="1" outlineLevel="1" x14ac:dyDescent="0.25">
      <c r="B13" s="361"/>
      <c r="D13" s="323" t="s">
        <v>258</v>
      </c>
      <c r="E13" s="348"/>
      <c r="F13" s="362" t="e">
        <v>#VALUE!</v>
      </c>
      <c r="G13" s="363" t="e">
        <v>#VALUE!</v>
      </c>
      <c r="H13" s="363" t="e">
        <v>#VALUE!</v>
      </c>
      <c r="I13" s="363" t="e">
        <v>#VALUE!</v>
      </c>
      <c r="J13" s="363" t="e">
        <v>#VALUE!</v>
      </c>
      <c r="K13" s="363" t="e">
        <v>#VALUE!</v>
      </c>
      <c r="L13" s="363" t="e">
        <v>#VALUE!</v>
      </c>
      <c r="M13" s="364" t="e">
        <v>#VALUE!</v>
      </c>
      <c r="O13" s="365" t="s">
        <v>258</v>
      </c>
      <c r="W13" s="322"/>
      <c r="X13" s="322"/>
      <c r="Y13" s="322"/>
      <c r="Z13" s="322"/>
      <c r="AA13" s="322"/>
    </row>
    <row r="14" spans="1:27" hidden="1" outlineLevel="1" x14ac:dyDescent="0.25">
      <c r="B14" s="361"/>
      <c r="D14" s="323" t="s">
        <v>258</v>
      </c>
      <c r="E14" s="348"/>
      <c r="F14" s="362" t="e">
        <v>#VALUE!</v>
      </c>
      <c r="G14" s="363" t="e">
        <v>#VALUE!</v>
      </c>
      <c r="H14" s="363" t="e">
        <v>#VALUE!</v>
      </c>
      <c r="I14" s="363" t="e">
        <v>#VALUE!</v>
      </c>
      <c r="J14" s="363" t="e">
        <v>#VALUE!</v>
      </c>
      <c r="K14" s="363" t="e">
        <v>#VALUE!</v>
      </c>
      <c r="L14" s="363" t="e">
        <v>#VALUE!</v>
      </c>
      <c r="M14" s="364" t="e">
        <v>#VALUE!</v>
      </c>
      <c r="O14" s="365" t="s">
        <v>258</v>
      </c>
      <c r="W14" s="322"/>
      <c r="X14" s="322"/>
      <c r="Y14" s="322"/>
      <c r="Z14" s="322"/>
      <c r="AA14" s="322"/>
    </row>
    <row r="15" spans="1:27" hidden="1" outlineLevel="1" x14ac:dyDescent="0.25">
      <c r="B15" s="361"/>
      <c r="D15" s="323" t="s">
        <v>258</v>
      </c>
      <c r="E15" s="348"/>
      <c r="F15" s="362" t="e">
        <v>#VALUE!</v>
      </c>
      <c r="G15" s="363" t="e">
        <v>#VALUE!</v>
      </c>
      <c r="H15" s="363" t="e">
        <v>#VALUE!</v>
      </c>
      <c r="I15" s="363" t="e">
        <v>#VALUE!</v>
      </c>
      <c r="J15" s="363" t="e">
        <v>#VALUE!</v>
      </c>
      <c r="K15" s="363" t="e">
        <v>#VALUE!</v>
      </c>
      <c r="L15" s="363" t="e">
        <v>#VALUE!</v>
      </c>
      <c r="M15" s="364" t="e">
        <v>#VALUE!</v>
      </c>
      <c r="O15" s="365" t="s">
        <v>258</v>
      </c>
      <c r="W15" s="322"/>
      <c r="X15" s="322"/>
      <c r="Y15" s="322"/>
      <c r="Z15" s="322"/>
      <c r="AA15" s="322"/>
    </row>
    <row r="16" spans="1:27" hidden="1" outlineLevel="1" x14ac:dyDescent="0.25">
      <c r="B16" s="361"/>
      <c r="D16" s="323" t="s">
        <v>258</v>
      </c>
      <c r="E16" s="348"/>
      <c r="F16" s="362" t="e">
        <v>#VALUE!</v>
      </c>
      <c r="G16" s="363" t="e">
        <v>#VALUE!</v>
      </c>
      <c r="H16" s="363" t="e">
        <v>#VALUE!</v>
      </c>
      <c r="I16" s="363" t="e">
        <v>#VALUE!</v>
      </c>
      <c r="J16" s="363" t="e">
        <v>#VALUE!</v>
      </c>
      <c r="K16" s="363" t="e">
        <v>#VALUE!</v>
      </c>
      <c r="L16" s="363" t="e">
        <v>#VALUE!</v>
      </c>
      <c r="M16" s="364" t="e">
        <v>#VALUE!</v>
      </c>
      <c r="O16" s="365" t="s">
        <v>258</v>
      </c>
      <c r="W16" s="322"/>
      <c r="X16" s="322"/>
      <c r="Y16" s="322"/>
      <c r="Z16" s="322"/>
      <c r="AA16" s="322"/>
    </row>
    <row r="17" spans="2:27" hidden="1" outlineLevel="1" x14ac:dyDescent="0.25">
      <c r="B17" s="361"/>
      <c r="D17" s="323" t="s">
        <v>258</v>
      </c>
      <c r="E17" s="348"/>
      <c r="F17" s="362" t="e">
        <v>#VALUE!</v>
      </c>
      <c r="G17" s="363" t="e">
        <v>#VALUE!</v>
      </c>
      <c r="H17" s="363" t="e">
        <v>#VALUE!</v>
      </c>
      <c r="I17" s="363" t="e">
        <v>#VALUE!</v>
      </c>
      <c r="J17" s="363" t="e">
        <v>#VALUE!</v>
      </c>
      <c r="K17" s="363" t="e">
        <v>#VALUE!</v>
      </c>
      <c r="L17" s="363" t="e">
        <v>#VALUE!</v>
      </c>
      <c r="M17" s="364" t="e">
        <v>#VALUE!</v>
      </c>
      <c r="O17" s="365" t="s">
        <v>258</v>
      </c>
      <c r="W17" s="322"/>
      <c r="X17" s="322"/>
      <c r="Y17" s="322"/>
      <c r="Z17" s="322"/>
      <c r="AA17" s="322"/>
    </row>
    <row r="18" spans="2:27" hidden="1" outlineLevel="1" x14ac:dyDescent="0.25">
      <c r="B18" s="361"/>
      <c r="D18" s="323" t="s">
        <v>258</v>
      </c>
      <c r="E18" s="348"/>
      <c r="F18" s="362" t="e">
        <v>#VALUE!</v>
      </c>
      <c r="G18" s="363" t="e">
        <v>#VALUE!</v>
      </c>
      <c r="H18" s="363" t="e">
        <v>#VALUE!</v>
      </c>
      <c r="I18" s="363" t="e">
        <v>#VALUE!</v>
      </c>
      <c r="J18" s="363" t="e">
        <v>#VALUE!</v>
      </c>
      <c r="K18" s="363" t="e">
        <v>#VALUE!</v>
      </c>
      <c r="L18" s="363" t="e">
        <v>#VALUE!</v>
      </c>
      <c r="M18" s="364" t="e">
        <v>#VALUE!</v>
      </c>
      <c r="O18" s="365" t="s">
        <v>258</v>
      </c>
      <c r="W18" s="322"/>
      <c r="X18" s="322"/>
      <c r="Y18" s="322"/>
      <c r="Z18" s="322"/>
      <c r="AA18" s="322"/>
    </row>
    <row r="19" spans="2:27" hidden="1" outlineLevel="1" x14ac:dyDescent="0.25">
      <c r="B19" s="361"/>
      <c r="D19" s="323" t="s">
        <v>258</v>
      </c>
      <c r="E19" s="348"/>
      <c r="F19" s="362" t="e">
        <v>#VALUE!</v>
      </c>
      <c r="G19" s="363" t="e">
        <v>#VALUE!</v>
      </c>
      <c r="H19" s="363" t="e">
        <v>#VALUE!</v>
      </c>
      <c r="I19" s="363" t="e">
        <v>#VALUE!</v>
      </c>
      <c r="J19" s="363" t="e">
        <v>#VALUE!</v>
      </c>
      <c r="K19" s="363" t="e">
        <v>#VALUE!</v>
      </c>
      <c r="L19" s="363" t="e">
        <v>#VALUE!</v>
      </c>
      <c r="M19" s="364" t="e">
        <v>#VALUE!</v>
      </c>
      <c r="O19" s="365" t="s">
        <v>258</v>
      </c>
      <c r="W19" s="322"/>
      <c r="X19" s="322"/>
      <c r="Y19" s="322"/>
      <c r="Z19" s="322"/>
      <c r="AA19" s="322"/>
    </row>
    <row r="20" spans="2:27" hidden="1" outlineLevel="1" x14ac:dyDescent="0.25">
      <c r="B20" s="361"/>
      <c r="D20" s="323" t="s">
        <v>258</v>
      </c>
      <c r="E20" s="348"/>
      <c r="F20" s="362" t="e">
        <v>#VALUE!</v>
      </c>
      <c r="G20" s="363" t="e">
        <v>#VALUE!</v>
      </c>
      <c r="H20" s="363" t="e">
        <v>#VALUE!</v>
      </c>
      <c r="I20" s="363" t="e">
        <v>#VALUE!</v>
      </c>
      <c r="J20" s="363" t="e">
        <v>#VALUE!</v>
      </c>
      <c r="K20" s="363" t="e">
        <v>#VALUE!</v>
      </c>
      <c r="L20" s="363" t="e">
        <v>#VALUE!</v>
      </c>
      <c r="M20" s="364" t="e">
        <v>#VALUE!</v>
      </c>
      <c r="O20" s="365" t="s">
        <v>258</v>
      </c>
      <c r="W20" s="322"/>
      <c r="X20" s="322"/>
      <c r="Y20" s="322"/>
      <c r="Z20" s="322"/>
      <c r="AA20" s="322"/>
    </row>
    <row r="21" spans="2:27" hidden="1" outlineLevel="1" x14ac:dyDescent="0.25">
      <c r="B21" s="361"/>
      <c r="D21" s="323" t="s">
        <v>258</v>
      </c>
      <c r="E21" s="348"/>
      <c r="F21" s="362" t="e">
        <v>#VALUE!</v>
      </c>
      <c r="G21" s="363" t="e">
        <v>#VALUE!</v>
      </c>
      <c r="H21" s="363" t="e">
        <v>#VALUE!</v>
      </c>
      <c r="I21" s="363" t="e">
        <v>#VALUE!</v>
      </c>
      <c r="J21" s="363" t="e">
        <v>#VALUE!</v>
      </c>
      <c r="K21" s="363" t="e">
        <v>#VALUE!</v>
      </c>
      <c r="L21" s="363" t="e">
        <v>#VALUE!</v>
      </c>
      <c r="M21" s="364" t="e">
        <v>#VALUE!</v>
      </c>
      <c r="O21" s="365" t="s">
        <v>258</v>
      </c>
      <c r="W21" s="322"/>
      <c r="X21" s="322"/>
      <c r="Y21" s="322"/>
      <c r="Z21" s="322"/>
      <c r="AA21" s="322"/>
    </row>
    <row r="22" spans="2:27" hidden="1" outlineLevel="1" x14ac:dyDescent="0.25">
      <c r="B22" s="361"/>
      <c r="D22" s="323" t="s">
        <v>258</v>
      </c>
      <c r="E22" s="348"/>
      <c r="F22" s="362" t="e">
        <v>#VALUE!</v>
      </c>
      <c r="G22" s="363" t="e">
        <v>#VALUE!</v>
      </c>
      <c r="H22" s="363" t="e">
        <v>#VALUE!</v>
      </c>
      <c r="I22" s="363" t="e">
        <v>#VALUE!</v>
      </c>
      <c r="J22" s="363" t="e">
        <v>#VALUE!</v>
      </c>
      <c r="K22" s="363" t="e">
        <v>#VALUE!</v>
      </c>
      <c r="L22" s="363" t="e">
        <v>#VALUE!</v>
      </c>
      <c r="M22" s="364" t="e">
        <v>#VALUE!</v>
      </c>
      <c r="O22" s="365" t="s">
        <v>258</v>
      </c>
      <c r="W22" s="322"/>
      <c r="X22" s="322"/>
      <c r="Y22" s="322"/>
      <c r="Z22" s="322"/>
      <c r="AA22" s="322"/>
    </row>
    <row r="23" spans="2:27" hidden="1" outlineLevel="1" x14ac:dyDescent="0.25">
      <c r="B23" s="361"/>
      <c r="D23" s="323" t="s">
        <v>258</v>
      </c>
      <c r="E23" s="348"/>
      <c r="F23" s="362" t="e">
        <v>#VALUE!</v>
      </c>
      <c r="G23" s="363" t="e">
        <v>#VALUE!</v>
      </c>
      <c r="H23" s="363" t="e">
        <v>#VALUE!</v>
      </c>
      <c r="I23" s="363" t="e">
        <v>#VALUE!</v>
      </c>
      <c r="J23" s="363" t="e">
        <v>#VALUE!</v>
      </c>
      <c r="K23" s="363" t="e">
        <v>#VALUE!</v>
      </c>
      <c r="L23" s="363" t="e">
        <v>#VALUE!</v>
      </c>
      <c r="M23" s="364" t="e">
        <v>#VALUE!</v>
      </c>
      <c r="O23" s="365" t="s">
        <v>258</v>
      </c>
      <c r="W23" s="322"/>
      <c r="X23" s="322"/>
      <c r="Y23" s="322"/>
      <c r="Z23" s="322"/>
      <c r="AA23" s="322"/>
    </row>
    <row r="24" spans="2:27" hidden="1" outlineLevel="1" x14ac:dyDescent="0.25">
      <c r="B24" s="361"/>
      <c r="D24" s="323" t="s">
        <v>258</v>
      </c>
      <c r="E24" s="348"/>
      <c r="F24" s="362" t="e">
        <v>#VALUE!</v>
      </c>
      <c r="G24" s="363" t="e">
        <v>#VALUE!</v>
      </c>
      <c r="H24" s="363" t="e">
        <v>#VALUE!</v>
      </c>
      <c r="I24" s="363" t="e">
        <v>#VALUE!</v>
      </c>
      <c r="J24" s="363" t="e">
        <v>#VALUE!</v>
      </c>
      <c r="K24" s="363" t="e">
        <v>#VALUE!</v>
      </c>
      <c r="L24" s="363" t="e">
        <v>#VALUE!</v>
      </c>
      <c r="M24" s="364" t="e">
        <v>#VALUE!</v>
      </c>
      <c r="O24" s="365" t="s">
        <v>258</v>
      </c>
      <c r="W24" s="322"/>
      <c r="X24" s="322"/>
      <c r="Y24" s="322"/>
      <c r="Z24" s="322"/>
      <c r="AA24" s="322"/>
    </row>
    <row r="25" spans="2:27" hidden="1" outlineLevel="1" x14ac:dyDescent="0.25">
      <c r="B25" s="361"/>
      <c r="D25" s="323" t="s">
        <v>258</v>
      </c>
      <c r="E25" s="348"/>
      <c r="F25" s="362" t="e">
        <v>#VALUE!</v>
      </c>
      <c r="G25" s="363" t="e">
        <v>#VALUE!</v>
      </c>
      <c r="H25" s="363" t="e">
        <v>#VALUE!</v>
      </c>
      <c r="I25" s="363" t="e">
        <v>#VALUE!</v>
      </c>
      <c r="J25" s="363" t="e">
        <v>#VALUE!</v>
      </c>
      <c r="K25" s="363" t="e">
        <v>#VALUE!</v>
      </c>
      <c r="L25" s="363" t="e">
        <v>#VALUE!</v>
      </c>
      <c r="M25" s="364" t="e">
        <v>#VALUE!</v>
      </c>
      <c r="O25" s="365" t="s">
        <v>258</v>
      </c>
      <c r="W25" s="322"/>
      <c r="X25" s="322"/>
      <c r="Y25" s="322"/>
      <c r="Z25" s="322"/>
      <c r="AA25" s="322"/>
    </row>
    <row r="26" spans="2:27" hidden="1" outlineLevel="1" x14ac:dyDescent="0.25">
      <c r="B26" s="361"/>
      <c r="D26" s="323" t="s">
        <v>258</v>
      </c>
      <c r="E26" s="348"/>
      <c r="F26" s="362" t="e">
        <v>#VALUE!</v>
      </c>
      <c r="G26" s="363" t="e">
        <v>#VALUE!</v>
      </c>
      <c r="H26" s="363" t="e">
        <v>#VALUE!</v>
      </c>
      <c r="I26" s="363" t="e">
        <v>#VALUE!</v>
      </c>
      <c r="J26" s="363" t="e">
        <v>#VALUE!</v>
      </c>
      <c r="K26" s="363" t="e">
        <v>#VALUE!</v>
      </c>
      <c r="L26" s="363" t="e">
        <v>#VALUE!</v>
      </c>
      <c r="M26" s="364" t="e">
        <v>#VALUE!</v>
      </c>
      <c r="O26" s="365" t="s">
        <v>258</v>
      </c>
      <c r="W26" s="322"/>
      <c r="X26" s="322"/>
      <c r="Y26" s="322"/>
      <c r="Z26" s="322"/>
      <c r="AA26" s="322"/>
    </row>
    <row r="27" spans="2:27" hidden="1" outlineLevel="1" x14ac:dyDescent="0.25">
      <c r="B27" s="361"/>
      <c r="D27" s="323" t="s">
        <v>258</v>
      </c>
      <c r="E27" s="348"/>
      <c r="F27" s="362" t="e">
        <v>#VALUE!</v>
      </c>
      <c r="G27" s="363" t="e">
        <v>#VALUE!</v>
      </c>
      <c r="H27" s="363" t="e">
        <v>#VALUE!</v>
      </c>
      <c r="I27" s="363" t="e">
        <v>#VALUE!</v>
      </c>
      <c r="J27" s="363" t="e">
        <v>#VALUE!</v>
      </c>
      <c r="K27" s="363" t="e">
        <v>#VALUE!</v>
      </c>
      <c r="L27" s="363" t="e">
        <v>#VALUE!</v>
      </c>
      <c r="M27" s="364" t="e">
        <v>#VALUE!</v>
      </c>
      <c r="O27" s="365" t="s">
        <v>258</v>
      </c>
      <c r="W27" s="322"/>
      <c r="X27" s="322"/>
      <c r="Y27" s="322"/>
      <c r="Z27" s="322"/>
      <c r="AA27" s="322"/>
    </row>
    <row r="28" spans="2:27" hidden="1" outlineLevel="1" x14ac:dyDescent="0.25">
      <c r="B28" s="361"/>
      <c r="D28" s="323" t="s">
        <v>258</v>
      </c>
      <c r="E28" s="348"/>
      <c r="F28" s="362" t="e">
        <v>#VALUE!</v>
      </c>
      <c r="G28" s="363" t="e">
        <v>#VALUE!</v>
      </c>
      <c r="H28" s="363" t="e">
        <v>#VALUE!</v>
      </c>
      <c r="I28" s="363" t="e">
        <v>#VALUE!</v>
      </c>
      <c r="J28" s="363" t="e">
        <v>#VALUE!</v>
      </c>
      <c r="K28" s="363" t="e">
        <v>#VALUE!</v>
      </c>
      <c r="L28" s="363" t="e">
        <v>#VALUE!</v>
      </c>
      <c r="M28" s="364" t="e">
        <v>#VALUE!</v>
      </c>
      <c r="O28" s="365" t="s">
        <v>258</v>
      </c>
      <c r="W28" s="322"/>
      <c r="X28" s="322"/>
      <c r="Y28" s="322"/>
      <c r="Z28" s="322"/>
      <c r="AA28" s="322"/>
    </row>
    <row r="29" spans="2:27" hidden="1" outlineLevel="1" x14ac:dyDescent="0.25">
      <c r="B29" s="361"/>
      <c r="D29" s="323" t="s">
        <v>258</v>
      </c>
      <c r="E29" s="348"/>
      <c r="F29" s="362" t="e">
        <v>#VALUE!</v>
      </c>
      <c r="G29" s="363" t="e">
        <v>#VALUE!</v>
      </c>
      <c r="H29" s="363" t="e">
        <v>#VALUE!</v>
      </c>
      <c r="I29" s="363" t="e">
        <v>#VALUE!</v>
      </c>
      <c r="J29" s="363" t="e">
        <v>#VALUE!</v>
      </c>
      <c r="K29" s="363" t="e">
        <v>#VALUE!</v>
      </c>
      <c r="L29" s="363" t="e">
        <v>#VALUE!</v>
      </c>
      <c r="M29" s="364" t="e">
        <v>#VALUE!</v>
      </c>
      <c r="O29" s="365" t="s">
        <v>258</v>
      </c>
      <c r="W29" s="322"/>
      <c r="X29" s="322"/>
      <c r="Y29" s="322"/>
      <c r="Z29" s="322"/>
      <c r="AA29" s="322"/>
    </row>
    <row r="30" spans="2:27" hidden="1" outlineLevel="1" x14ac:dyDescent="0.25">
      <c r="B30" s="361"/>
      <c r="D30" s="323" t="s">
        <v>258</v>
      </c>
      <c r="E30" s="348"/>
      <c r="F30" s="362" t="e">
        <v>#VALUE!</v>
      </c>
      <c r="G30" s="363" t="e">
        <v>#VALUE!</v>
      </c>
      <c r="H30" s="363" t="e">
        <v>#VALUE!</v>
      </c>
      <c r="I30" s="363" t="e">
        <v>#VALUE!</v>
      </c>
      <c r="J30" s="363" t="e">
        <v>#VALUE!</v>
      </c>
      <c r="K30" s="363" t="e">
        <v>#VALUE!</v>
      </c>
      <c r="L30" s="363" t="e">
        <v>#VALUE!</v>
      </c>
      <c r="M30" s="364" t="e">
        <v>#VALUE!</v>
      </c>
      <c r="O30" s="365" t="s">
        <v>258</v>
      </c>
      <c r="W30" s="322"/>
      <c r="X30" s="322"/>
      <c r="Y30" s="322"/>
      <c r="Z30" s="322"/>
      <c r="AA30" s="322"/>
    </row>
    <row r="31" spans="2:27" hidden="1" outlineLevel="1" x14ac:dyDescent="0.25">
      <c r="B31" s="361"/>
      <c r="D31" s="323" t="s">
        <v>258</v>
      </c>
      <c r="E31" s="348"/>
      <c r="F31" s="362" t="e">
        <v>#VALUE!</v>
      </c>
      <c r="G31" s="363" t="e">
        <v>#VALUE!</v>
      </c>
      <c r="H31" s="363" t="e">
        <v>#VALUE!</v>
      </c>
      <c r="I31" s="363" t="e">
        <v>#VALUE!</v>
      </c>
      <c r="J31" s="363" t="e">
        <v>#VALUE!</v>
      </c>
      <c r="K31" s="363" t="e">
        <v>#VALUE!</v>
      </c>
      <c r="L31" s="363" t="e">
        <v>#VALUE!</v>
      </c>
      <c r="M31" s="364" t="e">
        <v>#VALUE!</v>
      </c>
      <c r="O31" s="365" t="s">
        <v>258</v>
      </c>
      <c r="W31" s="322"/>
      <c r="X31" s="322"/>
      <c r="Y31" s="322"/>
      <c r="Z31" s="322"/>
      <c r="AA31" s="322"/>
    </row>
    <row r="32" spans="2:27" hidden="1" outlineLevel="1" x14ac:dyDescent="0.25">
      <c r="B32" s="361"/>
      <c r="D32" s="323" t="s">
        <v>258</v>
      </c>
      <c r="E32" s="348"/>
      <c r="F32" s="362" t="e">
        <v>#VALUE!</v>
      </c>
      <c r="G32" s="363" t="e">
        <v>#VALUE!</v>
      </c>
      <c r="H32" s="363" t="e">
        <v>#VALUE!</v>
      </c>
      <c r="I32" s="363" t="e">
        <v>#VALUE!</v>
      </c>
      <c r="J32" s="363" t="e">
        <v>#VALUE!</v>
      </c>
      <c r="K32" s="363" t="e">
        <v>#VALUE!</v>
      </c>
      <c r="L32" s="363" t="e">
        <v>#VALUE!</v>
      </c>
      <c r="M32" s="364" t="e">
        <v>#VALUE!</v>
      </c>
      <c r="O32" s="365" t="s">
        <v>258</v>
      </c>
      <c r="W32" s="322"/>
      <c r="X32" s="322"/>
      <c r="Y32" s="322"/>
      <c r="Z32" s="322"/>
      <c r="AA32" s="322"/>
    </row>
    <row r="33" spans="2:27" hidden="1" outlineLevel="1" x14ac:dyDescent="0.25">
      <c r="B33" s="361"/>
      <c r="D33" s="323" t="s">
        <v>258</v>
      </c>
      <c r="E33" s="348"/>
      <c r="F33" s="362" t="e">
        <v>#VALUE!</v>
      </c>
      <c r="G33" s="363" t="e">
        <v>#VALUE!</v>
      </c>
      <c r="H33" s="363" t="e">
        <v>#VALUE!</v>
      </c>
      <c r="I33" s="363" t="e">
        <v>#VALUE!</v>
      </c>
      <c r="J33" s="363" t="e">
        <v>#VALUE!</v>
      </c>
      <c r="K33" s="363" t="e">
        <v>#VALUE!</v>
      </c>
      <c r="L33" s="363" t="e">
        <v>#VALUE!</v>
      </c>
      <c r="M33" s="364" t="e">
        <v>#VALUE!</v>
      </c>
      <c r="O33" s="365" t="s">
        <v>258</v>
      </c>
      <c r="W33" s="322"/>
      <c r="X33" s="322"/>
      <c r="Y33" s="322"/>
      <c r="Z33" s="322"/>
      <c r="AA33" s="322"/>
    </row>
    <row r="34" spans="2:27" hidden="1" outlineLevel="1" x14ac:dyDescent="0.25">
      <c r="B34" s="361"/>
      <c r="D34" s="323" t="s">
        <v>258</v>
      </c>
      <c r="E34" s="348"/>
      <c r="F34" s="362" t="e">
        <v>#VALUE!</v>
      </c>
      <c r="G34" s="363" t="e">
        <v>#VALUE!</v>
      </c>
      <c r="H34" s="363" t="e">
        <v>#VALUE!</v>
      </c>
      <c r="I34" s="363" t="e">
        <v>#VALUE!</v>
      </c>
      <c r="J34" s="363" t="e">
        <v>#VALUE!</v>
      </c>
      <c r="K34" s="363" t="e">
        <v>#VALUE!</v>
      </c>
      <c r="L34" s="363" t="e">
        <v>#VALUE!</v>
      </c>
      <c r="M34" s="364" t="e">
        <v>#VALUE!</v>
      </c>
      <c r="O34" s="365" t="s">
        <v>258</v>
      </c>
      <c r="W34" s="322"/>
      <c r="X34" s="322"/>
      <c r="Y34" s="322"/>
      <c r="Z34" s="322"/>
      <c r="AA34" s="322"/>
    </row>
    <row r="35" spans="2:27" hidden="1" outlineLevel="1" x14ac:dyDescent="0.25">
      <c r="B35" s="361"/>
      <c r="D35" s="323" t="s">
        <v>258</v>
      </c>
      <c r="E35" s="348"/>
      <c r="F35" s="362" t="e">
        <v>#VALUE!</v>
      </c>
      <c r="G35" s="363" t="e">
        <v>#VALUE!</v>
      </c>
      <c r="H35" s="363" t="e">
        <v>#VALUE!</v>
      </c>
      <c r="I35" s="363" t="e">
        <v>#VALUE!</v>
      </c>
      <c r="J35" s="363" t="e">
        <v>#VALUE!</v>
      </c>
      <c r="K35" s="363" t="e">
        <v>#VALUE!</v>
      </c>
      <c r="L35" s="363" t="e">
        <v>#VALUE!</v>
      </c>
      <c r="M35" s="364" t="e">
        <v>#VALUE!</v>
      </c>
      <c r="O35" s="365" t="s">
        <v>258</v>
      </c>
      <c r="W35" s="322"/>
      <c r="X35" s="322"/>
      <c r="Y35" s="322"/>
      <c r="Z35" s="322"/>
      <c r="AA35" s="322"/>
    </row>
    <row r="36" spans="2:27" hidden="1" outlineLevel="1" x14ac:dyDescent="0.25">
      <c r="B36" s="361"/>
      <c r="D36" s="323" t="s">
        <v>258</v>
      </c>
      <c r="E36" s="348"/>
      <c r="F36" s="362" t="e">
        <v>#VALUE!</v>
      </c>
      <c r="G36" s="363" t="e">
        <v>#VALUE!</v>
      </c>
      <c r="H36" s="363" t="e">
        <v>#VALUE!</v>
      </c>
      <c r="I36" s="363" t="e">
        <v>#VALUE!</v>
      </c>
      <c r="J36" s="363" t="e">
        <v>#VALUE!</v>
      </c>
      <c r="K36" s="363" t="e">
        <v>#VALUE!</v>
      </c>
      <c r="L36" s="363" t="e">
        <v>#VALUE!</v>
      </c>
      <c r="M36" s="364" t="e">
        <v>#VALUE!</v>
      </c>
      <c r="O36" s="365" t="s">
        <v>258</v>
      </c>
      <c r="W36" s="322"/>
      <c r="X36" s="322"/>
      <c r="Y36" s="322"/>
      <c r="Z36" s="322"/>
      <c r="AA36" s="322"/>
    </row>
    <row r="37" spans="2:27" hidden="1" outlineLevel="1" x14ac:dyDescent="0.25">
      <c r="B37" s="361"/>
      <c r="D37" s="323" t="s">
        <v>258</v>
      </c>
      <c r="E37" s="348"/>
      <c r="F37" s="362" t="e">
        <v>#VALUE!</v>
      </c>
      <c r="G37" s="363" t="e">
        <v>#VALUE!</v>
      </c>
      <c r="H37" s="363" t="e">
        <v>#VALUE!</v>
      </c>
      <c r="I37" s="363" t="e">
        <v>#VALUE!</v>
      </c>
      <c r="J37" s="363" t="e">
        <v>#VALUE!</v>
      </c>
      <c r="K37" s="363" t="e">
        <v>#VALUE!</v>
      </c>
      <c r="L37" s="363" t="e">
        <v>#VALUE!</v>
      </c>
      <c r="M37" s="364" t="e">
        <v>#VALUE!</v>
      </c>
      <c r="O37" s="365" t="s">
        <v>258</v>
      </c>
      <c r="W37" s="322"/>
      <c r="X37" s="322"/>
      <c r="Y37" s="322"/>
      <c r="Z37" s="322"/>
      <c r="AA37" s="322"/>
    </row>
    <row r="38" spans="2:27" hidden="1" outlineLevel="1" x14ac:dyDescent="0.25">
      <c r="B38" s="361"/>
      <c r="D38" s="323" t="s">
        <v>258</v>
      </c>
      <c r="E38" s="348"/>
      <c r="F38" s="362" t="e">
        <v>#VALUE!</v>
      </c>
      <c r="G38" s="363" t="e">
        <v>#VALUE!</v>
      </c>
      <c r="H38" s="363" t="e">
        <v>#VALUE!</v>
      </c>
      <c r="I38" s="363" t="e">
        <v>#VALUE!</v>
      </c>
      <c r="J38" s="363" t="e">
        <v>#VALUE!</v>
      </c>
      <c r="K38" s="363" t="e">
        <v>#VALUE!</v>
      </c>
      <c r="L38" s="363" t="e">
        <v>#VALUE!</v>
      </c>
      <c r="M38" s="364" t="e">
        <v>#VALUE!</v>
      </c>
      <c r="O38" s="365" t="s">
        <v>258</v>
      </c>
      <c r="W38" s="322"/>
      <c r="X38" s="322"/>
      <c r="Y38" s="322"/>
      <c r="Z38" s="322"/>
      <c r="AA38" s="322"/>
    </row>
    <row r="39" spans="2:27" hidden="1" outlineLevel="1" x14ac:dyDescent="0.25">
      <c r="B39" s="361"/>
      <c r="D39" s="323" t="s">
        <v>258</v>
      </c>
      <c r="E39" s="348"/>
      <c r="F39" s="362" t="e">
        <v>#VALUE!</v>
      </c>
      <c r="G39" s="363" t="e">
        <v>#VALUE!</v>
      </c>
      <c r="H39" s="363" t="e">
        <v>#VALUE!</v>
      </c>
      <c r="I39" s="363" t="e">
        <v>#VALUE!</v>
      </c>
      <c r="J39" s="363" t="e">
        <v>#VALUE!</v>
      </c>
      <c r="K39" s="363" t="e">
        <v>#VALUE!</v>
      </c>
      <c r="L39" s="363" t="e">
        <v>#VALUE!</v>
      </c>
      <c r="M39" s="364" t="e">
        <v>#VALUE!</v>
      </c>
      <c r="O39" s="365" t="s">
        <v>258</v>
      </c>
      <c r="W39" s="322"/>
      <c r="X39" s="322"/>
      <c r="Y39" s="322"/>
      <c r="Z39" s="322"/>
      <c r="AA39" s="322"/>
    </row>
    <row r="40" spans="2:27" hidden="1" outlineLevel="1" x14ac:dyDescent="0.25">
      <c r="B40" s="361"/>
      <c r="D40" s="323" t="s">
        <v>258</v>
      </c>
      <c r="E40" s="348"/>
      <c r="F40" s="362" t="e">
        <v>#VALUE!</v>
      </c>
      <c r="G40" s="363" t="e">
        <v>#VALUE!</v>
      </c>
      <c r="H40" s="363" t="e">
        <v>#VALUE!</v>
      </c>
      <c r="I40" s="363" t="e">
        <v>#VALUE!</v>
      </c>
      <c r="J40" s="363" t="e">
        <v>#VALUE!</v>
      </c>
      <c r="K40" s="363" t="e">
        <v>#VALUE!</v>
      </c>
      <c r="L40" s="363" t="e">
        <v>#VALUE!</v>
      </c>
      <c r="M40" s="364" t="e">
        <v>#VALUE!</v>
      </c>
      <c r="O40" s="365" t="s">
        <v>258</v>
      </c>
      <c r="W40" s="322"/>
      <c r="X40" s="322"/>
      <c r="Y40" s="322"/>
      <c r="Z40" s="322"/>
      <c r="AA40" s="322"/>
    </row>
    <row r="41" spans="2:27" hidden="1" outlineLevel="1" x14ac:dyDescent="0.25">
      <c r="B41" s="361"/>
      <c r="D41" s="323" t="s">
        <v>258</v>
      </c>
      <c r="E41" s="348"/>
      <c r="F41" s="362" t="e">
        <v>#VALUE!</v>
      </c>
      <c r="G41" s="363" t="e">
        <v>#VALUE!</v>
      </c>
      <c r="H41" s="363" t="e">
        <v>#VALUE!</v>
      </c>
      <c r="I41" s="363" t="e">
        <v>#VALUE!</v>
      </c>
      <c r="J41" s="363" t="e">
        <v>#VALUE!</v>
      </c>
      <c r="K41" s="363" t="e">
        <v>#VALUE!</v>
      </c>
      <c r="L41" s="363" t="e">
        <v>#VALUE!</v>
      </c>
      <c r="M41" s="364" t="e">
        <v>#VALUE!</v>
      </c>
      <c r="O41" s="365" t="s">
        <v>258</v>
      </c>
      <c r="W41" s="322"/>
      <c r="X41" s="322"/>
      <c r="Y41" s="322"/>
      <c r="Z41" s="322"/>
      <c r="AA41" s="322"/>
    </row>
    <row r="42" spans="2:27" hidden="1" outlineLevel="1" x14ac:dyDescent="0.25">
      <c r="B42" s="361"/>
      <c r="D42" s="323" t="s">
        <v>258</v>
      </c>
      <c r="E42" s="348"/>
      <c r="F42" s="362" t="e">
        <v>#VALUE!</v>
      </c>
      <c r="G42" s="363" t="e">
        <v>#VALUE!</v>
      </c>
      <c r="H42" s="363" t="e">
        <v>#VALUE!</v>
      </c>
      <c r="I42" s="363" t="e">
        <v>#VALUE!</v>
      </c>
      <c r="J42" s="363" t="e">
        <v>#VALUE!</v>
      </c>
      <c r="K42" s="363" t="e">
        <v>#VALUE!</v>
      </c>
      <c r="L42" s="363" t="e">
        <v>#VALUE!</v>
      </c>
      <c r="M42" s="364" t="e">
        <v>#VALUE!</v>
      </c>
      <c r="O42" s="365" t="s">
        <v>258</v>
      </c>
      <c r="W42" s="322"/>
      <c r="X42" s="322"/>
      <c r="Y42" s="322"/>
      <c r="Z42" s="322"/>
      <c r="AA42" s="322"/>
    </row>
    <row r="43" spans="2:27" hidden="1" outlineLevel="1" x14ac:dyDescent="0.25">
      <c r="B43" s="361"/>
      <c r="D43" s="323" t="s">
        <v>258</v>
      </c>
      <c r="E43" s="348"/>
      <c r="F43" s="362" t="e">
        <v>#VALUE!</v>
      </c>
      <c r="G43" s="363" t="e">
        <v>#VALUE!</v>
      </c>
      <c r="H43" s="363" t="e">
        <v>#VALUE!</v>
      </c>
      <c r="I43" s="363" t="e">
        <v>#VALUE!</v>
      </c>
      <c r="J43" s="363" t="e">
        <v>#VALUE!</v>
      </c>
      <c r="K43" s="363" t="e">
        <v>#VALUE!</v>
      </c>
      <c r="L43" s="363" t="e">
        <v>#VALUE!</v>
      </c>
      <c r="M43" s="364" t="e">
        <v>#VALUE!</v>
      </c>
      <c r="O43" s="365" t="s">
        <v>258</v>
      </c>
      <c r="W43" s="322"/>
      <c r="X43" s="322"/>
      <c r="Y43" s="322"/>
      <c r="Z43" s="322"/>
      <c r="AA43" s="322"/>
    </row>
    <row r="44" spans="2:27" hidden="1" outlineLevel="1" x14ac:dyDescent="0.25">
      <c r="B44" s="361"/>
      <c r="D44" s="323" t="s">
        <v>258</v>
      </c>
      <c r="E44" s="348"/>
      <c r="F44" s="362" t="e">
        <v>#VALUE!</v>
      </c>
      <c r="G44" s="363" t="e">
        <v>#VALUE!</v>
      </c>
      <c r="H44" s="363" t="e">
        <v>#VALUE!</v>
      </c>
      <c r="I44" s="363" t="e">
        <v>#VALUE!</v>
      </c>
      <c r="J44" s="363" t="e">
        <v>#VALUE!</v>
      </c>
      <c r="K44" s="363" t="e">
        <v>#VALUE!</v>
      </c>
      <c r="L44" s="363" t="e">
        <v>#VALUE!</v>
      </c>
      <c r="M44" s="364" t="e">
        <v>#VALUE!</v>
      </c>
      <c r="O44" s="365" t="s">
        <v>258</v>
      </c>
      <c r="W44" s="322"/>
      <c r="X44" s="322"/>
      <c r="Y44" s="322"/>
      <c r="Z44" s="322"/>
      <c r="AA44" s="322"/>
    </row>
    <row r="45" spans="2:27" hidden="1" outlineLevel="1" x14ac:dyDescent="0.25">
      <c r="B45" s="361"/>
      <c r="D45" s="323" t="s">
        <v>258</v>
      </c>
      <c r="E45" s="348"/>
      <c r="F45" s="362" t="e">
        <v>#VALUE!</v>
      </c>
      <c r="G45" s="363" t="e">
        <v>#VALUE!</v>
      </c>
      <c r="H45" s="363" t="e">
        <v>#VALUE!</v>
      </c>
      <c r="I45" s="363" t="e">
        <v>#VALUE!</v>
      </c>
      <c r="J45" s="363" t="e">
        <v>#VALUE!</v>
      </c>
      <c r="K45" s="363" t="e">
        <v>#VALUE!</v>
      </c>
      <c r="L45" s="363" t="e">
        <v>#VALUE!</v>
      </c>
      <c r="M45" s="364" t="e">
        <v>#VALUE!</v>
      </c>
      <c r="O45" s="365" t="s">
        <v>258</v>
      </c>
      <c r="W45" s="322"/>
      <c r="X45" s="322"/>
      <c r="Y45" s="322"/>
      <c r="Z45" s="322"/>
      <c r="AA45" s="322"/>
    </row>
    <row r="46" spans="2:27" hidden="1" outlineLevel="1" x14ac:dyDescent="0.25">
      <c r="B46" s="361"/>
      <c r="D46" s="323" t="s">
        <v>258</v>
      </c>
      <c r="E46" s="348"/>
      <c r="F46" s="362" t="e">
        <v>#VALUE!</v>
      </c>
      <c r="G46" s="363" t="e">
        <v>#VALUE!</v>
      </c>
      <c r="H46" s="363" t="e">
        <v>#VALUE!</v>
      </c>
      <c r="I46" s="363" t="e">
        <v>#VALUE!</v>
      </c>
      <c r="J46" s="363" t="e">
        <v>#VALUE!</v>
      </c>
      <c r="K46" s="363" t="e">
        <v>#VALUE!</v>
      </c>
      <c r="L46" s="363" t="e">
        <v>#VALUE!</v>
      </c>
      <c r="M46" s="364" t="e">
        <v>#VALUE!</v>
      </c>
      <c r="O46" s="365" t="s">
        <v>258</v>
      </c>
      <c r="W46" s="322"/>
      <c r="X46" s="322"/>
      <c r="Y46" s="322"/>
      <c r="Z46" s="322"/>
      <c r="AA46" s="322"/>
    </row>
    <row r="47" spans="2:27" hidden="1" outlineLevel="1" x14ac:dyDescent="0.25">
      <c r="B47" s="361"/>
      <c r="D47" s="324" t="s">
        <v>258</v>
      </c>
      <c r="E47" s="348"/>
      <c r="F47" s="367" t="e">
        <v>#VALUE!</v>
      </c>
      <c r="G47" s="368" t="e">
        <v>#VALUE!</v>
      </c>
      <c r="H47" s="368" t="e">
        <v>#VALUE!</v>
      </c>
      <c r="I47" s="368" t="e">
        <v>#VALUE!</v>
      </c>
      <c r="J47" s="368" t="e">
        <v>#VALUE!</v>
      </c>
      <c r="K47" s="368" t="e">
        <v>#VALUE!</v>
      </c>
      <c r="L47" s="368" t="e">
        <v>#VALUE!</v>
      </c>
      <c r="M47" s="369" t="e">
        <v>#VALUE!</v>
      </c>
      <c r="O47" s="365" t="s">
        <v>258</v>
      </c>
      <c r="W47" s="322"/>
      <c r="X47" s="322"/>
      <c r="Y47" s="322"/>
      <c r="Z47" s="322"/>
      <c r="AA47" s="322"/>
    </row>
    <row r="48" spans="2:27" collapsed="1" x14ac:dyDescent="0.25">
      <c r="D48" s="383"/>
      <c r="F48" s="384"/>
      <c r="G48" s="384"/>
      <c r="H48" s="384"/>
      <c r="I48" s="384"/>
      <c r="J48" s="384"/>
      <c r="K48" s="384"/>
      <c r="L48" s="384"/>
      <c r="M48" s="384"/>
    </row>
    <row r="49" spans="1:13" x14ac:dyDescent="0.25">
      <c r="A49" s="346" t="s">
        <v>135</v>
      </c>
      <c r="F49" s="366"/>
      <c r="G49" s="366"/>
      <c r="H49" s="366"/>
      <c r="I49" s="366"/>
      <c r="J49" s="366"/>
      <c r="K49" s="366"/>
      <c r="L49" s="366"/>
      <c r="M49" s="366"/>
    </row>
    <row r="50" spans="1:13" x14ac:dyDescent="0.25">
      <c r="F50" s="366"/>
      <c r="G50" s="366"/>
      <c r="H50" s="366"/>
      <c r="I50" s="366"/>
      <c r="J50" s="366"/>
      <c r="K50" s="366"/>
      <c r="L50" s="366"/>
      <c r="M50" s="366"/>
    </row>
    <row r="51" spans="1:13" x14ac:dyDescent="0.25">
      <c r="D51" s="412" t="s">
        <v>244</v>
      </c>
      <c r="E51" s="348"/>
      <c r="F51" s="370" t="s">
        <v>245</v>
      </c>
      <c r="G51" s="371" t="s">
        <v>246</v>
      </c>
      <c r="H51" s="371" t="s">
        <v>247</v>
      </c>
      <c r="I51" s="371" t="s">
        <v>248</v>
      </c>
      <c r="J51" s="371" t="s">
        <v>249</v>
      </c>
      <c r="K51" s="371" t="s">
        <v>250</v>
      </c>
      <c r="L51" s="371" t="s">
        <v>251</v>
      </c>
      <c r="M51" s="372" t="s">
        <v>252</v>
      </c>
    </row>
    <row r="52" spans="1:13" ht="15.75" customHeight="1" x14ac:dyDescent="0.25">
      <c r="D52" s="413"/>
      <c r="E52" s="348"/>
      <c r="F52" s="373">
        <v>43100</v>
      </c>
      <c r="G52" s="374">
        <v>42735</v>
      </c>
      <c r="H52" s="374">
        <v>42369</v>
      </c>
      <c r="I52" s="374">
        <v>42004</v>
      </c>
      <c r="J52" s="374">
        <v>41639</v>
      </c>
      <c r="K52" s="374">
        <v>41274</v>
      </c>
      <c r="L52" s="374">
        <v>40908</v>
      </c>
      <c r="M52" s="375">
        <v>40543</v>
      </c>
    </row>
    <row r="53" spans="1:13" x14ac:dyDescent="0.25">
      <c r="C53" s="346">
        <v>1</v>
      </c>
      <c r="D53" s="321" t="s">
        <v>254</v>
      </c>
      <c r="E53" s="348"/>
      <c r="F53" s="376">
        <v>0.37049945727814049</v>
      </c>
      <c r="G53" s="377">
        <v>0.28856512088536501</v>
      </c>
      <c r="H53" s="377">
        <v>0.27894032343971775</v>
      </c>
      <c r="I53" s="377">
        <v>0.27391410956093221</v>
      </c>
      <c r="J53" s="377">
        <v>0.2600277213968939</v>
      </c>
      <c r="K53" s="377">
        <v>0.2506747364797467</v>
      </c>
      <c r="L53" s="377">
        <v>0.24657081702875525</v>
      </c>
      <c r="M53" s="378">
        <v>0.25442969787753139</v>
      </c>
    </row>
    <row r="54" spans="1:13" x14ac:dyDescent="0.25">
      <c r="C54" s="346">
        <v>2</v>
      </c>
      <c r="D54" s="323" t="s">
        <v>266</v>
      </c>
      <c r="E54" s="348"/>
      <c r="F54" s="362">
        <v>0.3288738213084566</v>
      </c>
      <c r="G54" s="363">
        <v>0.26144451973052713</v>
      </c>
      <c r="H54" s="363">
        <v>0.2554441388710581</v>
      </c>
      <c r="I54" s="363">
        <v>0.25314608513358555</v>
      </c>
      <c r="J54" s="363">
        <v>0.24063986816606325</v>
      </c>
      <c r="K54" s="363">
        <v>0.23456371438665938</v>
      </c>
      <c r="L54" s="363">
        <v>0.23122388370283908</v>
      </c>
      <c r="M54" s="364">
        <v>0.23526423934505575</v>
      </c>
    </row>
    <row r="55" spans="1:13" x14ac:dyDescent="0.25">
      <c r="C55" s="346">
        <v>3</v>
      </c>
      <c r="D55" s="323" t="s">
        <v>255</v>
      </c>
      <c r="E55" s="348"/>
      <c r="F55" s="362">
        <v>0.30365987198958466</v>
      </c>
      <c r="G55" s="363">
        <v>0.30047832513311512</v>
      </c>
      <c r="H55" s="363">
        <v>0.27417917042017009</v>
      </c>
      <c r="I55" s="363">
        <v>0.249978823765203</v>
      </c>
      <c r="J55" s="363">
        <v>0.23373755616110109</v>
      </c>
      <c r="K55" s="363">
        <v>0.23438849177301008</v>
      </c>
      <c r="L55" s="363">
        <v>0.22895129589493876</v>
      </c>
      <c r="M55" s="364">
        <v>0.23666737527064524</v>
      </c>
    </row>
    <row r="56" spans="1:13" x14ac:dyDescent="0.25">
      <c r="C56" s="346">
        <v>4</v>
      </c>
      <c r="D56" s="323" t="s">
        <v>267</v>
      </c>
      <c r="E56" s="348"/>
      <c r="F56" s="362">
        <v>0.15034732733466866</v>
      </c>
      <c r="G56" s="363">
        <v>0.29706003745331494</v>
      </c>
      <c r="H56" s="363">
        <v>0.34570694848989109</v>
      </c>
      <c r="I56" s="363">
        <v>0.34394192365762433</v>
      </c>
      <c r="J56" s="363">
        <v>0.34592277457394588</v>
      </c>
      <c r="K56" s="363">
        <v>0.34378063081554788</v>
      </c>
      <c r="L56" s="363">
        <v>0.35337433996918016</v>
      </c>
      <c r="M56" s="364">
        <v>0.36959175946338146</v>
      </c>
    </row>
    <row r="57" spans="1:13" x14ac:dyDescent="0.25">
      <c r="C57" s="346">
        <v>5</v>
      </c>
      <c r="D57" s="323" t="s">
        <v>256</v>
      </c>
      <c r="E57" s="348"/>
      <c r="F57" s="362">
        <v>0.50552024995048173</v>
      </c>
      <c r="G57" s="363">
        <v>0.49317678642885571</v>
      </c>
      <c r="H57" s="363">
        <v>0.48823549668578248</v>
      </c>
      <c r="I57" s="363">
        <v>0.48823549668578248</v>
      </c>
      <c r="J57" s="363">
        <v>0.48823549668578248</v>
      </c>
      <c r="K57" s="363">
        <v>0.48823549668578248</v>
      </c>
      <c r="L57" s="363">
        <v>0.48823549668578248</v>
      </c>
      <c r="M57" s="364">
        <v>0.48823549668578248</v>
      </c>
    </row>
    <row r="58" spans="1:13" x14ac:dyDescent="0.25">
      <c r="C58" s="346">
        <v>6</v>
      </c>
      <c r="D58" s="323" t="s">
        <v>258</v>
      </c>
      <c r="E58" s="348"/>
      <c r="F58" s="362" t="e">
        <v>#VALUE!</v>
      </c>
      <c r="G58" s="363" t="e">
        <v>#VALUE!</v>
      </c>
      <c r="H58" s="363" t="e">
        <v>#VALUE!</v>
      </c>
      <c r="I58" s="363" t="e">
        <v>#VALUE!</v>
      </c>
      <c r="J58" s="363" t="e">
        <v>#VALUE!</v>
      </c>
      <c r="K58" s="363" t="e">
        <v>#VALUE!</v>
      </c>
      <c r="L58" s="363" t="e">
        <v>#VALUE!</v>
      </c>
      <c r="M58" s="364" t="e">
        <v>#VALUE!</v>
      </c>
    </row>
    <row r="59" spans="1:13" x14ac:dyDescent="0.25">
      <c r="C59" s="346">
        <v>7</v>
      </c>
      <c r="D59" s="323" t="s">
        <v>258</v>
      </c>
      <c r="E59" s="348"/>
      <c r="F59" s="362" t="e">
        <v>#VALUE!</v>
      </c>
      <c r="G59" s="363" t="e">
        <v>#VALUE!</v>
      </c>
      <c r="H59" s="363" t="e">
        <v>#VALUE!</v>
      </c>
      <c r="I59" s="363" t="e">
        <v>#VALUE!</v>
      </c>
      <c r="J59" s="363" t="e">
        <v>#VALUE!</v>
      </c>
      <c r="K59" s="363" t="e">
        <v>#VALUE!</v>
      </c>
      <c r="L59" s="363" t="e">
        <v>#VALUE!</v>
      </c>
      <c r="M59" s="364" t="e">
        <v>#VALUE!</v>
      </c>
    </row>
    <row r="60" spans="1:13" x14ac:dyDescent="0.25">
      <c r="C60" s="346">
        <v>8</v>
      </c>
      <c r="D60" s="323" t="s">
        <v>258</v>
      </c>
      <c r="E60" s="348"/>
      <c r="F60" s="362" t="e">
        <v>#VALUE!</v>
      </c>
      <c r="G60" s="363" t="e">
        <v>#VALUE!</v>
      </c>
      <c r="H60" s="363" t="e">
        <v>#VALUE!</v>
      </c>
      <c r="I60" s="363" t="e">
        <v>#VALUE!</v>
      </c>
      <c r="J60" s="363" t="e">
        <v>#VALUE!</v>
      </c>
      <c r="K60" s="363" t="e">
        <v>#VALUE!</v>
      </c>
      <c r="L60" s="363" t="e">
        <v>#VALUE!</v>
      </c>
      <c r="M60" s="364" t="e">
        <v>#VALUE!</v>
      </c>
    </row>
    <row r="61" spans="1:13" x14ac:dyDescent="0.25">
      <c r="C61" s="346">
        <v>9</v>
      </c>
      <c r="D61" s="323" t="s">
        <v>258</v>
      </c>
      <c r="E61" s="348"/>
      <c r="F61" s="362" t="e">
        <v>#VALUE!</v>
      </c>
      <c r="G61" s="363" t="e">
        <v>#VALUE!</v>
      </c>
      <c r="H61" s="363" t="e">
        <v>#VALUE!</v>
      </c>
      <c r="I61" s="363" t="e">
        <v>#VALUE!</v>
      </c>
      <c r="J61" s="363" t="e">
        <v>#VALUE!</v>
      </c>
      <c r="K61" s="363" t="e">
        <v>#VALUE!</v>
      </c>
      <c r="L61" s="363" t="e">
        <v>#VALUE!</v>
      </c>
      <c r="M61" s="364" t="e">
        <v>#VALUE!</v>
      </c>
    </row>
    <row r="62" spans="1:13" x14ac:dyDescent="0.25">
      <c r="C62" s="346">
        <v>10</v>
      </c>
      <c r="D62" s="323" t="s">
        <v>258</v>
      </c>
      <c r="E62" s="348"/>
      <c r="F62" s="362" t="e">
        <v>#VALUE!</v>
      </c>
      <c r="G62" s="363" t="e">
        <v>#VALUE!</v>
      </c>
      <c r="H62" s="363" t="e">
        <v>#VALUE!</v>
      </c>
      <c r="I62" s="363" t="e">
        <v>#VALUE!</v>
      </c>
      <c r="J62" s="363" t="e">
        <v>#VALUE!</v>
      </c>
      <c r="K62" s="363" t="e">
        <v>#VALUE!</v>
      </c>
      <c r="L62" s="363" t="e">
        <v>#VALUE!</v>
      </c>
      <c r="M62" s="364" t="e">
        <v>#VALUE!</v>
      </c>
    </row>
    <row r="63" spans="1:13" x14ac:dyDescent="0.25">
      <c r="C63" s="346">
        <v>11</v>
      </c>
      <c r="D63" s="323" t="s">
        <v>258</v>
      </c>
      <c r="E63" s="348"/>
      <c r="F63" s="362" t="e">
        <v>#VALUE!</v>
      </c>
      <c r="G63" s="363" t="e">
        <v>#VALUE!</v>
      </c>
      <c r="H63" s="363" t="e">
        <v>#VALUE!</v>
      </c>
      <c r="I63" s="363" t="e">
        <v>#VALUE!</v>
      </c>
      <c r="J63" s="363" t="e">
        <v>#VALUE!</v>
      </c>
      <c r="K63" s="363" t="e">
        <v>#VALUE!</v>
      </c>
      <c r="L63" s="363" t="e">
        <v>#VALUE!</v>
      </c>
      <c r="M63" s="364" t="e">
        <v>#VALUE!</v>
      </c>
    </row>
    <row r="64" spans="1:13" x14ac:dyDescent="0.25">
      <c r="C64" s="346">
        <v>12</v>
      </c>
      <c r="D64" s="323" t="s">
        <v>258</v>
      </c>
      <c r="E64" s="348"/>
      <c r="F64" s="362" t="e">
        <v>#VALUE!</v>
      </c>
      <c r="G64" s="363" t="e">
        <v>#VALUE!</v>
      </c>
      <c r="H64" s="363" t="e">
        <v>#VALUE!</v>
      </c>
      <c r="I64" s="363" t="e">
        <v>#VALUE!</v>
      </c>
      <c r="J64" s="363" t="e">
        <v>#VALUE!</v>
      </c>
      <c r="K64" s="363" t="e">
        <v>#VALUE!</v>
      </c>
      <c r="L64" s="363" t="e">
        <v>#VALUE!</v>
      </c>
      <c r="M64" s="364" t="e">
        <v>#VALUE!</v>
      </c>
    </row>
    <row r="65" spans="3:13" x14ac:dyDescent="0.25">
      <c r="C65" s="346">
        <v>13</v>
      </c>
      <c r="D65" s="323" t="s">
        <v>258</v>
      </c>
      <c r="E65" s="348"/>
      <c r="F65" s="362" t="e">
        <v>#VALUE!</v>
      </c>
      <c r="G65" s="363" t="e">
        <v>#VALUE!</v>
      </c>
      <c r="H65" s="363" t="e">
        <v>#VALUE!</v>
      </c>
      <c r="I65" s="363" t="e">
        <v>#VALUE!</v>
      </c>
      <c r="J65" s="363" t="e">
        <v>#VALUE!</v>
      </c>
      <c r="K65" s="363" t="e">
        <v>#VALUE!</v>
      </c>
      <c r="L65" s="363" t="e">
        <v>#VALUE!</v>
      </c>
      <c r="M65" s="364" t="e">
        <v>#VALUE!</v>
      </c>
    </row>
    <row r="66" spans="3:13" x14ac:dyDescent="0.25">
      <c r="C66" s="346">
        <v>14</v>
      </c>
      <c r="D66" s="323" t="s">
        <v>258</v>
      </c>
      <c r="E66" s="348"/>
      <c r="F66" s="362" t="e">
        <v>#VALUE!</v>
      </c>
      <c r="G66" s="363" t="e">
        <v>#VALUE!</v>
      </c>
      <c r="H66" s="363" t="e">
        <v>#VALUE!</v>
      </c>
      <c r="I66" s="363" t="e">
        <v>#VALUE!</v>
      </c>
      <c r="J66" s="363" t="e">
        <v>#VALUE!</v>
      </c>
      <c r="K66" s="363" t="e">
        <v>#VALUE!</v>
      </c>
      <c r="L66" s="363" t="e">
        <v>#VALUE!</v>
      </c>
      <c r="M66" s="364" t="e">
        <v>#VALUE!</v>
      </c>
    </row>
    <row r="67" spans="3:13" x14ac:dyDescent="0.25">
      <c r="C67" s="346">
        <v>15</v>
      </c>
      <c r="D67" s="323" t="s">
        <v>258</v>
      </c>
      <c r="E67" s="348"/>
      <c r="F67" s="362" t="e">
        <v>#VALUE!</v>
      </c>
      <c r="G67" s="363" t="e">
        <v>#VALUE!</v>
      </c>
      <c r="H67" s="363" t="e">
        <v>#VALUE!</v>
      </c>
      <c r="I67" s="363" t="e">
        <v>#VALUE!</v>
      </c>
      <c r="J67" s="363" t="e">
        <v>#VALUE!</v>
      </c>
      <c r="K67" s="363" t="e">
        <v>#VALUE!</v>
      </c>
      <c r="L67" s="363" t="e">
        <v>#VALUE!</v>
      </c>
      <c r="M67" s="364" t="e">
        <v>#VALUE!</v>
      </c>
    </row>
    <row r="68" spans="3:13" x14ac:dyDescent="0.25">
      <c r="C68" s="346">
        <v>16</v>
      </c>
      <c r="D68" s="323" t="s">
        <v>258</v>
      </c>
      <c r="E68" s="348"/>
      <c r="F68" s="362" t="e">
        <v>#VALUE!</v>
      </c>
      <c r="G68" s="363" t="e">
        <v>#VALUE!</v>
      </c>
      <c r="H68" s="363" t="e">
        <v>#VALUE!</v>
      </c>
      <c r="I68" s="363" t="e">
        <v>#VALUE!</v>
      </c>
      <c r="J68" s="363" t="e">
        <v>#VALUE!</v>
      </c>
      <c r="K68" s="363" t="e">
        <v>#VALUE!</v>
      </c>
      <c r="L68" s="363" t="e">
        <v>#VALUE!</v>
      </c>
      <c r="M68" s="364" t="e">
        <v>#VALUE!</v>
      </c>
    </row>
    <row r="69" spans="3:13" x14ac:dyDescent="0.25">
      <c r="C69" s="346">
        <v>17</v>
      </c>
      <c r="D69" s="323" t="s">
        <v>258</v>
      </c>
      <c r="E69" s="348"/>
      <c r="F69" s="362" t="e">
        <v>#VALUE!</v>
      </c>
      <c r="G69" s="363" t="e">
        <v>#VALUE!</v>
      </c>
      <c r="H69" s="363" t="e">
        <v>#VALUE!</v>
      </c>
      <c r="I69" s="363" t="e">
        <v>#VALUE!</v>
      </c>
      <c r="J69" s="363" t="e">
        <v>#VALUE!</v>
      </c>
      <c r="K69" s="363" t="e">
        <v>#VALUE!</v>
      </c>
      <c r="L69" s="363" t="e">
        <v>#VALUE!</v>
      </c>
      <c r="M69" s="364" t="e">
        <v>#VALUE!</v>
      </c>
    </row>
    <row r="70" spans="3:13" x14ac:dyDescent="0.25">
      <c r="C70" s="346">
        <v>18</v>
      </c>
      <c r="D70" s="323" t="s">
        <v>258</v>
      </c>
      <c r="E70" s="348"/>
      <c r="F70" s="362" t="e">
        <v>#VALUE!</v>
      </c>
      <c r="G70" s="363" t="e">
        <v>#VALUE!</v>
      </c>
      <c r="H70" s="363" t="e">
        <v>#VALUE!</v>
      </c>
      <c r="I70" s="363" t="e">
        <v>#VALUE!</v>
      </c>
      <c r="J70" s="363" t="e">
        <v>#VALUE!</v>
      </c>
      <c r="K70" s="363" t="e">
        <v>#VALUE!</v>
      </c>
      <c r="L70" s="363" t="e">
        <v>#VALUE!</v>
      </c>
      <c r="M70" s="364" t="e">
        <v>#VALUE!</v>
      </c>
    </row>
    <row r="71" spans="3:13" x14ac:dyDescent="0.25">
      <c r="C71" s="346">
        <v>19</v>
      </c>
      <c r="D71" s="323" t="s">
        <v>258</v>
      </c>
      <c r="E71" s="348"/>
      <c r="F71" s="362" t="e">
        <v>#VALUE!</v>
      </c>
      <c r="G71" s="363" t="e">
        <v>#VALUE!</v>
      </c>
      <c r="H71" s="363" t="e">
        <v>#VALUE!</v>
      </c>
      <c r="I71" s="363" t="e">
        <v>#VALUE!</v>
      </c>
      <c r="J71" s="363" t="e">
        <v>#VALUE!</v>
      </c>
      <c r="K71" s="363" t="e">
        <v>#VALUE!</v>
      </c>
      <c r="L71" s="363" t="e">
        <v>#VALUE!</v>
      </c>
      <c r="M71" s="364" t="e">
        <v>#VALUE!</v>
      </c>
    </row>
    <row r="72" spans="3:13" x14ac:dyDescent="0.25">
      <c r="C72" s="346">
        <v>20</v>
      </c>
      <c r="D72" s="323" t="s">
        <v>258</v>
      </c>
      <c r="E72" s="348"/>
      <c r="F72" s="362" t="e">
        <v>#VALUE!</v>
      </c>
      <c r="G72" s="363" t="e">
        <v>#VALUE!</v>
      </c>
      <c r="H72" s="363" t="e">
        <v>#VALUE!</v>
      </c>
      <c r="I72" s="363" t="e">
        <v>#VALUE!</v>
      </c>
      <c r="J72" s="363" t="e">
        <v>#VALUE!</v>
      </c>
      <c r="K72" s="363" t="e">
        <v>#VALUE!</v>
      </c>
      <c r="L72" s="363" t="e">
        <v>#VALUE!</v>
      </c>
      <c r="M72" s="364" t="e">
        <v>#VALUE!</v>
      </c>
    </row>
    <row r="73" spans="3:13" x14ac:dyDescent="0.25">
      <c r="C73" s="346">
        <v>21</v>
      </c>
      <c r="D73" s="323" t="s">
        <v>258</v>
      </c>
      <c r="E73" s="348"/>
      <c r="F73" s="362" t="e">
        <v>#VALUE!</v>
      </c>
      <c r="G73" s="363" t="e">
        <v>#VALUE!</v>
      </c>
      <c r="H73" s="363" t="e">
        <v>#VALUE!</v>
      </c>
      <c r="I73" s="363" t="e">
        <v>#VALUE!</v>
      </c>
      <c r="J73" s="363" t="e">
        <v>#VALUE!</v>
      </c>
      <c r="K73" s="363" t="e">
        <v>#VALUE!</v>
      </c>
      <c r="L73" s="363" t="e">
        <v>#VALUE!</v>
      </c>
      <c r="M73" s="364" t="e">
        <v>#VALUE!</v>
      </c>
    </row>
    <row r="74" spans="3:13" x14ac:dyDescent="0.25">
      <c r="C74" s="346">
        <v>22</v>
      </c>
      <c r="D74" s="323" t="s">
        <v>258</v>
      </c>
      <c r="E74" s="348"/>
      <c r="F74" s="362" t="e">
        <v>#VALUE!</v>
      </c>
      <c r="G74" s="363" t="e">
        <v>#VALUE!</v>
      </c>
      <c r="H74" s="363" t="e">
        <v>#VALUE!</v>
      </c>
      <c r="I74" s="363" t="e">
        <v>#VALUE!</v>
      </c>
      <c r="J74" s="363" t="e">
        <v>#VALUE!</v>
      </c>
      <c r="K74" s="363" t="e">
        <v>#VALUE!</v>
      </c>
      <c r="L74" s="363" t="e">
        <v>#VALUE!</v>
      </c>
      <c r="M74" s="364" t="e">
        <v>#VALUE!</v>
      </c>
    </row>
    <row r="75" spans="3:13" x14ac:dyDescent="0.25">
      <c r="C75" s="346">
        <v>23</v>
      </c>
      <c r="D75" s="323" t="s">
        <v>258</v>
      </c>
      <c r="E75" s="348"/>
      <c r="F75" s="362" t="e">
        <v>#VALUE!</v>
      </c>
      <c r="G75" s="363" t="e">
        <v>#VALUE!</v>
      </c>
      <c r="H75" s="363" t="e">
        <v>#VALUE!</v>
      </c>
      <c r="I75" s="363" t="e">
        <v>#VALUE!</v>
      </c>
      <c r="J75" s="363" t="e">
        <v>#VALUE!</v>
      </c>
      <c r="K75" s="363" t="e">
        <v>#VALUE!</v>
      </c>
      <c r="L75" s="363" t="e">
        <v>#VALUE!</v>
      </c>
      <c r="M75" s="364" t="e">
        <v>#VALUE!</v>
      </c>
    </row>
    <row r="76" spans="3:13" x14ac:dyDescent="0.25">
      <c r="C76" s="346">
        <v>24</v>
      </c>
      <c r="D76" s="323" t="s">
        <v>258</v>
      </c>
      <c r="E76" s="348"/>
      <c r="F76" s="362" t="e">
        <v>#VALUE!</v>
      </c>
      <c r="G76" s="363" t="e">
        <v>#VALUE!</v>
      </c>
      <c r="H76" s="363" t="e">
        <v>#VALUE!</v>
      </c>
      <c r="I76" s="363" t="e">
        <v>#VALUE!</v>
      </c>
      <c r="J76" s="363" t="e">
        <v>#VALUE!</v>
      </c>
      <c r="K76" s="363" t="e">
        <v>#VALUE!</v>
      </c>
      <c r="L76" s="363" t="e">
        <v>#VALUE!</v>
      </c>
      <c r="M76" s="364" t="e">
        <v>#VALUE!</v>
      </c>
    </row>
    <row r="77" spans="3:13" x14ac:dyDescent="0.25">
      <c r="C77" s="346">
        <v>25</v>
      </c>
      <c r="D77" s="323" t="s">
        <v>258</v>
      </c>
      <c r="E77" s="348"/>
      <c r="F77" s="362" t="e">
        <v>#VALUE!</v>
      </c>
      <c r="G77" s="363" t="e">
        <v>#VALUE!</v>
      </c>
      <c r="H77" s="363" t="e">
        <v>#VALUE!</v>
      </c>
      <c r="I77" s="363" t="e">
        <v>#VALUE!</v>
      </c>
      <c r="J77" s="363" t="e">
        <v>#VALUE!</v>
      </c>
      <c r="K77" s="363" t="e">
        <v>#VALUE!</v>
      </c>
      <c r="L77" s="363" t="e">
        <v>#VALUE!</v>
      </c>
      <c r="M77" s="364" t="e">
        <v>#VALUE!</v>
      </c>
    </row>
    <row r="78" spans="3:13" x14ac:dyDescent="0.25">
      <c r="C78" s="346">
        <v>26</v>
      </c>
      <c r="D78" s="323" t="s">
        <v>258</v>
      </c>
      <c r="E78" s="348"/>
      <c r="F78" s="362" t="e">
        <v>#VALUE!</v>
      </c>
      <c r="G78" s="363" t="e">
        <v>#VALUE!</v>
      </c>
      <c r="H78" s="363" t="e">
        <v>#VALUE!</v>
      </c>
      <c r="I78" s="363" t="e">
        <v>#VALUE!</v>
      </c>
      <c r="J78" s="363" t="e">
        <v>#VALUE!</v>
      </c>
      <c r="K78" s="363" t="e">
        <v>#VALUE!</v>
      </c>
      <c r="L78" s="363" t="e">
        <v>#VALUE!</v>
      </c>
      <c r="M78" s="364" t="e">
        <v>#VALUE!</v>
      </c>
    </row>
    <row r="79" spans="3:13" x14ac:dyDescent="0.25">
      <c r="C79" s="346">
        <v>27</v>
      </c>
      <c r="D79" s="323" t="s">
        <v>258</v>
      </c>
      <c r="E79" s="348"/>
      <c r="F79" s="362" t="e">
        <v>#VALUE!</v>
      </c>
      <c r="G79" s="363" t="e">
        <v>#VALUE!</v>
      </c>
      <c r="H79" s="363" t="e">
        <v>#VALUE!</v>
      </c>
      <c r="I79" s="363" t="e">
        <v>#VALUE!</v>
      </c>
      <c r="J79" s="363" t="e">
        <v>#VALUE!</v>
      </c>
      <c r="K79" s="363" t="e">
        <v>#VALUE!</v>
      </c>
      <c r="L79" s="363" t="e">
        <v>#VALUE!</v>
      </c>
      <c r="M79" s="364" t="e">
        <v>#VALUE!</v>
      </c>
    </row>
    <row r="80" spans="3:13" x14ac:dyDescent="0.25">
      <c r="C80" s="346">
        <v>28</v>
      </c>
      <c r="D80" s="323" t="s">
        <v>258</v>
      </c>
      <c r="E80" s="348"/>
      <c r="F80" s="362" t="e">
        <v>#VALUE!</v>
      </c>
      <c r="G80" s="363" t="e">
        <v>#VALUE!</v>
      </c>
      <c r="H80" s="363" t="e">
        <v>#VALUE!</v>
      </c>
      <c r="I80" s="363" t="e">
        <v>#VALUE!</v>
      </c>
      <c r="J80" s="363" t="e">
        <v>#VALUE!</v>
      </c>
      <c r="K80" s="363" t="e">
        <v>#VALUE!</v>
      </c>
      <c r="L80" s="363" t="e">
        <v>#VALUE!</v>
      </c>
      <c r="M80" s="364" t="e">
        <v>#VALUE!</v>
      </c>
    </row>
    <row r="81" spans="3:13" x14ac:dyDescent="0.25">
      <c r="C81" s="346">
        <v>29</v>
      </c>
      <c r="D81" s="323" t="s">
        <v>258</v>
      </c>
      <c r="E81" s="348"/>
      <c r="F81" s="362" t="e">
        <v>#VALUE!</v>
      </c>
      <c r="G81" s="363" t="e">
        <v>#VALUE!</v>
      </c>
      <c r="H81" s="363" t="e">
        <v>#VALUE!</v>
      </c>
      <c r="I81" s="363" t="e">
        <v>#VALUE!</v>
      </c>
      <c r="J81" s="363" t="e">
        <v>#VALUE!</v>
      </c>
      <c r="K81" s="363" t="e">
        <v>#VALUE!</v>
      </c>
      <c r="L81" s="363" t="e">
        <v>#VALUE!</v>
      </c>
      <c r="M81" s="364" t="e">
        <v>#VALUE!</v>
      </c>
    </row>
    <row r="82" spans="3:13" x14ac:dyDescent="0.25">
      <c r="C82" s="346">
        <v>30</v>
      </c>
      <c r="D82" s="323" t="s">
        <v>258</v>
      </c>
      <c r="E82" s="348"/>
      <c r="F82" s="362" t="e">
        <v>#VALUE!</v>
      </c>
      <c r="G82" s="363" t="e">
        <v>#VALUE!</v>
      </c>
      <c r="H82" s="363" t="e">
        <v>#VALUE!</v>
      </c>
      <c r="I82" s="363" t="e">
        <v>#VALUE!</v>
      </c>
      <c r="J82" s="363" t="e">
        <v>#VALUE!</v>
      </c>
      <c r="K82" s="363" t="e">
        <v>#VALUE!</v>
      </c>
      <c r="L82" s="363" t="e">
        <v>#VALUE!</v>
      </c>
      <c r="M82" s="364" t="e">
        <v>#VALUE!</v>
      </c>
    </row>
    <row r="83" spans="3:13" x14ac:dyDescent="0.25">
      <c r="C83" s="346">
        <v>31</v>
      </c>
      <c r="D83" s="323" t="s">
        <v>258</v>
      </c>
      <c r="E83" s="348"/>
      <c r="F83" s="362" t="e">
        <v>#VALUE!</v>
      </c>
      <c r="G83" s="363" t="e">
        <v>#VALUE!</v>
      </c>
      <c r="H83" s="363" t="e">
        <v>#VALUE!</v>
      </c>
      <c r="I83" s="363" t="e">
        <v>#VALUE!</v>
      </c>
      <c r="J83" s="363" t="e">
        <v>#VALUE!</v>
      </c>
      <c r="K83" s="363" t="e">
        <v>#VALUE!</v>
      </c>
      <c r="L83" s="363" t="e">
        <v>#VALUE!</v>
      </c>
      <c r="M83" s="364" t="e">
        <v>#VALUE!</v>
      </c>
    </row>
    <row r="84" spans="3:13" x14ac:dyDescent="0.25">
      <c r="C84" s="346">
        <v>32</v>
      </c>
      <c r="D84" s="323" t="s">
        <v>258</v>
      </c>
      <c r="E84" s="348"/>
      <c r="F84" s="362" t="e">
        <v>#VALUE!</v>
      </c>
      <c r="G84" s="363" t="e">
        <v>#VALUE!</v>
      </c>
      <c r="H84" s="363" t="e">
        <v>#VALUE!</v>
      </c>
      <c r="I84" s="363" t="e">
        <v>#VALUE!</v>
      </c>
      <c r="J84" s="363" t="e">
        <v>#VALUE!</v>
      </c>
      <c r="K84" s="363" t="e">
        <v>#VALUE!</v>
      </c>
      <c r="L84" s="363" t="e">
        <v>#VALUE!</v>
      </c>
      <c r="M84" s="364" t="e">
        <v>#VALUE!</v>
      </c>
    </row>
    <row r="85" spans="3:13" x14ac:dyDescent="0.25">
      <c r="C85" s="346">
        <v>33</v>
      </c>
      <c r="D85" s="323" t="s">
        <v>258</v>
      </c>
      <c r="E85" s="348"/>
      <c r="F85" s="362" t="e">
        <v>#VALUE!</v>
      </c>
      <c r="G85" s="363" t="e">
        <v>#VALUE!</v>
      </c>
      <c r="H85" s="363" t="e">
        <v>#VALUE!</v>
      </c>
      <c r="I85" s="363" t="e">
        <v>#VALUE!</v>
      </c>
      <c r="J85" s="363" t="e">
        <v>#VALUE!</v>
      </c>
      <c r="K85" s="363" t="e">
        <v>#VALUE!</v>
      </c>
      <c r="L85" s="363" t="e">
        <v>#VALUE!</v>
      </c>
      <c r="M85" s="364" t="e">
        <v>#VALUE!</v>
      </c>
    </row>
    <row r="86" spans="3:13" x14ac:dyDescent="0.25">
      <c r="C86" s="346">
        <v>34</v>
      </c>
      <c r="D86" s="323" t="s">
        <v>258</v>
      </c>
      <c r="E86" s="348"/>
      <c r="F86" s="362" t="e">
        <v>#VALUE!</v>
      </c>
      <c r="G86" s="363" t="e">
        <v>#VALUE!</v>
      </c>
      <c r="H86" s="363" t="e">
        <v>#VALUE!</v>
      </c>
      <c r="I86" s="363" t="e">
        <v>#VALUE!</v>
      </c>
      <c r="J86" s="363" t="e">
        <v>#VALUE!</v>
      </c>
      <c r="K86" s="363" t="e">
        <v>#VALUE!</v>
      </c>
      <c r="L86" s="363" t="e">
        <v>#VALUE!</v>
      </c>
      <c r="M86" s="364" t="e">
        <v>#VALUE!</v>
      </c>
    </row>
    <row r="87" spans="3:13" x14ac:dyDescent="0.25">
      <c r="C87" s="346">
        <v>35</v>
      </c>
      <c r="D87" s="323" t="s">
        <v>258</v>
      </c>
      <c r="E87" s="348"/>
      <c r="F87" s="362" t="e">
        <v>#VALUE!</v>
      </c>
      <c r="G87" s="363" t="e">
        <v>#VALUE!</v>
      </c>
      <c r="H87" s="363" t="e">
        <v>#VALUE!</v>
      </c>
      <c r="I87" s="363" t="e">
        <v>#VALUE!</v>
      </c>
      <c r="J87" s="363" t="e">
        <v>#VALUE!</v>
      </c>
      <c r="K87" s="363" t="e">
        <v>#VALUE!</v>
      </c>
      <c r="L87" s="363" t="e">
        <v>#VALUE!</v>
      </c>
      <c r="M87" s="364" t="e">
        <v>#VALUE!</v>
      </c>
    </row>
    <row r="88" spans="3:13" x14ac:dyDescent="0.25">
      <c r="C88" s="346">
        <v>36</v>
      </c>
      <c r="D88" s="323" t="s">
        <v>258</v>
      </c>
      <c r="E88" s="348"/>
      <c r="F88" s="362" t="e">
        <v>#VALUE!</v>
      </c>
      <c r="G88" s="363" t="e">
        <v>#VALUE!</v>
      </c>
      <c r="H88" s="363" t="e">
        <v>#VALUE!</v>
      </c>
      <c r="I88" s="363" t="e">
        <v>#VALUE!</v>
      </c>
      <c r="J88" s="363" t="e">
        <v>#VALUE!</v>
      </c>
      <c r="K88" s="363" t="e">
        <v>#VALUE!</v>
      </c>
      <c r="L88" s="363" t="e">
        <v>#VALUE!</v>
      </c>
      <c r="M88" s="364" t="e">
        <v>#VALUE!</v>
      </c>
    </row>
    <row r="89" spans="3:13" x14ac:dyDescent="0.25">
      <c r="C89" s="346">
        <v>37</v>
      </c>
      <c r="D89" s="323" t="s">
        <v>258</v>
      </c>
      <c r="E89" s="348"/>
      <c r="F89" s="362" t="e">
        <v>#VALUE!</v>
      </c>
      <c r="G89" s="363" t="e">
        <v>#VALUE!</v>
      </c>
      <c r="H89" s="363" t="e">
        <v>#VALUE!</v>
      </c>
      <c r="I89" s="363" t="e">
        <v>#VALUE!</v>
      </c>
      <c r="J89" s="363" t="e">
        <v>#VALUE!</v>
      </c>
      <c r="K89" s="363" t="e">
        <v>#VALUE!</v>
      </c>
      <c r="L89" s="363" t="e">
        <v>#VALUE!</v>
      </c>
      <c r="M89" s="364" t="e">
        <v>#VALUE!</v>
      </c>
    </row>
    <row r="90" spans="3:13" x14ac:dyDescent="0.25">
      <c r="C90" s="346">
        <v>38</v>
      </c>
      <c r="D90" s="323" t="s">
        <v>258</v>
      </c>
      <c r="E90" s="348"/>
      <c r="F90" s="362" t="e">
        <v>#VALUE!</v>
      </c>
      <c r="G90" s="363" t="e">
        <v>#VALUE!</v>
      </c>
      <c r="H90" s="363" t="e">
        <v>#VALUE!</v>
      </c>
      <c r="I90" s="363" t="e">
        <v>#VALUE!</v>
      </c>
      <c r="J90" s="363" t="e">
        <v>#VALUE!</v>
      </c>
      <c r="K90" s="363" t="e">
        <v>#VALUE!</v>
      </c>
      <c r="L90" s="363" t="e">
        <v>#VALUE!</v>
      </c>
      <c r="M90" s="364" t="e">
        <v>#VALUE!</v>
      </c>
    </row>
    <row r="91" spans="3:13" x14ac:dyDescent="0.25">
      <c r="C91" s="346">
        <v>39</v>
      </c>
      <c r="D91" s="323" t="s">
        <v>258</v>
      </c>
      <c r="E91" s="348"/>
      <c r="F91" s="362" t="e">
        <v>#VALUE!</v>
      </c>
      <c r="G91" s="363" t="e">
        <v>#VALUE!</v>
      </c>
      <c r="H91" s="363" t="e">
        <v>#VALUE!</v>
      </c>
      <c r="I91" s="363" t="e">
        <v>#VALUE!</v>
      </c>
      <c r="J91" s="363" t="e">
        <v>#VALUE!</v>
      </c>
      <c r="K91" s="363" t="e">
        <v>#VALUE!</v>
      </c>
      <c r="L91" s="363" t="e">
        <v>#VALUE!</v>
      </c>
      <c r="M91" s="364" t="e">
        <v>#VALUE!</v>
      </c>
    </row>
    <row r="92" spans="3:13" x14ac:dyDescent="0.25">
      <c r="C92" s="346">
        <v>40</v>
      </c>
      <c r="D92" s="324" t="s">
        <v>258</v>
      </c>
      <c r="E92" s="348"/>
      <c r="F92" s="367" t="e">
        <v>#VALUE!</v>
      </c>
      <c r="G92" s="368" t="e">
        <v>#VALUE!</v>
      </c>
      <c r="H92" s="368" t="e">
        <v>#VALUE!</v>
      </c>
      <c r="I92" s="368" t="e">
        <v>#VALUE!</v>
      </c>
      <c r="J92" s="368" t="e">
        <v>#VALUE!</v>
      </c>
      <c r="K92" s="368" t="e">
        <v>#VALUE!</v>
      </c>
      <c r="L92" s="368" t="e">
        <v>#VALUE!</v>
      </c>
      <c r="M92" s="369" t="e">
        <v>#VALUE!</v>
      </c>
    </row>
  </sheetData>
  <mergeCells count="1">
    <mergeCell ref="D51:D52"/>
  </mergeCells>
  <pageMargins left="0.5" right="0.5" top="0.5" bottom="0.5" header="0.5" footer="0.5"/>
  <pageSetup scale="85" fitToWidth="0" fitToHeight="0" orientation="landscape"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F26"/>
  <sheetViews>
    <sheetView showGridLines="0" tabSelected="1" view="pageBreakPreview" zoomScale="60" zoomScaleNormal="100" workbookViewId="0">
      <selection activeCell="G21" sqref="G21"/>
    </sheetView>
  </sheetViews>
  <sheetFormatPr defaultColWidth="9.28515625" defaultRowHeight="15" x14ac:dyDescent="0.25"/>
  <cols>
    <col min="1" max="1" width="3" style="1" customWidth="1"/>
    <col min="2" max="2" width="3.28515625" style="1" customWidth="1"/>
    <col min="3" max="3" width="9.28515625" style="1"/>
    <col min="4" max="4" width="91.7109375" style="2" customWidth="1"/>
    <col min="5" max="5" width="8.7109375" style="1" customWidth="1"/>
    <col min="6" max="6" width="3.28515625" style="1" customWidth="1"/>
    <col min="7" max="7" width="2.42578125" style="1" customWidth="1"/>
    <col min="8" max="16384" width="9.28515625" style="1"/>
  </cols>
  <sheetData>
    <row r="6" spans="2:6" ht="15.75" thickBot="1" x14ac:dyDescent="0.3">
      <c r="B6" s="3"/>
      <c r="C6" s="4"/>
      <c r="D6" s="5"/>
      <c r="E6" s="4"/>
      <c r="F6" s="4"/>
    </row>
    <row r="7" spans="2:6" ht="15.75" thickTop="1" x14ac:dyDescent="0.25">
      <c r="B7" s="6"/>
      <c r="C7" s="7"/>
      <c r="D7" s="8"/>
      <c r="E7" s="7"/>
      <c r="F7" s="7"/>
    </row>
    <row r="8" spans="2:6" s="9" customFormat="1" ht="49.5" x14ac:dyDescent="0.65">
      <c r="B8" s="10"/>
      <c r="C8" s="11"/>
      <c r="D8" s="12" t="s">
        <v>0</v>
      </c>
      <c r="E8" s="11"/>
      <c r="F8" s="11"/>
    </row>
    <row r="9" spans="2:6" x14ac:dyDescent="0.25">
      <c r="B9" s="6"/>
      <c r="C9" s="7"/>
      <c r="D9" s="7"/>
      <c r="E9" s="7"/>
      <c r="F9" s="7"/>
    </row>
    <row r="10" spans="2:6" x14ac:dyDescent="0.25">
      <c r="B10" s="6"/>
      <c r="C10" s="7"/>
      <c r="D10" s="7"/>
      <c r="E10" s="7"/>
      <c r="F10" s="7"/>
    </row>
    <row r="11" spans="2:6" ht="35.25" x14ac:dyDescent="0.5">
      <c r="B11" s="6"/>
      <c r="C11" s="7"/>
      <c r="D11" s="13" t="str">
        <f>"Satellite Healthcare "&amp;Outline!M2&amp;""</f>
        <v>Satellite Healthcare - Wellbound Santa Cruz</v>
      </c>
      <c r="E11" s="7"/>
      <c r="F11" s="7"/>
    </row>
    <row r="12" spans="2:6" x14ac:dyDescent="0.25">
      <c r="B12" s="14"/>
      <c r="C12" s="7"/>
      <c r="D12" s="15"/>
      <c r="E12" s="7"/>
      <c r="F12" s="7"/>
    </row>
    <row r="13" spans="2:6" ht="20.25" x14ac:dyDescent="0.3">
      <c r="B13" s="6"/>
      <c r="C13" s="7"/>
      <c r="D13" s="16" t="s">
        <v>293</v>
      </c>
      <c r="E13" s="7"/>
      <c r="F13" s="7"/>
    </row>
    <row r="14" spans="2:6" ht="20.25" x14ac:dyDescent="0.3">
      <c r="B14" s="6"/>
      <c r="C14" s="7"/>
      <c r="D14" s="16" t="s">
        <v>294</v>
      </c>
      <c r="E14" s="7"/>
      <c r="F14" s="7"/>
    </row>
    <row r="15" spans="2:6" ht="20.25" x14ac:dyDescent="0.3">
      <c r="B15" s="6"/>
      <c r="C15" s="7"/>
      <c r="D15" s="16"/>
      <c r="E15" s="7"/>
      <c r="F15" s="7"/>
    </row>
    <row r="16" spans="2:6" ht="15.75" thickBot="1" x14ac:dyDescent="0.3">
      <c r="B16" s="17"/>
      <c r="C16" s="18"/>
      <c r="D16" s="19"/>
      <c r="E16" s="18"/>
      <c r="F16" s="18"/>
    </row>
    <row r="17" spans="4:4" ht="15.75" thickTop="1" x14ac:dyDescent="0.25"/>
    <row r="20" spans="4:4" ht="26.25" x14ac:dyDescent="0.4">
      <c r="D20" s="20" t="s">
        <v>1</v>
      </c>
    </row>
    <row r="21" spans="4:4" ht="26.25" x14ac:dyDescent="0.4">
      <c r="D21" s="21">
        <f ca="1">NOW()</f>
        <v>43599.643879282405</v>
      </c>
    </row>
    <row r="26" spans="4:4" ht="47.65" customHeight="1" x14ac:dyDescent="0.25"/>
  </sheetData>
  <printOptions horizontalCentered="1" verticalCentered="1"/>
  <pageMargins left="0.7" right="0.7" top="0.75" bottom="0.75" header="0.3" footer="0.3"/>
  <pageSetup fitToWidth="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8"/>
  <sheetViews>
    <sheetView showGridLines="0" view="pageBreakPreview" zoomScaleNormal="100" zoomScaleSheetLayoutView="100" workbookViewId="0">
      <selection activeCell="G21" sqref="G21"/>
    </sheetView>
  </sheetViews>
  <sheetFormatPr defaultColWidth="9.28515625" defaultRowHeight="15" x14ac:dyDescent="0.25"/>
  <cols>
    <col min="1" max="1" width="2.7109375" style="24" customWidth="1"/>
    <col min="2" max="2" width="4.140625" style="24" customWidth="1"/>
    <col min="3" max="3" width="16.7109375" style="24" customWidth="1"/>
    <col min="4" max="4" width="4.140625" style="24" customWidth="1"/>
    <col min="5" max="5" width="11" style="24" customWidth="1"/>
    <col min="6" max="6" width="15.42578125" style="24" customWidth="1"/>
    <col min="7" max="7" width="36.28515625" style="24" customWidth="1"/>
    <col min="8" max="8" width="4.42578125" style="24" customWidth="1"/>
    <col min="9" max="10" width="14.7109375" style="24" customWidth="1"/>
    <col min="11" max="11" width="2.7109375" style="24" customWidth="1"/>
    <col min="12" max="12" width="9.28515625" style="24"/>
    <col min="13" max="13" width="17.28515625" style="24" customWidth="1"/>
    <col min="14" max="16384" width="9.28515625" style="24"/>
  </cols>
  <sheetData>
    <row r="1" spans="2:17" ht="9.4" customHeight="1" thickBot="1" x14ac:dyDescent="0.45">
      <c r="B1" s="22"/>
      <c r="C1" s="4"/>
      <c r="D1" s="22"/>
      <c r="E1" s="22"/>
      <c r="F1" s="22"/>
      <c r="G1" s="22"/>
      <c r="H1" s="22"/>
      <c r="I1" s="22"/>
      <c r="J1" s="22"/>
      <c r="K1" s="22"/>
      <c r="L1" s="23"/>
      <c r="M1" s="22"/>
      <c r="N1" s="23"/>
    </row>
    <row r="2" spans="2:17" ht="18.75" thickTop="1" x14ac:dyDescent="0.4">
      <c r="B2" s="25" t="str">
        <f>"Satellite Healthcare " &amp; M2</f>
        <v>Satellite Healthcare - Wellbound Santa Cruz</v>
      </c>
      <c r="C2" s="26"/>
      <c r="D2" s="26"/>
      <c r="E2" s="26"/>
      <c r="F2" s="26"/>
      <c r="G2" s="26"/>
      <c r="H2" s="27">
        <v>1</v>
      </c>
      <c r="I2" s="26"/>
      <c r="J2" s="26"/>
      <c r="K2" s="26"/>
      <c r="L2" s="23"/>
      <c r="M2" s="345" t="s">
        <v>271</v>
      </c>
      <c r="N2" s="23"/>
    </row>
    <row r="3" spans="2:17" ht="4.9000000000000004" customHeight="1" x14ac:dyDescent="0.4">
      <c r="B3" s="25"/>
      <c r="C3" s="26"/>
      <c r="D3" s="26"/>
      <c r="E3" s="26"/>
      <c r="F3" s="26"/>
      <c r="G3" s="26"/>
      <c r="H3" s="26"/>
      <c r="I3" s="26"/>
      <c r="J3" s="26"/>
      <c r="K3" s="26"/>
      <c r="L3" s="23"/>
      <c r="M3" s="26"/>
      <c r="N3" s="23"/>
    </row>
    <row r="4" spans="2:17" ht="18.75" thickBot="1" x14ac:dyDescent="0.45">
      <c r="B4" s="28" t="s">
        <v>2</v>
      </c>
      <c r="C4" s="29"/>
      <c r="D4" s="29"/>
      <c r="E4" s="29"/>
      <c r="F4" s="29"/>
      <c r="G4" s="29"/>
      <c r="H4" s="29"/>
      <c r="I4" s="29"/>
      <c r="J4" s="29"/>
      <c r="K4" s="29"/>
      <c r="L4" s="23"/>
      <c r="M4" s="29"/>
      <c r="N4" s="23"/>
    </row>
    <row r="5" spans="2:17" ht="9" customHeight="1" thickTop="1" x14ac:dyDescent="0.4">
      <c r="B5" s="30"/>
      <c r="L5" s="23"/>
      <c r="N5" s="23"/>
    </row>
    <row r="6" spans="2:17" s="23" customFormat="1" ht="17.25" x14ac:dyDescent="0.4">
      <c r="M6" s="23" t="s">
        <v>3</v>
      </c>
    </row>
    <row r="7" spans="2:17" x14ac:dyDescent="0.25">
      <c r="B7" s="31"/>
      <c r="C7" s="31" t="s">
        <v>6</v>
      </c>
    </row>
    <row r="8" spans="2:17" x14ac:dyDescent="0.25">
      <c r="B8" s="31"/>
      <c r="C8" s="31"/>
    </row>
    <row r="9" spans="2:17" x14ac:dyDescent="0.25">
      <c r="C9" s="24" t="str">
        <f>"Workpaper " &amp;P9</f>
        <v>Workpaper 1</v>
      </c>
      <c r="E9" s="33" t="str">
        <f>'Discount Summary'!B4</f>
        <v>Discount Summary</v>
      </c>
      <c r="I9" s="32"/>
      <c r="P9" s="32">
        <v>1</v>
      </c>
      <c r="Q9" s="32"/>
    </row>
    <row r="10" spans="2:17" x14ac:dyDescent="0.25">
      <c r="C10" s="24" t="str">
        <f>"Workpaper " &amp;P10</f>
        <v>Workpaper 2</v>
      </c>
      <c r="E10" s="33" t="str">
        <f>'9 Factor Discount Analysis'!B4</f>
        <v>9-Factor Discount Adjustment Analysis</v>
      </c>
      <c r="P10" s="32">
        <f>P9+1</f>
        <v>2</v>
      </c>
    </row>
    <row r="11" spans="2:17" x14ac:dyDescent="0.25">
      <c r="C11" s="24" t="str">
        <f>"Workpaper " &amp;P11</f>
        <v>Workpaper 3</v>
      </c>
      <c r="E11" s="33" t="str">
        <f>'DLOM_Quantitative Methods'!B4</f>
        <v>Discount for Lack of Marketability</v>
      </c>
      <c r="P11" s="32">
        <f>P10+1</f>
        <v>3</v>
      </c>
    </row>
    <row r="12" spans="2:17" x14ac:dyDescent="0.25">
      <c r="C12" s="24" t="str">
        <f>"Workpaper " &amp;P12</f>
        <v>Workpaper 4</v>
      </c>
      <c r="E12" s="33" t="str">
        <f>'DLOM Restricted Stock Studies'!B4</f>
        <v>Summary of Restricted Stock Studies</v>
      </c>
      <c r="P12" s="32">
        <f t="shared" ref="P12:P18" si="0">P11+1</f>
        <v>4</v>
      </c>
    </row>
    <row r="13" spans="2:17" x14ac:dyDescent="0.25">
      <c r="C13" s="24" t="str">
        <f>"Workpaper " &amp;P13</f>
        <v>Workpaper 5</v>
      </c>
      <c r="E13" s="33" t="str">
        <f>'Asset Vol_2'!B4</f>
        <v>Asset Volatility - Term of 0.75 Year</v>
      </c>
      <c r="P13" s="32">
        <f t="shared" si="0"/>
        <v>5</v>
      </c>
    </row>
    <row r="14" spans="2:17" x14ac:dyDescent="0.25">
      <c r="C14" s="24" t="str">
        <f t="shared" ref="C14:C18" si="1">"Workpaper " &amp;P14</f>
        <v>Workpaper 6</v>
      </c>
      <c r="E14" s="33" t="str">
        <f>'Asset Vol_3'!B4</f>
        <v>Asset Volatility - Term of 1.25 Year</v>
      </c>
      <c r="P14" s="32">
        <f t="shared" si="0"/>
        <v>6</v>
      </c>
    </row>
    <row r="15" spans="2:17" x14ac:dyDescent="0.25">
      <c r="C15" s="24" t="str">
        <f t="shared" si="1"/>
        <v>Workpaper 7</v>
      </c>
      <c r="E15" s="33" t="str">
        <f>'Asset Vol_4'!B4</f>
        <v>Asset Volatility - Term of 1.75 Year</v>
      </c>
      <c r="P15" s="32">
        <f t="shared" si="0"/>
        <v>7</v>
      </c>
    </row>
    <row r="16" spans="2:17" x14ac:dyDescent="0.25">
      <c r="C16" s="24" t="str">
        <f t="shared" si="1"/>
        <v>Workpaper 8</v>
      </c>
      <c r="E16" s="33" t="str">
        <f>'Control Premium Summary'!B4</f>
        <v>Control Premium Summary</v>
      </c>
      <c r="P16" s="32">
        <f t="shared" si="0"/>
        <v>8</v>
      </c>
    </row>
    <row r="17" spans="3:16" x14ac:dyDescent="0.25">
      <c r="C17" s="24" t="str">
        <f t="shared" si="1"/>
        <v>Workpaper 9</v>
      </c>
      <c r="E17" s="33" t="str">
        <f>'Risk-Free Rates'!B4</f>
        <v>Risk-Free Rates</v>
      </c>
      <c r="P17" s="32">
        <f t="shared" si="0"/>
        <v>9</v>
      </c>
    </row>
    <row r="18" spans="3:16" x14ac:dyDescent="0.25">
      <c r="C18" s="24" t="str">
        <f t="shared" si="1"/>
        <v>Workpaper 10</v>
      </c>
      <c r="E18" s="33" t="str">
        <f>'Equity Vol'!B4</f>
        <v>Equity Volatility</v>
      </c>
      <c r="P18" s="32">
        <f t="shared" si="0"/>
        <v>10</v>
      </c>
    </row>
  </sheetData>
  <conditionalFormatting sqref="I9">
    <cfRule type="expression" dxfId="32" priority="3">
      <formula>$H$2&gt;1</formula>
    </cfRule>
  </conditionalFormatting>
  <printOptions horizontalCentered="1"/>
  <pageMargins left="0.5" right="0.5" top="0.5" bottom="0.5" header="0.5" footer="0.5"/>
  <pageSetup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25"/>
  <sheetViews>
    <sheetView showGridLines="0" view="pageBreakPreview" zoomScaleNormal="100" zoomScaleSheetLayoutView="100" workbookViewId="0">
      <selection activeCell="G21" sqref="G21"/>
    </sheetView>
  </sheetViews>
  <sheetFormatPr defaultColWidth="9.140625" defaultRowHeight="12.75" x14ac:dyDescent="0.2"/>
  <cols>
    <col min="1" max="1" width="2.7109375" style="34" customWidth="1"/>
    <col min="2" max="2" width="59.5703125" style="34" customWidth="1"/>
    <col min="3" max="4" width="20" style="34" customWidth="1"/>
    <col min="5" max="5" width="4.42578125" style="34" customWidth="1"/>
    <col min="6" max="6" width="20.7109375" style="34" customWidth="1"/>
    <col min="7" max="7" width="5.28515625" style="34" customWidth="1"/>
    <col min="8" max="8" width="2.7109375" style="34" customWidth="1"/>
    <col min="9" max="9" width="10.140625" style="34" bestFit="1" customWidth="1"/>
    <col min="10" max="11" width="9.140625" style="34"/>
    <col min="12" max="12" width="10.140625" style="34" bestFit="1" customWidth="1"/>
    <col min="13" max="16384" width="9.140625" style="34"/>
  </cols>
  <sheetData>
    <row r="1" spans="2:14" ht="10.7" customHeight="1" thickBot="1" x14ac:dyDescent="0.25"/>
    <row r="2" spans="2:14" ht="16.5" customHeight="1" thickTop="1" x14ac:dyDescent="0.25">
      <c r="B2" s="35" t="str">
        <f>Outline!B2</f>
        <v>Satellite Healthcare - Wellbound Santa Cruz</v>
      </c>
      <c r="C2" s="35"/>
      <c r="D2" s="35"/>
      <c r="E2" s="35"/>
      <c r="F2" s="35"/>
      <c r="G2" s="35"/>
    </row>
    <row r="3" spans="2:14" ht="15.75" customHeight="1" x14ac:dyDescent="0.25">
      <c r="B3" s="36" t="str">
        <f>Outline!C9</f>
        <v>Workpaper 1</v>
      </c>
      <c r="C3" s="36"/>
      <c r="D3" s="36"/>
      <c r="E3" s="36"/>
      <c r="F3" s="36"/>
      <c r="G3" s="36"/>
    </row>
    <row r="4" spans="2:14" ht="16.5" customHeight="1" thickBot="1" x14ac:dyDescent="0.3">
      <c r="B4" s="37" t="s">
        <v>7</v>
      </c>
      <c r="C4" s="37"/>
      <c r="D4" s="37"/>
      <c r="E4" s="37"/>
      <c r="F4" s="37"/>
      <c r="G4" s="37"/>
    </row>
    <row r="5" spans="2:14" ht="12.75" customHeight="1" thickTop="1" x14ac:dyDescent="0.2"/>
    <row r="6" spans="2:14" ht="12.75" customHeight="1" x14ac:dyDescent="0.2"/>
    <row r="7" spans="2:14" ht="12.75" customHeight="1" x14ac:dyDescent="0.25">
      <c r="B7" s="38" t="s">
        <v>8</v>
      </c>
      <c r="C7" s="393"/>
      <c r="D7" s="393"/>
      <c r="E7" s="393"/>
      <c r="F7" s="336" t="s">
        <v>9</v>
      </c>
      <c r="G7" s="394"/>
      <c r="I7" s="394"/>
      <c r="J7" s="394"/>
      <c r="K7" s="394"/>
      <c r="L7" s="394"/>
      <c r="M7" s="394"/>
      <c r="N7" s="394"/>
    </row>
    <row r="8" spans="2:14" ht="12.75" customHeight="1" x14ac:dyDescent="0.25">
      <c r="B8" s="39"/>
      <c r="C8" s="40"/>
      <c r="D8" s="39"/>
      <c r="E8" s="40"/>
      <c r="F8" s="40"/>
      <c r="G8" s="41"/>
      <c r="I8" s="394"/>
      <c r="J8" s="394"/>
      <c r="K8" s="394"/>
      <c r="L8" s="394"/>
      <c r="M8" s="394"/>
      <c r="N8" s="394"/>
    </row>
    <row r="9" spans="2:14" ht="12.75" customHeight="1" x14ac:dyDescent="0.25">
      <c r="B9" s="34" t="s">
        <v>10</v>
      </c>
      <c r="C9" s="34" t="s">
        <v>11</v>
      </c>
      <c r="D9" s="42">
        <f>MROUND(AVERAGE('DLOM_Quantitative Methods'!D48:F48),1%)</f>
        <v>7.0000000000000007E-2</v>
      </c>
      <c r="E9" s="43"/>
      <c r="F9" s="335" t="str">
        <f>'DLOM_Quantitative Methods'!B3</f>
        <v>Workpaper 3</v>
      </c>
      <c r="I9" s="394"/>
      <c r="J9" s="394"/>
      <c r="K9" s="394"/>
      <c r="L9" s="394"/>
      <c r="M9" s="394"/>
      <c r="N9" s="394"/>
    </row>
    <row r="10" spans="2:14" ht="12.75" customHeight="1" x14ac:dyDescent="0.25">
      <c r="C10" s="44"/>
      <c r="D10" s="389"/>
      <c r="E10" s="46"/>
      <c r="F10" s="43"/>
      <c r="I10" s="394"/>
      <c r="J10" s="394"/>
      <c r="K10" s="394"/>
      <c r="L10" s="394"/>
      <c r="M10" s="394"/>
      <c r="N10" s="394"/>
    </row>
    <row r="11" spans="2:14" ht="12.75" customHeight="1" x14ac:dyDescent="0.25">
      <c r="B11" s="34" t="s">
        <v>12</v>
      </c>
      <c r="C11" s="34" t="s">
        <v>13</v>
      </c>
      <c r="D11" s="42">
        <f>'Control Premium Summary'!I50</f>
        <v>0.1</v>
      </c>
      <c r="E11" s="46"/>
      <c r="F11" s="335" t="str">
        <f>'Control Premium Summary'!B3</f>
        <v>Workpaper 8</v>
      </c>
      <c r="I11" s="394"/>
      <c r="J11" s="394"/>
      <c r="K11" s="394"/>
      <c r="L11" s="394"/>
      <c r="M11" s="394"/>
      <c r="N11" s="394"/>
    </row>
    <row r="12" spans="2:14" ht="12.75" customHeight="1" x14ac:dyDescent="0.25">
      <c r="C12" s="47"/>
      <c r="D12" s="390"/>
      <c r="E12" s="46"/>
      <c r="F12" s="43"/>
      <c r="I12" s="394"/>
      <c r="J12" s="394"/>
      <c r="K12" s="394"/>
      <c r="L12" s="394"/>
      <c r="M12" s="394"/>
      <c r="N12" s="394"/>
    </row>
    <row r="13" spans="2:14" ht="12.75" customHeight="1" x14ac:dyDescent="0.25">
      <c r="B13" s="48" t="s">
        <v>14</v>
      </c>
      <c r="C13" s="49" t="s">
        <v>15</v>
      </c>
      <c r="D13" s="50">
        <f>MROUND(1-((1-D9)*(1-D11)),0.25%)</f>
        <v>0.16250000000000001</v>
      </c>
      <c r="E13" s="46"/>
      <c r="F13" s="43"/>
      <c r="I13" s="394"/>
      <c r="J13" s="394"/>
      <c r="K13" s="394"/>
      <c r="L13" s="394"/>
      <c r="M13" s="394"/>
      <c r="N13" s="394"/>
    </row>
    <row r="14" spans="2:14" ht="12.75" customHeight="1" x14ac:dyDescent="0.25">
      <c r="C14" s="47"/>
      <c r="D14" s="389"/>
      <c r="E14" s="46"/>
      <c r="F14" s="43"/>
      <c r="I14" s="394"/>
      <c r="J14" s="394"/>
      <c r="K14" s="394"/>
      <c r="L14" s="394"/>
      <c r="M14" s="394"/>
      <c r="N14" s="394"/>
    </row>
    <row r="15" spans="2:14" ht="12.75" customHeight="1" x14ac:dyDescent="0.25">
      <c r="B15" s="34" t="s">
        <v>16</v>
      </c>
      <c r="C15" s="47" t="s">
        <v>17</v>
      </c>
      <c r="D15" s="42">
        <f>'9 Factor Discount Analysis'!G21</f>
        <v>0.14500000000000002</v>
      </c>
      <c r="E15" s="46"/>
      <c r="F15" s="335" t="str">
        <f>'9 Factor Discount Analysis'!B3</f>
        <v>Workpaper 2</v>
      </c>
      <c r="I15" s="394"/>
      <c r="J15" s="394"/>
      <c r="K15" s="394"/>
      <c r="L15" s="394"/>
      <c r="M15" s="394"/>
      <c r="N15" s="394"/>
    </row>
    <row r="16" spans="2:14" ht="12.75" customHeight="1" x14ac:dyDescent="0.2">
      <c r="C16" s="47"/>
      <c r="D16" s="389"/>
      <c r="E16" s="46"/>
      <c r="F16" s="43"/>
    </row>
    <row r="17" spans="2:6" ht="12.75" customHeight="1" x14ac:dyDescent="0.2">
      <c r="B17" s="51" t="s">
        <v>18</v>
      </c>
      <c r="C17" s="52" t="s">
        <v>19</v>
      </c>
      <c r="D17" s="53">
        <f>MROUND(D13*(1+D15),0.25%)</f>
        <v>0.185</v>
      </c>
      <c r="E17" s="46"/>
      <c r="F17" s="43"/>
    </row>
    <row r="18" spans="2:6" ht="12.75" customHeight="1" x14ac:dyDescent="0.2">
      <c r="C18" s="47"/>
      <c r="D18" s="45"/>
      <c r="E18" s="46"/>
      <c r="F18" s="43"/>
    </row>
    <row r="19" spans="2:6" ht="12.75" customHeight="1" x14ac:dyDescent="0.2"/>
    <row r="21" spans="2:6" x14ac:dyDescent="0.2">
      <c r="B21" s="58" t="s">
        <v>273</v>
      </c>
      <c r="C21" s="132"/>
      <c r="D21" s="391">
        <v>1.4463100127818356</v>
      </c>
      <c r="F21" s="34" t="s">
        <v>274</v>
      </c>
    </row>
    <row r="23" spans="2:6" x14ac:dyDescent="0.2">
      <c r="B23" s="58" t="s">
        <v>273</v>
      </c>
      <c r="C23" s="132"/>
      <c r="D23" s="392">
        <f>[15]A1!$J$27</f>
        <v>1.4463100127818356</v>
      </c>
      <c r="F23" s="34" t="s">
        <v>292</v>
      </c>
    </row>
    <row r="25" spans="2:6" x14ac:dyDescent="0.2">
      <c r="B25" s="58" t="s">
        <v>291</v>
      </c>
      <c r="C25" s="132"/>
      <c r="D25" s="395" t="str">
        <f>IF(D21&lt;&gt;D23,"Check","")</f>
        <v/>
      </c>
    </row>
  </sheetData>
  <conditionalFormatting sqref="B4:G4">
    <cfRule type="cellIs" dxfId="31" priority="1" stopIfTrue="1" operator="equal">
      <formula>"input"</formula>
    </cfRule>
  </conditionalFormatting>
  <pageMargins left="0.5" right="0.5" top="0.5" bottom="0.5" header="0.5" footer="0.5"/>
  <pageSetup scale="94" fitToHeight="0" orientation="landscape"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23"/>
  <sheetViews>
    <sheetView showGridLines="0" view="pageBreakPreview" zoomScale="115" zoomScaleNormal="100" zoomScaleSheetLayoutView="115" workbookViewId="0">
      <selection activeCell="G21" sqref="G21"/>
    </sheetView>
  </sheetViews>
  <sheetFormatPr defaultColWidth="9.140625" defaultRowHeight="12.75" x14ac:dyDescent="0.2"/>
  <cols>
    <col min="1" max="1" width="2.7109375" style="54" customWidth="1"/>
    <col min="2" max="2" width="20.7109375" style="54" customWidth="1"/>
    <col min="3" max="3" width="10.7109375" style="54" customWidth="1"/>
    <col min="4" max="4" width="6.85546875" style="54" customWidth="1"/>
    <col min="5" max="5" width="13.7109375" style="54" customWidth="1"/>
    <col min="6" max="6" width="7.5703125" style="54" customWidth="1"/>
    <col min="7" max="7" width="10.28515625" style="54" customWidth="1"/>
    <col min="8" max="8" width="23.140625" style="54" customWidth="1"/>
    <col min="9" max="9" width="25" style="54" customWidth="1"/>
    <col min="10" max="10" width="25.85546875" style="54" customWidth="1"/>
    <col min="11" max="11" width="2.7109375" style="54" customWidth="1"/>
    <col min="12" max="12" width="10.140625" style="54" bestFit="1" customWidth="1"/>
    <col min="13" max="14" width="9.140625" style="54"/>
    <col min="15" max="15" width="10.140625" style="54" bestFit="1" customWidth="1"/>
    <col min="16" max="16384" width="9.140625" style="54"/>
  </cols>
  <sheetData>
    <row r="1" spans="2:19" s="34" customFormat="1" ht="10.7" customHeight="1" thickBot="1" x14ac:dyDescent="0.25"/>
    <row r="2" spans="2:19" s="34" customFormat="1" ht="16.5" customHeight="1" thickTop="1" x14ac:dyDescent="0.25">
      <c r="B2" s="35" t="str">
        <f>Outline!B2</f>
        <v>Satellite Healthcare - Wellbound Santa Cruz</v>
      </c>
      <c r="C2" s="35"/>
      <c r="D2" s="35"/>
      <c r="E2" s="35"/>
      <c r="F2" s="35"/>
      <c r="G2" s="35"/>
      <c r="H2" s="35"/>
      <c r="I2" s="35"/>
      <c r="J2" s="35"/>
    </row>
    <row r="3" spans="2:19" s="34" customFormat="1" ht="15.75" customHeight="1" x14ac:dyDescent="0.25">
      <c r="B3" s="36" t="str">
        <f>Outline!C10</f>
        <v>Workpaper 2</v>
      </c>
      <c r="C3" s="36"/>
      <c r="D3" s="36"/>
      <c r="E3" s="36"/>
      <c r="F3" s="36"/>
      <c r="G3" s="36"/>
      <c r="H3" s="36"/>
      <c r="I3" s="36"/>
      <c r="J3" s="36"/>
    </row>
    <row r="4" spans="2:19" s="34" customFormat="1" ht="16.5" customHeight="1" thickBot="1" x14ac:dyDescent="0.3">
      <c r="B4" s="37" t="s">
        <v>20</v>
      </c>
      <c r="C4" s="37"/>
      <c r="D4" s="37"/>
      <c r="E4" s="37"/>
      <c r="F4" s="37"/>
      <c r="G4" s="37"/>
      <c r="H4" s="37"/>
      <c r="I4" s="37"/>
      <c r="J4" s="37"/>
    </row>
    <row r="5" spans="2:19" s="34" customFormat="1" ht="12.75" customHeight="1" thickTop="1" x14ac:dyDescent="0.2"/>
    <row r="6" spans="2:19" s="34" customFormat="1" ht="12.75" customHeight="1" x14ac:dyDescent="0.2"/>
    <row r="7" spans="2:19" s="34" customFormat="1" ht="12.75" customHeight="1" x14ac:dyDescent="0.2">
      <c r="B7" s="55" t="s">
        <v>21</v>
      </c>
      <c r="C7" s="56"/>
      <c r="D7" s="56"/>
      <c r="E7" s="56"/>
      <c r="F7" s="56"/>
      <c r="G7" s="56"/>
      <c r="H7" s="56"/>
      <c r="I7" s="56"/>
      <c r="J7" s="57"/>
    </row>
    <row r="8" spans="2:19" s="34" customFormat="1" ht="28.5" customHeight="1" x14ac:dyDescent="0.2">
      <c r="B8" s="58" t="s">
        <v>22</v>
      </c>
      <c r="C8" s="59" t="s">
        <v>23</v>
      </c>
      <c r="D8" s="60" t="s">
        <v>24</v>
      </c>
      <c r="E8" s="59" t="s">
        <v>25</v>
      </c>
      <c r="F8" s="60" t="s">
        <v>26</v>
      </c>
      <c r="G8" s="61" t="s">
        <v>27</v>
      </c>
      <c r="H8" s="62" t="s">
        <v>28</v>
      </c>
      <c r="I8" s="62"/>
      <c r="J8" s="63"/>
      <c r="O8" s="64" t="s">
        <v>29</v>
      </c>
      <c r="P8" s="65" t="s">
        <v>30</v>
      </c>
      <c r="R8" s="64" t="s">
        <v>29</v>
      </c>
      <c r="S8" s="65" t="s">
        <v>30</v>
      </c>
    </row>
    <row r="9" spans="2:19" s="34" customFormat="1" ht="12.75" customHeight="1" x14ac:dyDescent="0.2">
      <c r="B9" s="66"/>
      <c r="C9" s="67"/>
      <c r="D9" s="48"/>
      <c r="E9" s="67"/>
      <c r="F9" s="68"/>
      <c r="G9" s="51"/>
      <c r="H9" s="48"/>
      <c r="I9" s="48"/>
      <c r="J9" s="69"/>
      <c r="O9" s="70" t="s">
        <v>31</v>
      </c>
      <c r="P9" s="71">
        <v>1</v>
      </c>
      <c r="R9" s="70" t="s">
        <v>32</v>
      </c>
      <c r="S9" s="71">
        <v>-2</v>
      </c>
    </row>
    <row r="10" spans="2:19" s="34" customFormat="1" ht="62.45" customHeight="1" x14ac:dyDescent="0.2">
      <c r="B10" s="72" t="s">
        <v>33</v>
      </c>
      <c r="C10" s="337" t="s">
        <v>34</v>
      </c>
      <c r="D10" s="332">
        <f>VLOOKUP(C10,$O$9:$P$11,COLUMNS($O$9:$P$9),FALSE)</f>
        <v>3</v>
      </c>
      <c r="E10" s="73" t="s">
        <v>35</v>
      </c>
      <c r="F10" s="334">
        <v>2</v>
      </c>
      <c r="G10" s="74">
        <f>(D10*F10)/100</f>
        <v>0.06</v>
      </c>
      <c r="H10" s="400" t="s">
        <v>290</v>
      </c>
      <c r="I10" s="400"/>
      <c r="J10" s="401"/>
      <c r="O10" s="70" t="s">
        <v>36</v>
      </c>
      <c r="P10" s="71">
        <v>2</v>
      </c>
      <c r="R10" s="70" t="s">
        <v>37</v>
      </c>
      <c r="S10" s="71">
        <v>-1</v>
      </c>
    </row>
    <row r="11" spans="2:19" s="34" customFormat="1" ht="25.5" customHeight="1" x14ac:dyDescent="0.2">
      <c r="B11" s="72" t="s">
        <v>38</v>
      </c>
      <c r="C11" s="338" t="s">
        <v>36</v>
      </c>
      <c r="D11" s="332">
        <f>VLOOKUP(C11,$O$9:$P$11,COLUMNS($O$9:$P$9),FALSE)</f>
        <v>2</v>
      </c>
      <c r="E11" s="73" t="s">
        <v>39</v>
      </c>
      <c r="F11" s="334">
        <f>VLOOKUP(E11,$R$9:$S$13,COLUMNS($R$9:$S$9),FALSE)</f>
        <v>1</v>
      </c>
      <c r="G11" s="74">
        <f>(D11*F11)/100</f>
        <v>0.02</v>
      </c>
      <c r="H11" s="400" t="s">
        <v>40</v>
      </c>
      <c r="I11" s="400"/>
      <c r="J11" s="401"/>
      <c r="O11" s="75" t="s">
        <v>34</v>
      </c>
      <c r="P11" s="76">
        <v>3</v>
      </c>
      <c r="R11" s="77" t="s">
        <v>41</v>
      </c>
      <c r="S11" s="78">
        <v>0</v>
      </c>
    </row>
    <row r="12" spans="2:19" s="34" customFormat="1" ht="12.75" customHeight="1" x14ac:dyDescent="0.2">
      <c r="B12" s="72"/>
      <c r="C12" s="338"/>
      <c r="D12" s="333"/>
      <c r="E12" s="73"/>
      <c r="F12" s="334"/>
      <c r="G12" s="79"/>
      <c r="H12" s="80"/>
      <c r="I12" s="80"/>
      <c r="J12" s="81"/>
      <c r="R12" s="77" t="s">
        <v>39</v>
      </c>
      <c r="S12" s="78">
        <v>1</v>
      </c>
    </row>
    <row r="13" spans="2:19" s="34" customFormat="1" ht="30" customHeight="1" x14ac:dyDescent="0.2">
      <c r="B13" s="72" t="s">
        <v>42</v>
      </c>
      <c r="C13" s="338" t="s">
        <v>36</v>
      </c>
      <c r="D13" s="332">
        <f t="shared" ref="D13:D19" si="0">VLOOKUP(C13,$O$9:$P$11,COLUMNS($O$9:$P$9),FALSE)</f>
        <v>2</v>
      </c>
      <c r="E13" s="73" t="s">
        <v>37</v>
      </c>
      <c r="F13" s="334">
        <f t="shared" ref="F13:F18" si="1">VLOOKUP(E13,$R$9:$S$13,COLUMNS($R$9:$S$9),FALSE)</f>
        <v>-1</v>
      </c>
      <c r="G13" s="74">
        <f t="shared" ref="G13:G19" si="2">(D13*F13)/100</f>
        <v>-0.02</v>
      </c>
      <c r="H13" s="400" t="s">
        <v>268</v>
      </c>
      <c r="I13" s="400"/>
      <c r="J13" s="401"/>
      <c r="R13" s="82" t="s">
        <v>35</v>
      </c>
      <c r="S13" s="83">
        <v>2</v>
      </c>
    </row>
    <row r="14" spans="2:19" s="34" customFormat="1" ht="20.100000000000001" customHeight="1" x14ac:dyDescent="0.2">
      <c r="B14" s="72" t="s">
        <v>43</v>
      </c>
      <c r="C14" s="338" t="s">
        <v>36</v>
      </c>
      <c r="D14" s="332">
        <f t="shared" si="0"/>
        <v>2</v>
      </c>
      <c r="E14" s="73" t="s">
        <v>41</v>
      </c>
      <c r="F14" s="334">
        <f t="shared" si="1"/>
        <v>0</v>
      </c>
      <c r="G14" s="74">
        <f t="shared" si="2"/>
        <v>0</v>
      </c>
      <c r="H14" s="400" t="s">
        <v>269</v>
      </c>
      <c r="I14" s="400"/>
      <c r="J14" s="401"/>
    </row>
    <row r="15" spans="2:19" s="34" customFormat="1" ht="30.75" customHeight="1" x14ac:dyDescent="0.2">
      <c r="B15" s="72" t="s">
        <v>44</v>
      </c>
      <c r="C15" s="338" t="s">
        <v>36</v>
      </c>
      <c r="D15" s="332">
        <f t="shared" si="0"/>
        <v>2</v>
      </c>
      <c r="E15" s="73" t="s">
        <v>41</v>
      </c>
      <c r="F15" s="334">
        <f t="shared" si="1"/>
        <v>0</v>
      </c>
      <c r="G15" s="74">
        <f t="shared" si="2"/>
        <v>0</v>
      </c>
      <c r="H15" s="402" t="s">
        <v>289</v>
      </c>
      <c r="I15" s="402"/>
      <c r="J15" s="403"/>
    </row>
    <row r="16" spans="2:19" s="34" customFormat="1" ht="19.5" customHeight="1" x14ac:dyDescent="0.2">
      <c r="B16" s="72" t="s">
        <v>45</v>
      </c>
      <c r="C16" s="338" t="s">
        <v>36</v>
      </c>
      <c r="D16" s="332">
        <f t="shared" si="0"/>
        <v>2</v>
      </c>
      <c r="E16" s="73" t="s">
        <v>41</v>
      </c>
      <c r="F16" s="334">
        <f t="shared" si="1"/>
        <v>0</v>
      </c>
      <c r="G16" s="74">
        <f t="shared" si="2"/>
        <v>0</v>
      </c>
      <c r="H16" s="400" t="s">
        <v>46</v>
      </c>
      <c r="I16" s="400"/>
      <c r="J16" s="401"/>
    </row>
    <row r="17" spans="2:10" s="34" customFormat="1" ht="20.100000000000001" customHeight="1" x14ac:dyDescent="0.2">
      <c r="B17" s="72" t="s">
        <v>47</v>
      </c>
      <c r="C17" s="338" t="s">
        <v>36</v>
      </c>
      <c r="D17" s="332">
        <f t="shared" si="0"/>
        <v>2</v>
      </c>
      <c r="E17" s="73" t="s">
        <v>35</v>
      </c>
      <c r="F17" s="334">
        <f t="shared" si="1"/>
        <v>2</v>
      </c>
      <c r="G17" s="74">
        <f t="shared" si="2"/>
        <v>0.04</v>
      </c>
      <c r="H17" s="400" t="s">
        <v>270</v>
      </c>
      <c r="I17" s="400"/>
      <c r="J17" s="401"/>
    </row>
    <row r="18" spans="2:10" s="34" customFormat="1" ht="20.100000000000001" customHeight="1" x14ac:dyDescent="0.2">
      <c r="B18" s="72" t="s">
        <v>48</v>
      </c>
      <c r="C18" s="338" t="s">
        <v>31</v>
      </c>
      <c r="D18" s="332">
        <f t="shared" si="0"/>
        <v>1</v>
      </c>
      <c r="E18" s="73" t="s">
        <v>41</v>
      </c>
      <c r="F18" s="334">
        <f t="shared" si="1"/>
        <v>0</v>
      </c>
      <c r="G18" s="74">
        <f t="shared" si="2"/>
        <v>0</v>
      </c>
      <c r="H18" s="400" t="s">
        <v>49</v>
      </c>
      <c r="I18" s="400"/>
      <c r="J18" s="401"/>
    </row>
    <row r="19" spans="2:10" s="34" customFormat="1" ht="87" customHeight="1" x14ac:dyDescent="0.2">
      <c r="B19" s="72" t="s">
        <v>50</v>
      </c>
      <c r="C19" s="338" t="s">
        <v>34</v>
      </c>
      <c r="D19" s="332">
        <f t="shared" si="0"/>
        <v>3</v>
      </c>
      <c r="E19" s="73" t="s">
        <v>35</v>
      </c>
      <c r="F19" s="334">
        <v>1.5</v>
      </c>
      <c r="G19" s="74">
        <f t="shared" si="2"/>
        <v>4.4999999999999998E-2</v>
      </c>
      <c r="H19" s="400" t="s">
        <v>288</v>
      </c>
      <c r="I19" s="400"/>
      <c r="J19" s="401"/>
    </row>
    <row r="20" spans="2:10" s="34" customFormat="1" ht="12.75" customHeight="1" x14ac:dyDescent="0.2">
      <c r="B20" s="84"/>
      <c r="E20" s="85"/>
      <c r="G20" s="86"/>
      <c r="J20" s="87"/>
    </row>
    <row r="21" spans="2:10" s="34" customFormat="1" ht="12.75" customHeight="1" x14ac:dyDescent="0.2">
      <c r="B21" s="88" t="s">
        <v>51</v>
      </c>
      <c r="C21" s="89"/>
      <c r="D21" s="89"/>
      <c r="E21" s="89"/>
      <c r="F21" s="89"/>
      <c r="G21" s="90">
        <f>SUM(G10:G20)</f>
        <v>0.14500000000000002</v>
      </c>
      <c r="H21" s="89"/>
      <c r="I21" s="89"/>
      <c r="J21" s="91"/>
    </row>
    <row r="22" spans="2:10" s="34" customFormat="1" ht="12.75" customHeight="1" x14ac:dyDescent="0.2"/>
    <row r="23" spans="2:10" s="34" customFormat="1" ht="12.75" customHeight="1" x14ac:dyDescent="0.2"/>
  </sheetData>
  <mergeCells count="9">
    <mergeCell ref="H17:J17"/>
    <mergeCell ref="H18:J18"/>
    <mergeCell ref="H19:J19"/>
    <mergeCell ref="H10:J10"/>
    <mergeCell ref="H11:J11"/>
    <mergeCell ref="H13:J13"/>
    <mergeCell ref="H14:J14"/>
    <mergeCell ref="H15:J15"/>
    <mergeCell ref="H16:J16"/>
  </mergeCells>
  <conditionalFormatting sqref="B4:J4">
    <cfRule type="cellIs" dxfId="30" priority="1" stopIfTrue="1" operator="equal">
      <formula>"input"</formula>
    </cfRule>
  </conditionalFormatting>
  <dataValidations count="2">
    <dataValidation type="list" allowBlank="1" showInputMessage="1" showErrorMessage="1" sqref="C17:C19 C13:C16 C11 C10" xr:uid="{00000000-0002-0000-0400-000000000000}">
      <formula1>$O$9:$O$11</formula1>
    </dataValidation>
    <dataValidation type="list" allowBlank="1" showInputMessage="1" showErrorMessage="1" sqref="E13:E16 E17:E19 E11 E10" xr:uid="{00000000-0002-0000-0400-000001000000}">
      <formula1>$R$9:$R$13</formula1>
    </dataValidation>
  </dataValidations>
  <pageMargins left="0.5" right="0.5" top="0.5" bottom="0.5" header="0.5" footer="0.5"/>
  <pageSetup scale="85" fitToWidth="0" fitToHeight="0" orientation="landscape"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4"/>
  <sheetViews>
    <sheetView showGridLines="0" view="pageBreakPreview" zoomScaleNormal="100" zoomScaleSheetLayoutView="100" workbookViewId="0">
      <selection activeCell="G21" sqref="G21"/>
    </sheetView>
  </sheetViews>
  <sheetFormatPr defaultColWidth="9.140625" defaultRowHeight="12.75" x14ac:dyDescent="0.2"/>
  <cols>
    <col min="1" max="1" width="2.7109375" style="54" customWidth="1"/>
    <col min="2" max="2" width="50.5703125" style="54" customWidth="1"/>
    <col min="3" max="3" width="2.42578125" style="54" customWidth="1"/>
    <col min="4" max="6" width="21" style="54" customWidth="1"/>
    <col min="7" max="7" width="2.42578125" style="54" customWidth="1"/>
    <col min="8" max="8" width="12" style="54" bestFit="1" customWidth="1"/>
    <col min="9" max="9" width="2.7109375" style="54" customWidth="1"/>
    <col min="10" max="16384" width="9.140625" style="54"/>
  </cols>
  <sheetData>
    <row r="1" spans="2:12" s="34" customFormat="1" ht="10.7" customHeight="1" thickBot="1" x14ac:dyDescent="0.25">
      <c r="I1" s="54"/>
      <c r="J1" s="54"/>
      <c r="K1" s="54"/>
      <c r="L1" s="54"/>
    </row>
    <row r="2" spans="2:12" s="34" customFormat="1" ht="16.5" customHeight="1" thickTop="1" x14ac:dyDescent="0.25">
      <c r="B2" s="35" t="str">
        <f>Outline!B2</f>
        <v>Satellite Healthcare - Wellbound Santa Cruz</v>
      </c>
      <c r="C2" s="35"/>
      <c r="D2" s="35"/>
      <c r="E2" s="35"/>
      <c r="F2" s="35"/>
      <c r="G2" s="35"/>
      <c r="H2" s="35"/>
      <c r="I2" s="54"/>
      <c r="J2" s="54"/>
      <c r="K2" s="54"/>
      <c r="L2" s="54"/>
    </row>
    <row r="3" spans="2:12" s="34" customFormat="1" ht="15.75" customHeight="1" x14ac:dyDescent="0.25">
      <c r="B3" s="36" t="str">
        <f>Outline!C11</f>
        <v>Workpaper 3</v>
      </c>
      <c r="C3" s="36"/>
      <c r="D3" s="36"/>
      <c r="E3" s="36"/>
      <c r="F3" s="36"/>
      <c r="G3" s="36"/>
      <c r="H3" s="36"/>
      <c r="I3" s="54"/>
      <c r="J3" s="54"/>
      <c r="K3" s="54"/>
      <c r="L3" s="54"/>
    </row>
    <row r="4" spans="2:12" s="34" customFormat="1" ht="16.5" customHeight="1" thickBot="1" x14ac:dyDescent="0.3">
      <c r="B4" s="37" t="s">
        <v>52</v>
      </c>
      <c r="C4" s="37"/>
      <c r="D4" s="37"/>
      <c r="E4" s="37"/>
      <c r="F4" s="37"/>
      <c r="G4" s="37"/>
      <c r="H4" s="37"/>
      <c r="I4" s="54"/>
      <c r="J4" s="54"/>
      <c r="K4" s="54"/>
      <c r="L4" s="54"/>
    </row>
    <row r="5" spans="2:12" s="34" customFormat="1" ht="12.75" customHeight="1" thickTop="1" x14ac:dyDescent="0.2"/>
    <row r="6" spans="2:12" s="34" customFormat="1" ht="12.75" customHeight="1" x14ac:dyDescent="0.2"/>
    <row r="7" spans="2:12" s="34" customFormat="1" ht="12.75" customHeight="1" x14ac:dyDescent="0.2">
      <c r="B7" s="92" t="s">
        <v>53</v>
      </c>
      <c r="C7" s="93"/>
      <c r="D7" s="93"/>
      <c r="E7" s="93"/>
      <c r="F7" s="94"/>
      <c r="H7" s="95" t="s">
        <v>9</v>
      </c>
    </row>
    <row r="8" spans="2:12" s="34" customFormat="1" ht="12.75" customHeight="1" x14ac:dyDescent="0.2"/>
    <row r="9" spans="2:12" s="34" customFormat="1" ht="12.75" customHeight="1" x14ac:dyDescent="0.2">
      <c r="B9" s="96" t="s">
        <v>54</v>
      </c>
      <c r="C9" s="48"/>
      <c r="D9" s="396">
        <v>0.75</v>
      </c>
      <c r="E9" s="396">
        <f>D9+0.5</f>
        <v>1.25</v>
      </c>
      <c r="F9" s="397">
        <f>E9+0.5</f>
        <v>1.75</v>
      </c>
      <c r="H9" s="97" t="s">
        <v>55</v>
      </c>
    </row>
    <row r="10" spans="2:12" s="34" customFormat="1" ht="12.75" customHeight="1" x14ac:dyDescent="0.2">
      <c r="B10" s="77" t="s">
        <v>56</v>
      </c>
      <c r="D10" s="98">
        <f>'Risk-Free Rates'!F28</f>
        <v>2.5950000000000001E-2</v>
      </c>
      <c r="E10" s="98">
        <f>'Risk-Free Rates'!F37</f>
        <v>2.5925E-2</v>
      </c>
      <c r="F10" s="99">
        <f>'Risk-Free Rates'!F45</f>
        <v>2.5174999999999999E-2</v>
      </c>
      <c r="H10" s="100" t="str">
        <f>'Risk-Free Rates'!B3</f>
        <v>Workpaper 9</v>
      </c>
    </row>
    <row r="11" spans="2:12" s="34" customFormat="1" ht="12.75" customHeight="1" x14ac:dyDescent="0.2">
      <c r="B11" s="77" t="s">
        <v>57</v>
      </c>
      <c r="D11" s="101">
        <v>0</v>
      </c>
      <c r="E11" s="101">
        <v>0</v>
      </c>
      <c r="F11" s="102">
        <v>0</v>
      </c>
      <c r="H11" s="103"/>
    </row>
    <row r="12" spans="2:12" s="34" customFormat="1" ht="12.75" customHeight="1" x14ac:dyDescent="0.2">
      <c r="B12" s="77" t="s">
        <v>58</v>
      </c>
      <c r="D12" s="104">
        <f>'Asset Vol_2'!Q33</f>
        <v>0.19</v>
      </c>
      <c r="E12" s="104">
        <f>'Asset Vol_3'!Q33</f>
        <v>0.193</v>
      </c>
      <c r="F12" s="105">
        <f>'Asset Vol_4'!Q33</f>
        <v>0.245</v>
      </c>
      <c r="H12" s="97" t="s">
        <v>59</v>
      </c>
    </row>
    <row r="13" spans="2:12" s="34" customFormat="1" ht="12.75" customHeight="1" x14ac:dyDescent="0.2">
      <c r="B13" s="77"/>
      <c r="F13" s="78"/>
    </row>
    <row r="14" spans="2:12" s="34" customFormat="1" ht="12.75" customHeight="1" x14ac:dyDescent="0.2">
      <c r="B14" s="77" t="s">
        <v>60</v>
      </c>
      <c r="D14" s="106">
        <f t="shared" ref="D14:E14" si="0">D12^2*D9</f>
        <v>2.7075000000000002E-2</v>
      </c>
      <c r="E14" s="106">
        <f t="shared" si="0"/>
        <v>4.6561250000000005E-2</v>
      </c>
      <c r="F14" s="107">
        <f>F12^2*F9</f>
        <v>0.10504374999999999</v>
      </c>
    </row>
    <row r="15" spans="2:12" s="34" customFormat="1" ht="12.75" customHeight="1" x14ac:dyDescent="0.2">
      <c r="B15" s="77" t="s">
        <v>61</v>
      </c>
      <c r="D15" s="106">
        <f t="shared" ref="D15:E15" si="1">(D12^2*D9+LN(2*(EXP(D14)-D12^2*D9-1))-2*LN(EXP(D14)-1))^0.5</f>
        <v>9.4785544902395644E-2</v>
      </c>
      <c r="E15" s="106">
        <f t="shared" si="1"/>
        <v>0.1240971495162395</v>
      </c>
      <c r="F15" s="107">
        <f>(F12^2*F9+LN(2*(EXP(F14)-F12^2*F9-1))-2*LN(EXP(F14)-1))^0.5</f>
        <v>0.18548066939098193</v>
      </c>
    </row>
    <row r="16" spans="2:12" s="34" customFormat="1" ht="12.75" customHeight="1" x14ac:dyDescent="0.2">
      <c r="B16" s="77" t="s">
        <v>4</v>
      </c>
      <c r="D16" s="106">
        <f t="shared" ref="D16:E16" si="2">((D10-D11)*D9)/D15+0.5*D15</f>
        <v>0.25272471436324034</v>
      </c>
      <c r="E16" s="106">
        <f t="shared" si="2"/>
        <v>0.32318470984524583</v>
      </c>
      <c r="F16" s="107">
        <f>((F10-F11)*F9)/F15+0.5*F15</f>
        <v>0.33026508670688309</v>
      </c>
    </row>
    <row r="17" spans="2:8" s="34" customFormat="1" ht="12.75" customHeight="1" x14ac:dyDescent="0.2">
      <c r="B17" s="77" t="s">
        <v>5</v>
      </c>
      <c r="D17" s="106">
        <f t="shared" ref="D17:E17" si="3">((D10-D11)*D9)/D15-0.5*D15</f>
        <v>0.15793916946084469</v>
      </c>
      <c r="E17" s="106">
        <f t="shared" si="3"/>
        <v>0.19908756032900632</v>
      </c>
      <c r="F17" s="107">
        <f>((F10-F11)*F9)/F15-0.5*F15</f>
        <v>0.14478441731590119</v>
      </c>
    </row>
    <row r="18" spans="2:8" s="34" customFormat="1" ht="12.75" customHeight="1" x14ac:dyDescent="0.2">
      <c r="B18" s="77"/>
      <c r="D18" s="108"/>
      <c r="E18" s="108"/>
      <c r="F18" s="109"/>
    </row>
    <row r="19" spans="2:8" s="34" customFormat="1" ht="12.75" customHeight="1" x14ac:dyDescent="0.2">
      <c r="B19" s="88" t="s">
        <v>62</v>
      </c>
      <c r="C19" s="89"/>
      <c r="D19" s="110">
        <f t="shared" ref="D19:E19" si="4">EXP((D10-D11)*D9)*NORMSDIST(D16)-NORMSDIST(D17)</f>
        <v>4.8799043540059706E-2</v>
      </c>
      <c r="E19" s="110">
        <f t="shared" si="4"/>
        <v>6.8461830860529038E-2</v>
      </c>
      <c r="F19" s="111">
        <f>EXP((F10-F11)*F9)*NORMSDIST(F16)-NORMSDIST(F17)</f>
        <v>0.10018960628666529</v>
      </c>
    </row>
    <row r="20" spans="2:8" s="34" customFormat="1" ht="12.75" customHeight="1" x14ac:dyDescent="0.2"/>
    <row r="21" spans="2:8" s="34" customFormat="1" ht="12.75" customHeight="1" x14ac:dyDescent="0.2">
      <c r="B21" s="92" t="s">
        <v>63</v>
      </c>
      <c r="C21" s="93"/>
      <c r="D21" s="94"/>
      <c r="E21" s="94"/>
      <c r="F21" s="94"/>
    </row>
    <row r="22" spans="2:8" s="34" customFormat="1" ht="12.75" customHeight="1" x14ac:dyDescent="0.2"/>
    <row r="23" spans="2:8" s="34" customFormat="1" ht="12.75" customHeight="1" x14ac:dyDescent="0.2">
      <c r="B23" s="96" t="s">
        <v>64</v>
      </c>
      <c r="C23" s="48"/>
      <c r="D23" s="112">
        <v>1</v>
      </c>
      <c r="E23" s="112">
        <v>1</v>
      </c>
      <c r="F23" s="113">
        <v>1</v>
      </c>
    </row>
    <row r="24" spans="2:8" s="34" customFormat="1" ht="12.75" customHeight="1" x14ac:dyDescent="0.2">
      <c r="B24" s="77" t="s">
        <v>65</v>
      </c>
      <c r="D24" s="114">
        <v>1</v>
      </c>
      <c r="E24" s="114">
        <v>1</v>
      </c>
      <c r="F24" s="115">
        <v>1</v>
      </c>
    </row>
    <row r="25" spans="2:8" s="34" customFormat="1" ht="12.75" customHeight="1" x14ac:dyDescent="0.2">
      <c r="B25" s="77" t="s">
        <v>66</v>
      </c>
      <c r="D25" s="106">
        <f t="shared" ref="D25:E26" si="5">D9</f>
        <v>0.75</v>
      </c>
      <c r="E25" s="106">
        <f t="shared" si="5"/>
        <v>1.25</v>
      </c>
      <c r="F25" s="107">
        <f>F9</f>
        <v>1.75</v>
      </c>
      <c r="H25" s="117"/>
    </row>
    <row r="26" spans="2:8" s="34" customFormat="1" ht="12.75" customHeight="1" x14ac:dyDescent="0.2">
      <c r="B26" s="77" t="s">
        <v>56</v>
      </c>
      <c r="D26" s="118">
        <f t="shared" si="5"/>
        <v>2.5950000000000001E-2</v>
      </c>
      <c r="E26" s="118">
        <f t="shared" si="5"/>
        <v>2.5925E-2</v>
      </c>
      <c r="F26" s="119">
        <f>F10</f>
        <v>2.5174999999999999E-2</v>
      </c>
      <c r="H26" s="100" t="str">
        <f>H10</f>
        <v>Workpaper 9</v>
      </c>
    </row>
    <row r="27" spans="2:8" s="34" customFormat="1" ht="12.75" customHeight="1" x14ac:dyDescent="0.2">
      <c r="B27" s="77" t="s">
        <v>58</v>
      </c>
      <c r="D27" s="120">
        <f t="shared" ref="D27:E27" si="6">D12</f>
        <v>0.19</v>
      </c>
      <c r="E27" s="120">
        <f t="shared" si="6"/>
        <v>0.193</v>
      </c>
      <c r="F27" s="121">
        <f>F12</f>
        <v>0.245</v>
      </c>
      <c r="H27" s="100" t="str">
        <f>H12</f>
        <v>(2)</v>
      </c>
    </row>
    <row r="28" spans="2:8" s="34" customFormat="1" ht="12.75" customHeight="1" x14ac:dyDescent="0.2">
      <c r="B28" s="77"/>
      <c r="F28" s="78"/>
    </row>
    <row r="29" spans="2:8" s="34" customFormat="1" ht="12.75" customHeight="1" x14ac:dyDescent="0.2">
      <c r="B29" s="77" t="s">
        <v>67</v>
      </c>
      <c r="D29" s="106">
        <f t="shared" ref="D29:E29" si="7">(LN(D23/D24)+(D26+D27^2/2)*D25)/(D27*SQRT(D25))</f>
        <v>0.20055325140271213</v>
      </c>
      <c r="E29" s="106">
        <f t="shared" si="7"/>
        <v>0.2580717885068054</v>
      </c>
      <c r="F29" s="107">
        <f>(LN(F23/F24)+(F26+F27^2/2)*F25)/(F27*SQRT(F25))</f>
        <v>0.29798449077423894</v>
      </c>
    </row>
    <row r="30" spans="2:8" s="34" customFormat="1" ht="12.75" customHeight="1" x14ac:dyDescent="0.2">
      <c r="B30" s="77" t="s">
        <v>68</v>
      </c>
      <c r="D30" s="106">
        <f t="shared" ref="D30:E30" si="8">D29-D27*SQRT(D25)</f>
        <v>3.6008424683668799E-2</v>
      </c>
      <c r="E30" s="106">
        <f t="shared" si="8"/>
        <v>4.2291228678075665E-2</v>
      </c>
      <c r="F30" s="107">
        <f>F29-F27*SQRT(F25)</f>
        <v>-2.6120044831173417E-2</v>
      </c>
    </row>
    <row r="31" spans="2:8" s="34" customFormat="1" ht="12.75" customHeight="1" x14ac:dyDescent="0.2">
      <c r="B31" s="77"/>
      <c r="F31" s="78"/>
    </row>
    <row r="32" spans="2:8" s="34" customFormat="1" ht="12.75" customHeight="1" x14ac:dyDescent="0.2">
      <c r="B32" s="88" t="s">
        <v>62</v>
      </c>
      <c r="C32" s="122"/>
      <c r="D32" s="110">
        <f t="shared" ref="D32:E32" si="9">D24*EXP(-D26*D25)*NORMSDIST(-D30)-D23*NORMSDIST(-D29)</f>
        <v>5.5753520285895974E-2</v>
      </c>
      <c r="E32" s="110">
        <f t="shared" si="9"/>
        <v>6.9551945952833649E-2</v>
      </c>
      <c r="F32" s="111">
        <f>F24*EXP(-F26*F25)*NORMSDIST(-F30)-F23*NORMSDIST(-F29)</f>
        <v>0.10556270384554572</v>
      </c>
    </row>
    <row r="33" spans="2:8" s="34" customFormat="1" ht="12.75" customHeight="1" x14ac:dyDescent="0.2"/>
    <row r="34" spans="2:8" s="34" customFormat="1" ht="12.75" customHeight="1" x14ac:dyDescent="0.2">
      <c r="B34" s="92" t="s">
        <v>69</v>
      </c>
      <c r="C34" s="93"/>
      <c r="D34" s="94"/>
      <c r="E34" s="94"/>
      <c r="F34" s="94"/>
      <c r="H34" s="95" t="s">
        <v>9</v>
      </c>
    </row>
    <row r="35" spans="2:8" s="34" customFormat="1" ht="12.75" customHeight="1" x14ac:dyDescent="0.2"/>
    <row r="36" spans="2:8" s="34" customFormat="1" ht="12.75" customHeight="1" x14ac:dyDescent="0.2">
      <c r="B36" s="96" t="s">
        <v>66</v>
      </c>
      <c r="C36" s="48"/>
      <c r="D36" s="398">
        <f t="shared" ref="D36:E36" si="10">+D25</f>
        <v>0.75</v>
      </c>
      <c r="E36" s="398">
        <f t="shared" si="10"/>
        <v>1.25</v>
      </c>
      <c r="F36" s="399">
        <f>+F25</f>
        <v>1.75</v>
      </c>
      <c r="H36" s="117"/>
    </row>
    <row r="37" spans="2:8" s="34" customFormat="1" ht="12.75" customHeight="1" x14ac:dyDescent="0.2">
      <c r="B37" s="77" t="s">
        <v>64</v>
      </c>
      <c r="D37" s="114">
        <f t="shared" ref="D37:E38" si="11">+D23</f>
        <v>1</v>
      </c>
      <c r="E37" s="114">
        <f t="shared" si="11"/>
        <v>1</v>
      </c>
      <c r="F37" s="115">
        <f>+F23</f>
        <v>1</v>
      </c>
    </row>
    <row r="38" spans="2:8" s="34" customFormat="1" ht="12.75" customHeight="1" x14ac:dyDescent="0.2">
      <c r="B38" s="77" t="s">
        <v>65</v>
      </c>
      <c r="D38" s="114">
        <f t="shared" si="11"/>
        <v>1</v>
      </c>
      <c r="E38" s="114">
        <f t="shared" si="11"/>
        <v>1</v>
      </c>
      <c r="F38" s="115">
        <f>+F24</f>
        <v>1</v>
      </c>
    </row>
    <row r="39" spans="2:8" s="34" customFormat="1" ht="12.75" customHeight="1" x14ac:dyDescent="0.2">
      <c r="B39" s="77" t="s">
        <v>57</v>
      </c>
      <c r="D39" s="118">
        <f t="shared" ref="D39:E40" si="12">+D11</f>
        <v>0</v>
      </c>
      <c r="E39" s="118">
        <f t="shared" si="12"/>
        <v>0</v>
      </c>
      <c r="F39" s="119">
        <f>+F11</f>
        <v>0</v>
      </c>
    </row>
    <row r="40" spans="2:8" s="34" customFormat="1" ht="12.75" customHeight="1" x14ac:dyDescent="0.2">
      <c r="B40" s="77" t="s">
        <v>58</v>
      </c>
      <c r="D40" s="120">
        <f t="shared" si="12"/>
        <v>0.19</v>
      </c>
      <c r="E40" s="120">
        <f t="shared" si="12"/>
        <v>0.193</v>
      </c>
      <c r="F40" s="121">
        <f>+F12</f>
        <v>0.245</v>
      </c>
      <c r="H40" s="100" t="str">
        <f>H27</f>
        <v>(2)</v>
      </c>
    </row>
    <row r="41" spans="2:8" s="34" customFormat="1" ht="12.75" customHeight="1" x14ac:dyDescent="0.2">
      <c r="B41" s="77"/>
      <c r="F41" s="78"/>
    </row>
    <row r="42" spans="2:8" s="34" customFormat="1" ht="12.75" customHeight="1" x14ac:dyDescent="0.2">
      <c r="B42" s="77" t="s">
        <v>70</v>
      </c>
      <c r="D42" s="106">
        <f t="shared" ref="D42:E42" si="13">LN(2*(EXP((D40^2)*D36)-((D40^2)*D36)-1))-2*(LN((D40^2)*D36))</f>
        <v>9.0453871180313783E-3</v>
      </c>
      <c r="E42" s="106">
        <f t="shared" si="13"/>
        <v>1.5580761754405259E-2</v>
      </c>
      <c r="F42" s="107">
        <f>LN(2*(EXP((F40^2)*F36)-((F40^2)*F36)-1))-2*(LN((F40^2)*F36))</f>
        <v>3.5322509966108306E-2</v>
      </c>
    </row>
    <row r="43" spans="2:8" s="34" customFormat="1" ht="12.75" customHeight="1" x14ac:dyDescent="0.2">
      <c r="B43" s="77" t="s">
        <v>71</v>
      </c>
      <c r="D43" s="106">
        <f t="shared" ref="D43:E43" si="14">SQRT(D42)</f>
        <v>9.5107240092599563E-2</v>
      </c>
      <c r="E43" s="106">
        <f t="shared" si="14"/>
        <v>0.12482292159056869</v>
      </c>
      <c r="F43" s="107">
        <f>SQRT(F42)</f>
        <v>0.18794283696408412</v>
      </c>
    </row>
    <row r="44" spans="2:8" s="34" customFormat="1" ht="12.75" customHeight="1" x14ac:dyDescent="0.2">
      <c r="B44" s="77"/>
      <c r="F44" s="78"/>
    </row>
    <row r="45" spans="2:8" s="34" customFormat="1" ht="12.75" customHeight="1" x14ac:dyDescent="0.2">
      <c r="B45" s="88" t="s">
        <v>62</v>
      </c>
      <c r="C45" s="122"/>
      <c r="D45" s="110">
        <f t="shared" ref="D45:E45" si="15">EXP(-D39*D36)*D38*(2*NORMSDIST(D43/2)-1)</f>
        <v>3.7928003978516589E-2</v>
      </c>
      <c r="E45" s="110">
        <f t="shared" si="15"/>
        <v>4.9764831641070817E-2</v>
      </c>
      <c r="F45" s="111">
        <f>EXP(-F39*F36)*F38*(2*NORMSDIST(F43/2)-1)</f>
        <v>7.4868139009369727E-2</v>
      </c>
    </row>
    <row r="46" spans="2:8" s="34" customFormat="1" ht="12.75" customHeight="1" x14ac:dyDescent="0.2">
      <c r="D46" s="120"/>
      <c r="E46" s="120"/>
      <c r="F46" s="120"/>
    </row>
    <row r="47" spans="2:8" s="34" customFormat="1" ht="12.75" customHeight="1" x14ac:dyDescent="0.2">
      <c r="D47" s="120"/>
      <c r="E47" s="120"/>
      <c r="F47" s="120"/>
    </row>
    <row r="48" spans="2:8" s="34" customFormat="1" ht="12.75" customHeight="1" x14ac:dyDescent="0.2">
      <c r="B48" s="123" t="s">
        <v>72</v>
      </c>
      <c r="C48" s="124"/>
      <c r="D48" s="125">
        <f t="shared" ref="D48:E48" si="16">AVERAGE(D19,D32,D45)</f>
        <v>4.7493522601490756E-2</v>
      </c>
      <c r="E48" s="125">
        <f t="shared" si="16"/>
        <v>6.2592869484811173E-2</v>
      </c>
      <c r="F48" s="126">
        <f>AVERAGE(F19,F32,F45)</f>
        <v>9.3540149713860252E-2</v>
      </c>
      <c r="H48" s="120"/>
    </row>
    <row r="49" spans="1:8" s="34" customFormat="1" ht="12.75" customHeight="1" x14ac:dyDescent="0.2">
      <c r="H49" s="118"/>
    </row>
    <row r="50" spans="1:8" s="34" customFormat="1" ht="12.75" customHeight="1" x14ac:dyDescent="0.2">
      <c r="B50" s="127" t="s">
        <v>73</v>
      </c>
    </row>
    <row r="51" spans="1:8" s="34" customFormat="1" ht="29.1" customHeight="1" x14ac:dyDescent="0.2">
      <c r="A51" s="128" t="s">
        <v>55</v>
      </c>
      <c r="B51" s="404" t="str">
        <f>"Based on discussions with Management, we assumed the term to liquidate an interest in the entity to range from approximately " &amp;TEXT(D9,"0.0") &amp;" to "&amp;TEXT(F9,"0.0")&amp; " years. Management represented the ability to reasonably quickly identify interested parties and consummate transactions."</f>
        <v>Based on discussions with Management, we assumed the term to liquidate an interest in the entity to range from approximately 0.8 to 1.8 years. Management represented the ability to reasonably quickly identify interested parties and consummate transactions.</v>
      </c>
      <c r="C51" s="404"/>
      <c r="D51" s="404"/>
      <c r="E51" s="404"/>
      <c r="F51" s="404"/>
      <c r="G51" s="404"/>
      <c r="H51" s="404"/>
    </row>
    <row r="52" spans="1:8" s="34" customFormat="1" x14ac:dyDescent="0.2">
      <c r="A52" s="128" t="s">
        <v>59</v>
      </c>
      <c r="B52" s="404" t="str">
        <f>"Refer to "&amp;'Asset Vol_2'!B3&amp;" through "&amp;'Asset Vol_4'!B3&amp;"."</f>
        <v>Refer to Workpaper 5 through Workpaper 7.</v>
      </c>
      <c r="C52" s="404"/>
      <c r="D52" s="404"/>
      <c r="E52" s="404"/>
      <c r="F52" s="404"/>
      <c r="G52" s="404"/>
      <c r="H52" s="404"/>
    </row>
    <row r="53" spans="1:8" ht="12.75" customHeight="1" x14ac:dyDescent="0.2">
      <c r="A53" s="128" t="s">
        <v>74</v>
      </c>
      <c r="B53" s="404" t="s">
        <v>280</v>
      </c>
      <c r="C53" s="404"/>
      <c r="D53" s="404"/>
      <c r="E53" s="404"/>
      <c r="F53" s="404"/>
      <c r="G53" s="404"/>
      <c r="H53" s="404"/>
    </row>
    <row r="54" spans="1:8" ht="12.75" customHeight="1" x14ac:dyDescent="0.2"/>
  </sheetData>
  <mergeCells count="3">
    <mergeCell ref="B51:H51"/>
    <mergeCell ref="B52:H52"/>
    <mergeCell ref="B53:H53"/>
  </mergeCells>
  <conditionalFormatting sqref="B4:H4">
    <cfRule type="cellIs" dxfId="29" priority="1" stopIfTrue="1" operator="equal">
      <formula>"input"</formula>
    </cfRule>
  </conditionalFormatting>
  <pageMargins left="0.5" right="0.5" top="0.5" bottom="0.5" header="0.5" footer="0.5"/>
  <pageSetup scale="95" fitToHeight="0" orientation="landscape" r:id="rId1"/>
  <rowBreaks count="1" manualBreakCount="1">
    <brk id="32" max="8"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1"/>
  <sheetViews>
    <sheetView showGridLines="0" view="pageBreakPreview" zoomScaleNormal="100" zoomScaleSheetLayoutView="100" workbookViewId="0">
      <selection activeCell="G21" sqref="G21"/>
    </sheetView>
  </sheetViews>
  <sheetFormatPr defaultColWidth="9.140625" defaultRowHeight="12.75" x14ac:dyDescent="0.2"/>
  <cols>
    <col min="1" max="1" width="2.7109375" style="54" customWidth="1"/>
    <col min="2" max="2" width="28" style="54" customWidth="1"/>
    <col min="3" max="3" width="10.7109375" style="54" customWidth="1"/>
    <col min="4" max="4" width="9.85546875" style="54" customWidth="1"/>
    <col min="5" max="5" width="10.7109375" style="54" customWidth="1"/>
    <col min="6" max="6" width="2.7109375" style="54" customWidth="1"/>
    <col min="7" max="7" width="28" style="54" customWidth="1"/>
    <col min="8" max="8" width="9.85546875" style="54" customWidth="1"/>
    <col min="9" max="10" width="10.7109375" style="54" customWidth="1"/>
    <col min="11" max="11" width="2.7109375" style="54" customWidth="1"/>
    <col min="12" max="16384" width="9.140625" style="54"/>
  </cols>
  <sheetData>
    <row r="1" spans="2:10" s="34" customFormat="1" ht="10.7" customHeight="1" thickBot="1" x14ac:dyDescent="0.25"/>
    <row r="2" spans="2:10" s="34" customFormat="1" ht="16.5" customHeight="1" thickTop="1" x14ac:dyDescent="0.25">
      <c r="B2" s="35" t="str">
        <f>Outline!B2</f>
        <v>Satellite Healthcare - Wellbound Santa Cruz</v>
      </c>
      <c r="C2" s="35"/>
      <c r="D2" s="35"/>
      <c r="E2" s="35"/>
      <c r="F2" s="35"/>
      <c r="G2" s="35"/>
      <c r="H2" s="35"/>
      <c r="I2" s="35"/>
      <c r="J2" s="35"/>
    </row>
    <row r="3" spans="2:10" s="34" customFormat="1" ht="15.75" customHeight="1" x14ac:dyDescent="0.25">
      <c r="B3" s="36" t="str">
        <f>Outline!C12</f>
        <v>Workpaper 4</v>
      </c>
      <c r="C3" s="36"/>
      <c r="D3" s="36"/>
      <c r="E3" s="36"/>
      <c r="F3" s="36"/>
      <c r="G3" s="36"/>
      <c r="H3" s="36"/>
      <c r="I3" s="36"/>
      <c r="J3" s="36"/>
    </row>
    <row r="4" spans="2:10" s="34" customFormat="1" ht="16.5" customHeight="1" thickBot="1" x14ac:dyDescent="0.3">
      <c r="B4" s="37" t="s">
        <v>75</v>
      </c>
      <c r="C4" s="37"/>
      <c r="D4" s="37"/>
      <c r="E4" s="37"/>
      <c r="F4" s="37"/>
      <c r="G4" s="37"/>
      <c r="H4" s="37"/>
      <c r="I4" s="37"/>
      <c r="J4" s="37"/>
    </row>
    <row r="5" spans="2:10" s="34" customFormat="1" ht="12.75" customHeight="1" thickTop="1" x14ac:dyDescent="0.2"/>
    <row r="6" spans="2:10" s="34" customFormat="1" ht="12.75" customHeight="1" x14ac:dyDescent="0.2"/>
    <row r="7" spans="2:10" s="34" customFormat="1" ht="12.75" customHeight="1" x14ac:dyDescent="0.2">
      <c r="B7" s="129" t="s">
        <v>75</v>
      </c>
      <c r="C7" s="130"/>
      <c r="D7" s="130"/>
      <c r="E7" s="130"/>
      <c r="F7" s="130"/>
      <c r="G7" s="130"/>
      <c r="H7" s="130"/>
      <c r="I7" s="130"/>
      <c r="J7" s="131"/>
    </row>
    <row r="8" spans="2:10" s="34" customFormat="1" ht="12.75" customHeight="1" x14ac:dyDescent="0.2">
      <c r="B8" s="58" t="s">
        <v>76</v>
      </c>
      <c r="C8" s="61"/>
      <c r="D8" s="132"/>
      <c r="E8" s="61" t="s">
        <v>77</v>
      </c>
      <c r="F8" s="132"/>
      <c r="G8" s="132" t="s">
        <v>76</v>
      </c>
      <c r="H8" s="61"/>
      <c r="I8" s="132"/>
      <c r="J8" s="133" t="s">
        <v>77</v>
      </c>
    </row>
    <row r="9" spans="2:10" s="34" customFormat="1" ht="12.75" customHeight="1" x14ac:dyDescent="0.2">
      <c r="B9" s="134" t="s">
        <v>78</v>
      </c>
      <c r="G9" s="39" t="s">
        <v>79</v>
      </c>
      <c r="J9" s="78"/>
    </row>
    <row r="10" spans="2:10" s="34" customFormat="1" ht="12.75" customHeight="1" x14ac:dyDescent="0.2">
      <c r="B10" s="77" t="s">
        <v>80</v>
      </c>
      <c r="C10" s="44"/>
      <c r="D10" s="44"/>
      <c r="E10" s="135">
        <v>0.25800000000000001</v>
      </c>
      <c r="G10" s="34" t="s">
        <v>81</v>
      </c>
      <c r="J10" s="136">
        <v>0.221</v>
      </c>
    </row>
    <row r="11" spans="2:10" s="34" customFormat="1" ht="12.75" customHeight="1" x14ac:dyDescent="0.2">
      <c r="B11" s="77" t="s">
        <v>82</v>
      </c>
      <c r="C11" s="47"/>
      <c r="D11" s="47"/>
      <c r="E11" s="135">
        <v>0.33</v>
      </c>
      <c r="G11" s="34" t="s">
        <v>83</v>
      </c>
      <c r="J11" s="136">
        <v>0.27100000000000002</v>
      </c>
    </row>
    <row r="12" spans="2:10" s="34" customFormat="1" ht="12.75" customHeight="1" x14ac:dyDescent="0.2">
      <c r="B12" s="77" t="s">
        <v>84</v>
      </c>
      <c r="C12" s="47"/>
      <c r="D12" s="47"/>
      <c r="E12" s="135">
        <v>0.33500000000000002</v>
      </c>
      <c r="G12" s="34" t="s">
        <v>85</v>
      </c>
      <c r="J12" s="136">
        <v>0.222</v>
      </c>
    </row>
    <row r="13" spans="2:10" s="34" customFormat="1" ht="12.75" customHeight="1" x14ac:dyDescent="0.2">
      <c r="B13" s="77" t="s">
        <v>86</v>
      </c>
      <c r="C13" s="47"/>
      <c r="D13" s="47"/>
      <c r="E13" s="135">
        <v>0.35</v>
      </c>
      <c r="G13" s="34" t="s">
        <v>87</v>
      </c>
      <c r="J13" s="136">
        <v>0.2</v>
      </c>
    </row>
    <row r="14" spans="2:10" s="34" customFormat="1" ht="12.75" customHeight="1" x14ac:dyDescent="0.2">
      <c r="B14" s="77" t="s">
        <v>88</v>
      </c>
      <c r="C14" s="137"/>
      <c r="D14" s="137"/>
      <c r="E14" s="135">
        <v>0.35399999999999998</v>
      </c>
      <c r="G14" s="34" t="s">
        <v>89</v>
      </c>
      <c r="J14" s="136">
        <v>0.21</v>
      </c>
    </row>
    <row r="15" spans="2:10" s="34" customFormat="1" ht="12.75" customHeight="1" x14ac:dyDescent="0.2">
      <c r="B15" s="77" t="s">
        <v>90</v>
      </c>
      <c r="C15" s="137"/>
      <c r="D15" s="137"/>
      <c r="E15" s="135">
        <v>0.45</v>
      </c>
      <c r="G15" s="34" t="s">
        <v>89</v>
      </c>
      <c r="J15" s="136">
        <v>0.13</v>
      </c>
    </row>
    <row r="16" spans="2:10" s="34" customFormat="1" ht="12.75" customHeight="1" x14ac:dyDescent="0.2">
      <c r="B16" s="77" t="s">
        <v>91</v>
      </c>
      <c r="C16" s="137"/>
      <c r="D16" s="137"/>
      <c r="E16" s="135">
        <v>0.33800000000000002</v>
      </c>
      <c r="J16" s="138"/>
    </row>
    <row r="17" spans="2:10" s="34" customFormat="1" ht="12.75" customHeight="1" x14ac:dyDescent="0.2">
      <c r="B17" s="77" t="s">
        <v>92</v>
      </c>
      <c r="C17" s="137"/>
      <c r="D17" s="137"/>
      <c r="E17" s="139">
        <v>0.312</v>
      </c>
      <c r="J17" s="140"/>
    </row>
    <row r="18" spans="2:10" s="34" customFormat="1" ht="12.75" customHeight="1" thickBot="1" x14ac:dyDescent="0.25">
      <c r="B18" s="84" t="s">
        <v>93</v>
      </c>
      <c r="E18" s="141">
        <v>0.34100000000000003</v>
      </c>
      <c r="G18" s="142" t="s">
        <v>94</v>
      </c>
      <c r="J18" s="143">
        <v>0.20899999999999999</v>
      </c>
    </row>
    <row r="19" spans="2:10" s="34" customFormat="1" ht="12.75" customHeight="1" thickTop="1" x14ac:dyDescent="0.2">
      <c r="B19" s="82"/>
      <c r="C19" s="122"/>
      <c r="D19" s="122"/>
      <c r="E19" s="122"/>
      <c r="F19" s="122"/>
      <c r="G19" s="122"/>
      <c r="H19" s="122"/>
      <c r="I19" s="122"/>
      <c r="J19" s="83"/>
    </row>
    <row r="20" spans="2:10" s="34" customFormat="1" ht="12.75" customHeight="1" x14ac:dyDescent="0.2"/>
    <row r="21" spans="2:10" s="34" customFormat="1" ht="12.75" customHeight="1" x14ac:dyDescent="0.2"/>
  </sheetData>
  <conditionalFormatting sqref="B4:J4">
    <cfRule type="cellIs" dxfId="28" priority="1" stopIfTrue="1" operator="equal">
      <formula>"input"</formula>
    </cfRule>
  </conditionalFormatting>
  <pageMargins left="0.5" right="0.5" top="0.5" bottom="0.5" header="0.5" footer="0.5"/>
  <pageSetup fitToWidth="0" fitToHeight="0" orientation="landscape" r:id="rId1"/>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2"/>
  <sheetViews>
    <sheetView showGridLines="0" view="pageBreakPreview" topLeftCell="A11" zoomScaleNormal="100" zoomScaleSheetLayoutView="100" workbookViewId="0">
      <selection activeCell="G21" sqref="G21"/>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26">
        <v>43465</v>
      </c>
    </row>
    <row r="3" spans="2:35" s="34" customFormat="1" ht="15.75" customHeight="1" x14ac:dyDescent="0.25">
      <c r="B3" s="36" t="str">
        <f>Outline!C13</f>
        <v>Workpaper 5</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0.75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Methods'!D9</f>
        <v>0.75</v>
      </c>
      <c r="O7" s="98">
        <f>'Risk-Free Rates'!F28</f>
        <v>2.5950000000000001E-2</v>
      </c>
      <c r="P7" s="103"/>
      <c r="Q7" s="146">
        <f>ROUND(N7,0)</f>
        <v>1</v>
      </c>
    </row>
    <row r="8" spans="2:35" s="34" customFormat="1" ht="25.5" customHeight="1" collapsed="1" x14ac:dyDescent="0.2">
      <c r="D8" s="92" t="s">
        <v>105</v>
      </c>
      <c r="E8" s="93"/>
      <c r="F8" s="93"/>
      <c r="G8" s="93"/>
      <c r="H8" s="93"/>
      <c r="I8" s="93"/>
      <c r="J8" s="93"/>
      <c r="K8" s="94"/>
      <c r="M8" s="92" t="s">
        <v>106</v>
      </c>
      <c r="N8" s="93"/>
      <c r="O8" s="93"/>
      <c r="P8" s="147"/>
      <c r="Q8" s="94"/>
      <c r="S8" s="92" t="s">
        <v>107</v>
      </c>
      <c r="T8" s="93"/>
      <c r="U8" s="93"/>
      <c r="V8" s="93"/>
      <c r="W8" s="93"/>
      <c r="X8" s="386" t="s">
        <v>107</v>
      </c>
      <c r="Y8" s="94"/>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0.75</v>
      </c>
      <c r="O11" s="165">
        <f t="shared" si="0"/>
        <v>2.5950000000000001E-2</v>
      </c>
      <c r="P11" s="166"/>
      <c r="Q11" s="167">
        <f>IFERROR(HLOOKUP($Q$7,'Equity Vol'!$B$8:$K10,ROWS('Equity Vol'!$C$8:$C10),FALSE),"n/a")</f>
        <v>0.37049945727814049</v>
      </c>
      <c r="R11" s="103"/>
      <c r="S11" s="168">
        <f>IFERROR(IF(Q11="n/a","n/a",Q11^2),"n/a")</f>
        <v>0.13726984784339666</v>
      </c>
      <c r="T11" s="168">
        <f>IF(OR(K11="n/a",S11="n/a"),"n/a",IF(H11=0,0,IF(M11=0,(LN(K11/H11)+((O11+(S11/2))*N11))/((S11*N11)^0.5),(LN(K11/H11)+((O11-M11+(S11/2))*N11))/((S11*N11)^0.5))))</f>
        <v>1.8726087756245311</v>
      </c>
      <c r="U11" s="169">
        <f>IF(T11="n/a","n/a",IF(H11=0,0,T11-(S11*N11)^0.5))</f>
        <v>1.551746833533314</v>
      </c>
      <c r="V11" s="169">
        <f>IF(OR(T11="n/a",S11="n/a"),"n/a",IF(H11=0,0,NORMSDIST(T11)))</f>
        <v>0.96943878568640163</v>
      </c>
      <c r="W11" s="169">
        <f>IF(OR(U11="n/a",S11="n/a"),"n/a",IF(H11=0,0,NORMSDIST(U11)))</f>
        <v>0.93963859409019523</v>
      </c>
      <c r="X11" s="170">
        <f>IF(OR(K11="n/a",S11="n/a"),"n/a",IF(M11=0,(K11*V11)-((H11*EXP(1)^(-O11*N11))*W11),(K11*(2.718^(-M11*N11))*V11)-(H11*(2.718^(-O11*N11))*W11)))</f>
        <v>23716.884509553405</v>
      </c>
      <c r="Y11" s="171">
        <f>IFERROR(IF(LEN(B11)&gt;0,IF(H11=0,Q11,IF(ISERROR(Q11/((K11/X11)*V11)),"n/a",Q11/((K11/X11)*V11)))),"n/a")</f>
        <v>0.16102119920376307</v>
      </c>
      <c r="AA11" s="325" t="s">
        <v>260</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0.75</v>
      </c>
      <c r="O12" s="165">
        <f t="shared" si="0"/>
        <v>2.5950000000000001E-2</v>
      </c>
      <c r="P12" s="166"/>
      <c r="Q12" s="167">
        <f>IFERROR(HLOOKUP($Q$7,'Equity Vol'!$B$8:$K11,ROWS('Equity Vol'!$C$8:$C11),FALSE),"n/a")</f>
        <v>0.3288738213084566</v>
      </c>
      <c r="R12" s="103"/>
      <c r="S12" s="168">
        <f>IFERROR(IF(Q12="n/a","n/a",Q12^2),"n/a")</f>
        <v>0.10815799034202664</v>
      </c>
      <c r="T12" s="168">
        <f>IF(OR(K12="n/a",S12="n/a"),"n/a",IF(H12=0,0,IF(M12=0,(LN(K12/H12)+((O12+(S12/2))*N12))/((S12*N12)^0.5),(LN(K12/H12)+((O12-M12+(S12/2))*N12))/((S12*N12)^0.5))))</f>
        <v>3.7729782335393471</v>
      </c>
      <c r="U12" s="169">
        <f>IF(T12="n/a","n/a",IF(H12=0,0,T12-(S12*N12)^0.5))</f>
        <v>3.4881651496465595</v>
      </c>
      <c r="V12" s="169">
        <f>IF(OR(T12="n/a",S12="n/a"),"n/a",IF(H12=0,0,NORMSDIST(T12)))</f>
        <v>0.99991934481705291</v>
      </c>
      <c r="W12" s="169">
        <f>IF(OR(U12="n/a",S12="n/a"),"n/a",IF(H12=0,0,NORMSDIST(U12)))</f>
        <v>0.99975682621176554</v>
      </c>
      <c r="X12" s="170">
        <f>IF(OR(K12="n/a",S12="n/a"),"n/a",IF(M12=0,(K12*V12)-((H12*EXP(1)^(-O12*N12))*W12),(K12*(2.718^(-M12*N12))*V12)-(H12*(2.718^(-O12*N12))*W12)))</f>
        <v>17552.568237857216</v>
      </c>
      <c r="Y12" s="171">
        <f>IFERROR(IF(LEN(B12)&gt;0,IF(H12=0,Q12,IF(ISERROR(Q12/((K12/X12)*V12)),"n/a",Q12/((K12/X12)*V12)))),"n/a")</f>
        <v>0.20900142071500027</v>
      </c>
      <c r="AA12" s="325" t="s">
        <v>264</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0.75</v>
      </c>
      <c r="O13" s="165">
        <f t="shared" si="0"/>
        <v>2.5950000000000001E-2</v>
      </c>
      <c r="P13" s="166"/>
      <c r="Q13" s="167">
        <f>IFERROR(HLOOKUP($Q$7,'Equity Vol'!$B$8:$K12,ROWS('Equity Vol'!$C$8:$C12),FALSE),"n/a")</f>
        <v>0.30365987198958466</v>
      </c>
      <c r="R13" s="103"/>
      <c r="S13" s="168">
        <f>IFERROR(IF(Q13="n/a","n/a",Q13^2),"n/a")</f>
        <v>9.2209317856730949E-2</v>
      </c>
      <c r="T13" s="168">
        <f>IF(OR(K13="n/a",S13="n/a"),"n/a",IF(H13=0,0,IF(M13=0,(LN(K13/H13)+((O13+(S13/2))*N13))/((S13*N13)^0.5),(LN(K13/H13)+((O13-M13+(S13/2))*N13))/((S13*N13)^0.5))))</f>
        <v>2.231625724203695</v>
      </c>
      <c r="U13" s="169">
        <f>IF(T13="n/a","n/a",IF(H13=0,0,T13-(S13*N13)^0.5))</f>
        <v>1.968648560950784</v>
      </c>
      <c r="V13" s="169">
        <f>IF(OR(T13="n/a",S13="n/a"),"n/a",IF(H13=0,0,NORMSDIST(T13)))</f>
        <v>0.98718014499610052</v>
      </c>
      <c r="W13" s="169">
        <f>IF(OR(U13="n/a",S13="n/a"),"n/a",IF(H13=0,0,NORMSDIST(U13)))</f>
        <v>0.97550326898479767</v>
      </c>
      <c r="X13" s="170">
        <f>IF(OR(K13="n/a",S13="n/a"),"n/a",IF(M13=0,(K13*V13)-((H13*EXP(1)^(-O13*N13))*W13),(K13*(2.718^(-M13*N13))*V13)-(H13*(2.718^(-O13*N13))*W13)))</f>
        <v>8335.2403855627526</v>
      </c>
      <c r="Y13" s="171">
        <f>IFERROR(IF(LEN(B13)&gt;0,IF(H13=0,Q13,IF(ISERROR(Q13/((K13/X13)*V13)),"n/a",Q13/((K13/X13)*V13)))),"n/a")</f>
        <v>0.13093135510662715</v>
      </c>
      <c r="AA13" s="325" t="s">
        <v>261</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0.75</v>
      </c>
      <c r="O14" s="165">
        <f t="shared" si="0"/>
        <v>2.5950000000000001E-2</v>
      </c>
      <c r="P14" s="166"/>
      <c r="Q14" s="167">
        <f>IFERROR(HLOOKUP($Q$7,'Equity Vol'!$B$8:$K13,ROWS('Equity Vol'!$C$8:$C13),FALSE),"n/a")</f>
        <v>0.15034732733466866</v>
      </c>
      <c r="R14" s="103"/>
      <c r="S14" s="168">
        <f>IFERROR(IF(Q14="n/a","n/a",Q14^2),"n/a")</f>
        <v>2.2604318836678006E-2</v>
      </c>
      <c r="T14" s="168">
        <f>IF(OR(K14="n/a",S14="n/a"),"n/a",IF(H14=0,0,IF(M14=0,(LN(K14/H14)+((O14+(S14/2))*N14))/((S14*N14)^0.5),(LN(K14/H14)+((O14-M14+(S14/2))*N14))/((S14*N14)^0.5))))</f>
        <v>37.8347425278019</v>
      </c>
      <c r="U14" s="169">
        <f>IF(T14="n/a","n/a",IF(H14=0,0,T14-(S14*N14)^0.5))</f>
        <v>37.704537922938982</v>
      </c>
      <c r="V14" s="169">
        <f>IF(OR(T14="n/a",S14="n/a"),"n/a",IF(H14=0,0,NORMSDIST(T14)))</f>
        <v>1</v>
      </c>
      <c r="W14" s="169">
        <f>IF(OR(U14="n/a",S14="n/a"),"n/a",IF(H14=0,0,NORMSDIST(U14)))</f>
        <v>1</v>
      </c>
      <c r="X14" s="170">
        <f>IF(OR(K14="n/a",S14="n/a"),"n/a",IF(M14=0,(K14*V14)-((H14*EXP(1)^(-O14*N14))*W14),(K14*(2.718^(-M14*N14))*V14)-(H14*(2.718^(-O14*N14))*W14)))</f>
        <v>1826.8364687044123</v>
      </c>
      <c r="Y14" s="171">
        <f>IFERROR(IF(LEN(B14)&gt;0,IF(H14=0,Q14,IF(ISERROR(Q14/((K14/X14)*V14)),"n/a",Q14/((K14/X14)*V14)))),"n/a")</f>
        <v>0.14924748476439742</v>
      </c>
      <c r="Z14" s="175"/>
      <c r="AA14" s="325" t="s">
        <v>265</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0.75</v>
      </c>
      <c r="O15" s="165">
        <f t="shared" si="0"/>
        <v>2.5950000000000001E-2</v>
      </c>
      <c r="P15" s="166"/>
      <c r="Q15" s="167">
        <f>IFERROR(HLOOKUP($Q$7,'Equity Vol'!$B$8:$K14,ROWS('Equity Vol'!$C$8:$C14),FALSE),"n/a")</f>
        <v>0.50552024995048173</v>
      </c>
      <c r="R15" s="103"/>
      <c r="S15" s="168">
        <f>IFERROR(IF(Q15="n/a","n/a",Q15^2),"n/a")</f>
        <v>0.25555072310999755</v>
      </c>
      <c r="T15" s="168">
        <f>IF(OR(K15="n/a",S15="n/a"),"n/a",IF(H15=0,0,IF(M15=0,(LN(K15/H15)+((O15+(S15/2))*N15))/((S15*N15)^0.5),(LN(K15/H15)+((O15-M15+(S15/2))*N15))/((S15*N15)^0.5))))</f>
        <v>0.96275927453166465</v>
      </c>
      <c r="U15" s="169">
        <f>IF(T15="n/a","n/a",IF(H15=0,0,T15-(S15*N15)^0.5))</f>
        <v>0.52496589594708842</v>
      </c>
      <c r="V15" s="169">
        <f>IF(OR(T15="n/a",S15="n/a"),"n/a",IF(H15=0,0,NORMSDIST(T15)))</f>
        <v>0.83216582864592614</v>
      </c>
      <c r="W15" s="169">
        <f>IF(OR(U15="n/a",S15="n/a"),"n/a",IF(H15=0,0,NORMSDIST(U15)))</f>
        <v>0.70019655042714857</v>
      </c>
      <c r="X15" s="170">
        <f>IF(OR(K15="n/a",S15="n/a"),"n/a",IF(M15=0,(K15*V15)-((H15*EXP(1)^(-O15*N15))*W15),(K15*(2.718^(-M15*N15))*V15)-(H15*(2.718^(-O15*N15))*W15)))</f>
        <v>385.94759050641244</v>
      </c>
      <c r="Y15" s="171">
        <f>IFERROR(IF(LEN(B15)&gt;0,IF(H15=0,Q15,IF(ISERROR(Q15/((K15/X15)*V15)),"n/a",Q15/((K15/X15)*V15)))),"n/a")</f>
        <v>0.19839386807254444</v>
      </c>
      <c r="Z15" s="175"/>
      <c r="AA15" s="325" t="s">
        <v>262</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0.75</v>
      </c>
      <c r="O25" s="179">
        <f>MAX(O11:O14)</f>
        <v>2.5950000000000001E-2</v>
      </c>
      <c r="P25" s="180"/>
      <c r="Q25" s="181">
        <f>MAX(Q11:Q14)</f>
        <v>0.37049945727814049</v>
      </c>
      <c r="R25" s="182"/>
      <c r="S25" s="183">
        <f t="shared" ref="S25:Y25" si="1">MAX(S11:S14)</f>
        <v>0.13726984784339666</v>
      </c>
      <c r="T25" s="183">
        <f t="shared" si="1"/>
        <v>37.8347425278019</v>
      </c>
      <c r="U25" s="184">
        <f t="shared" si="1"/>
        <v>37.704537922938982</v>
      </c>
      <c r="V25" s="184">
        <f t="shared" si="1"/>
        <v>1</v>
      </c>
      <c r="W25" s="184">
        <f t="shared" si="1"/>
        <v>1</v>
      </c>
      <c r="X25" s="185">
        <f t="shared" si="1"/>
        <v>23716.884509553405</v>
      </c>
      <c r="Y25" s="186">
        <f t="shared" si="1"/>
        <v>0.20900142071500027</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0.75</v>
      </c>
      <c r="O26" s="193">
        <f>MIN(O11:O14)</f>
        <v>2.5950000000000001E-2</v>
      </c>
      <c r="P26" s="194"/>
      <c r="Q26" s="195">
        <f>MIN(Q11:Q14)</f>
        <v>0.15034732733466866</v>
      </c>
      <c r="R26" s="196"/>
      <c r="S26" s="197">
        <f t="shared" ref="S26:Y26" si="2">MIN(S11:S14)</f>
        <v>2.2604318836678006E-2</v>
      </c>
      <c r="T26" s="197">
        <f t="shared" si="2"/>
        <v>1.8726087756245311</v>
      </c>
      <c r="U26" s="198">
        <f t="shared" si="2"/>
        <v>1.551746833533314</v>
      </c>
      <c r="V26" s="198">
        <f t="shared" si="2"/>
        <v>0.96943878568640163</v>
      </c>
      <c r="W26" s="198">
        <f t="shared" si="2"/>
        <v>0.93963859409019523</v>
      </c>
      <c r="X26" s="199">
        <f t="shared" si="2"/>
        <v>1826.8364687044123</v>
      </c>
      <c r="Y26" s="200">
        <f t="shared" si="2"/>
        <v>0.13093135510662715</v>
      </c>
      <c r="AB26" s="201">
        <f>Y33</f>
        <v>0.19</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0.75</v>
      </c>
      <c r="O27" s="193">
        <f>AVERAGE(O11:O14)</f>
        <v>2.5950000000000001E-2</v>
      </c>
      <c r="P27" s="194"/>
      <c r="Q27" s="195">
        <f>AVERAGE(Q11:Q14)</f>
        <v>0.28834511947771263</v>
      </c>
      <c r="R27" s="196"/>
      <c r="S27" s="197">
        <f t="shared" ref="S27:Y27" si="3">AVERAGE(S11:S14)</f>
        <v>9.0060368719708073E-2</v>
      </c>
      <c r="T27" s="197">
        <f t="shared" si="3"/>
        <v>11.427988815292368</v>
      </c>
      <c r="U27" s="198">
        <f t="shared" si="3"/>
        <v>11.178274616767411</v>
      </c>
      <c r="V27" s="198">
        <f t="shared" si="3"/>
        <v>0.98913456887488871</v>
      </c>
      <c r="W27" s="198">
        <f t="shared" si="3"/>
        <v>0.97872467232168958</v>
      </c>
      <c r="X27" s="199">
        <f t="shared" si="3"/>
        <v>12857.882400419447</v>
      </c>
      <c r="Y27" s="200">
        <f t="shared" si="3"/>
        <v>0.16255036494744698</v>
      </c>
      <c r="AB27" s="201">
        <f>Y31</f>
        <v>0.19</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0.75</v>
      </c>
      <c r="O28" s="193">
        <f>MEDIAN(O11:O14)</f>
        <v>2.5950000000000001E-2</v>
      </c>
      <c r="P28" s="194"/>
      <c r="Q28" s="195">
        <f>MEDIAN(Q11:Q14)</f>
        <v>0.31626684664902061</v>
      </c>
      <c r="R28" s="196"/>
      <c r="S28" s="197">
        <f t="shared" ref="S28:Y28" si="4">MEDIAN(S11:S14)</f>
        <v>0.10018365409937879</v>
      </c>
      <c r="T28" s="197">
        <f t="shared" si="4"/>
        <v>3.0023019788715208</v>
      </c>
      <c r="U28" s="198">
        <f t="shared" si="4"/>
        <v>2.7284068552986716</v>
      </c>
      <c r="V28" s="198">
        <f t="shared" si="4"/>
        <v>0.99354974490657666</v>
      </c>
      <c r="W28" s="198">
        <f t="shared" si="4"/>
        <v>0.98763004759828155</v>
      </c>
      <c r="X28" s="199">
        <f t="shared" si="4"/>
        <v>12943.904311709985</v>
      </c>
      <c r="Y28" s="200">
        <f t="shared" si="4"/>
        <v>0.15513434198408024</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0.75</v>
      </c>
      <c r="O29" s="193">
        <f>QUARTILE(O11:O14,1)</f>
        <v>2.5950000000000001E-2</v>
      </c>
      <c r="P29" s="194"/>
      <c r="Q29" s="195">
        <f>QUARTILE(Q11:Q14,1)</f>
        <v>0.26533173582585567</v>
      </c>
      <c r="R29" s="196"/>
      <c r="S29" s="197">
        <f t="shared" ref="S29:Y29" si="5">QUARTILE(S11:S14,1)</f>
        <v>7.4808068101717709E-2</v>
      </c>
      <c r="T29" s="197">
        <f t="shared" si="5"/>
        <v>2.141871487058904</v>
      </c>
      <c r="U29" s="198">
        <f t="shared" si="5"/>
        <v>1.8644231290964166</v>
      </c>
      <c r="V29" s="198">
        <f t="shared" si="5"/>
        <v>0.98274480516867579</v>
      </c>
      <c r="W29" s="198">
        <f t="shared" si="5"/>
        <v>0.96653710026114703</v>
      </c>
      <c r="X29" s="199">
        <f t="shared" si="5"/>
        <v>6708.1394063481675</v>
      </c>
      <c r="Y29" s="200">
        <f t="shared" si="5"/>
        <v>0.14466845234995485</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0.75</v>
      </c>
      <c r="O30" s="193">
        <f>QUARTILE(O11:O14,3)</f>
        <v>2.5950000000000001E-2</v>
      </c>
      <c r="P30" s="194"/>
      <c r="Q30" s="195">
        <f>QUARTILE(Q11:Q14,3)</f>
        <v>0.33928023030087756</v>
      </c>
      <c r="R30" s="196"/>
      <c r="S30" s="197">
        <f t="shared" ref="S30:Y30" si="6">QUARTILE(S11:S14,3)</f>
        <v>0.11543595471736914</v>
      </c>
      <c r="T30" s="197">
        <f t="shared" si="6"/>
        <v>12.288419307104984</v>
      </c>
      <c r="U30" s="198">
        <f t="shared" si="6"/>
        <v>12.042258342969664</v>
      </c>
      <c r="V30" s="198">
        <f t="shared" si="6"/>
        <v>0.99993950861278968</v>
      </c>
      <c r="W30" s="198">
        <f t="shared" si="6"/>
        <v>0.99981761965882421</v>
      </c>
      <c r="X30" s="199">
        <f t="shared" si="6"/>
        <v>19093.647305781262</v>
      </c>
      <c r="Y30" s="200">
        <f t="shared" si="6"/>
        <v>0.17301625458157238</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0.19</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1.4463100127818356</v>
      </c>
      <c r="L33" s="124"/>
      <c r="M33" s="224">
        <f>'DLOM_Quantitative Methods'!D11</f>
        <v>0</v>
      </c>
      <c r="N33" s="210">
        <f>N$7</f>
        <v>0.75</v>
      </c>
      <c r="O33" s="225">
        <f>O$7</f>
        <v>2.5950000000000001E-2</v>
      </c>
      <c r="P33" s="214"/>
      <c r="Q33" s="226">
        <v>0.19</v>
      </c>
      <c r="R33" s="124"/>
      <c r="S33" s="215">
        <f>IF(Q33="n/a","n/a",Q33^2)</f>
        <v>3.61E-2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0.19</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1.4463100127818356</v>
      </c>
      <c r="L35" s="124"/>
      <c r="M35" s="213">
        <f>M33</f>
        <v>0</v>
      </c>
      <c r="N35" s="210">
        <f>N$7</f>
        <v>0.75</v>
      </c>
      <c r="O35" s="225">
        <f>O$7</f>
        <v>2.5950000000000001E-2</v>
      </c>
      <c r="P35" s="214"/>
      <c r="Q35" s="226">
        <v>0.245</v>
      </c>
      <c r="R35" s="124"/>
      <c r="S35" s="215">
        <f>IF(Q35="n/a","n/a",Q35^2)</f>
        <v>6.0024999999999995E-2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0.245</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400" t="s">
        <v>133</v>
      </c>
      <c r="C38" s="400"/>
      <c r="D38" s="400"/>
      <c r="E38" s="400"/>
      <c r="F38" s="400"/>
      <c r="G38" s="400"/>
      <c r="H38" s="400"/>
      <c r="I38" s="400"/>
      <c r="J38" s="400"/>
      <c r="K38" s="400"/>
      <c r="L38" s="400"/>
      <c r="M38" s="400"/>
      <c r="N38" s="400"/>
      <c r="O38" s="400"/>
      <c r="P38" s="400"/>
      <c r="Q38" s="400"/>
      <c r="R38" s="400"/>
      <c r="S38" s="400"/>
      <c r="T38" s="400"/>
      <c r="U38" s="400"/>
      <c r="V38" s="400"/>
      <c r="W38" s="400"/>
      <c r="X38" s="400"/>
      <c r="Y38" s="400"/>
    </row>
    <row r="39" spans="1:25" s="34" customFormat="1" ht="13.5" customHeight="1" x14ac:dyDescent="0.2">
      <c r="A39" s="128" t="s">
        <v>59</v>
      </c>
      <c r="B39" s="400" t="s">
        <v>134</v>
      </c>
      <c r="C39" s="400"/>
      <c r="D39" s="400"/>
      <c r="E39" s="400"/>
      <c r="F39" s="400"/>
      <c r="G39" s="400"/>
      <c r="H39" s="400"/>
      <c r="I39" s="400"/>
      <c r="J39" s="400"/>
      <c r="K39" s="400"/>
      <c r="L39" s="400"/>
      <c r="M39" s="400"/>
      <c r="N39" s="400"/>
      <c r="O39" s="400"/>
      <c r="P39" s="400"/>
      <c r="Q39" s="400"/>
      <c r="R39" s="400"/>
      <c r="S39" s="400"/>
      <c r="T39" s="400"/>
      <c r="U39" s="400"/>
      <c r="V39" s="400"/>
      <c r="W39" s="400"/>
      <c r="X39" s="400"/>
      <c r="Y39" s="400"/>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1:B22">
    <cfRule type="cellIs" dxfId="27" priority="2" operator="equal">
      <formula>"(Invalid Identifier)"</formula>
    </cfRule>
  </conditionalFormatting>
  <conditionalFormatting sqref="B4:Y4">
    <cfRule type="cellIs" dxfId="26" priority="1" stopIfTrue="1" operator="equal">
      <formula>"input"</formula>
    </cfRule>
  </conditionalFormatting>
  <pageMargins left="0.5" right="0.5" top="0.5" bottom="0.5" header="0.5" footer="0.5"/>
  <pageSetup scale="85" fitToWidth="0" fitToHeight="0" orientation="landscape" r:id="rId1"/>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42"/>
  <sheetViews>
    <sheetView showGridLines="0" view="pageBreakPreview" topLeftCell="A11" zoomScaleNormal="100" zoomScaleSheetLayoutView="100" workbookViewId="0">
      <selection activeCell="G21" sqref="G21"/>
    </sheetView>
  </sheetViews>
  <sheetFormatPr defaultColWidth="9.140625" defaultRowHeight="12.75" outlineLevelRow="1" outlineLevelCol="1" x14ac:dyDescent="0.2"/>
  <cols>
    <col min="1" max="1" width="2.7109375" style="54" customWidth="1"/>
    <col min="2" max="2" width="37.28515625" style="54" customWidth="1"/>
    <col min="3" max="3" width="2.42578125" style="54" customWidth="1"/>
    <col min="4" max="4" width="10" style="54" customWidth="1"/>
    <col min="5" max="5" width="9.28515625" style="54" hidden="1" customWidth="1" outlineLevel="1"/>
    <col min="6" max="7" width="8.42578125" style="54" hidden="1" customWidth="1" outlineLevel="1"/>
    <col min="8" max="8" width="9" style="54" customWidth="1" collapsed="1"/>
    <col min="9" max="9" width="9.85546875" style="54" customWidth="1"/>
    <col min="10" max="10" width="8.42578125" style="54" customWidth="1"/>
    <col min="11" max="11" width="10" style="54" customWidth="1"/>
    <col min="12" max="12" width="2.42578125" style="54" customWidth="1"/>
    <col min="13" max="13" width="8.7109375" style="54" customWidth="1"/>
    <col min="14" max="15" width="7.5703125" style="54" customWidth="1"/>
    <col min="16" max="16" width="2.42578125" style="229" customWidth="1"/>
    <col min="17" max="17" width="7.5703125" style="54" customWidth="1"/>
    <col min="18" max="18" width="2.42578125" style="54" customWidth="1"/>
    <col min="19" max="19" width="10" style="54" hidden="1" customWidth="1" outlineLevel="1"/>
    <col min="20" max="20" width="8.42578125" style="54" hidden="1" customWidth="1" outlineLevel="1"/>
    <col min="21" max="23" width="7.5703125" style="54" hidden="1" customWidth="1" outlineLevel="1"/>
    <col min="24" max="24" width="10.28515625" style="54" customWidth="1" collapsed="1"/>
    <col min="25" max="25" width="8.140625" style="54" customWidth="1"/>
    <col min="26" max="26" width="2.7109375" style="54" customWidth="1"/>
    <col min="27" max="27" width="15" style="54" bestFit="1" customWidth="1"/>
    <col min="28" max="28" width="10.5703125" style="54" bestFit="1" customWidth="1"/>
    <col min="29" max="29" width="8.140625" style="54" bestFit="1" customWidth="1"/>
    <col min="30" max="30" width="8.7109375" style="54" bestFit="1" customWidth="1"/>
    <col min="31" max="16384" width="9.140625" style="54"/>
  </cols>
  <sheetData>
    <row r="1" spans="2:35" s="34" customFormat="1" ht="10.7" customHeight="1" thickBot="1" x14ac:dyDescent="0.25"/>
    <row r="2" spans="2:35" s="34" customFormat="1" ht="16.5" customHeight="1" thickTop="1" x14ac:dyDescent="0.25">
      <c r="B2" s="35" t="str">
        <f>Outline!B2</f>
        <v>Satellite Healthcare - Wellbound Santa Cruz</v>
      </c>
      <c r="C2" s="35"/>
      <c r="D2" s="35"/>
      <c r="E2" s="35"/>
      <c r="F2" s="35"/>
      <c r="G2" s="35"/>
      <c r="H2" s="35"/>
      <c r="I2" s="35"/>
      <c r="J2" s="35"/>
      <c r="K2" s="35"/>
      <c r="L2" s="35"/>
      <c r="M2" s="35"/>
      <c r="N2" s="35"/>
      <c r="O2" s="35"/>
      <c r="P2" s="35"/>
      <c r="Q2" s="35"/>
      <c r="R2" s="35"/>
      <c r="S2" s="35"/>
      <c r="T2" s="35"/>
      <c r="U2" s="35"/>
      <c r="V2" s="35"/>
      <c r="W2" s="35"/>
      <c r="X2" s="35"/>
      <c r="Y2" s="35"/>
      <c r="AA2" s="96" t="s">
        <v>95</v>
      </c>
      <c r="AB2" s="331">
        <f>'Asset Vol_2'!AB2</f>
        <v>43465</v>
      </c>
    </row>
    <row r="3" spans="2:35" s="34" customFormat="1" ht="15.75" customHeight="1" x14ac:dyDescent="0.25">
      <c r="B3" s="36" t="str">
        <f>Outline!C14</f>
        <v>Workpaper 6</v>
      </c>
      <c r="C3" s="36"/>
      <c r="D3" s="36"/>
      <c r="E3" s="36"/>
      <c r="F3" s="36"/>
      <c r="G3" s="36"/>
      <c r="H3" s="36"/>
      <c r="I3" s="36"/>
      <c r="J3" s="36"/>
      <c r="K3" s="36"/>
      <c r="L3" s="36"/>
      <c r="M3" s="36"/>
      <c r="N3" s="36"/>
      <c r="O3" s="36"/>
      <c r="P3" s="36"/>
      <c r="Q3" s="36"/>
      <c r="R3" s="36"/>
      <c r="S3" s="36"/>
      <c r="T3" s="36"/>
      <c r="U3" s="36"/>
      <c r="V3" s="36"/>
      <c r="W3" s="36"/>
      <c r="X3" s="36"/>
      <c r="Y3" s="36"/>
      <c r="AA3" s="77" t="s">
        <v>96</v>
      </c>
      <c r="AB3" s="327" t="s">
        <v>97</v>
      </c>
    </row>
    <row r="4" spans="2:35" s="34" customFormat="1" ht="16.5" customHeight="1" thickBot="1" x14ac:dyDescent="0.3">
      <c r="B4" s="37" t="str">
        <f>"Asset Volatility - Term of "&amp;TEXT(N7,"0.00")&amp;" Year"</f>
        <v>Asset Volatility - Term of 1.25 Year</v>
      </c>
      <c r="C4" s="37"/>
      <c r="D4" s="37"/>
      <c r="E4" s="37"/>
      <c r="F4" s="37"/>
      <c r="G4" s="37"/>
      <c r="H4" s="37"/>
      <c r="I4" s="37"/>
      <c r="J4" s="37"/>
      <c r="K4" s="37"/>
      <c r="L4" s="37"/>
      <c r="M4" s="37"/>
      <c r="N4" s="37"/>
      <c r="O4" s="37"/>
      <c r="P4" s="37"/>
      <c r="Q4" s="37"/>
      <c r="R4" s="37"/>
      <c r="S4" s="37"/>
      <c r="T4" s="37"/>
      <c r="U4" s="37"/>
      <c r="V4" s="37"/>
      <c r="W4" s="37"/>
      <c r="X4" s="37"/>
      <c r="Y4" s="144" t="s">
        <v>98</v>
      </c>
      <c r="AA4" s="77" t="s">
        <v>99</v>
      </c>
      <c r="AB4" s="328" t="s">
        <v>100</v>
      </c>
    </row>
    <row r="5" spans="2:35" s="34" customFormat="1" ht="12.75" customHeight="1" thickTop="1" x14ac:dyDescent="0.2">
      <c r="B5" s="103"/>
      <c r="P5" s="103"/>
      <c r="AA5" s="77" t="s">
        <v>101</v>
      </c>
      <c r="AB5" s="327" t="s">
        <v>102</v>
      </c>
    </row>
    <row r="6" spans="2:35" s="34" customFormat="1" ht="12.75" customHeight="1" x14ac:dyDescent="0.2">
      <c r="B6" s="103"/>
      <c r="P6" s="103"/>
      <c r="AA6" s="82" t="s">
        <v>103</v>
      </c>
      <c r="AB6" s="329" t="s">
        <v>104</v>
      </c>
    </row>
    <row r="7" spans="2:35" s="34" customFormat="1" ht="12.75" hidden="1" customHeight="1" outlineLevel="1" x14ac:dyDescent="0.2">
      <c r="N7" s="145">
        <f>'DLOM_Quantitative Methods'!E9</f>
        <v>1.25</v>
      </c>
      <c r="O7" s="98">
        <f>'Risk-Free Rates'!F37</f>
        <v>2.5925E-2</v>
      </c>
      <c r="P7" s="103"/>
      <c r="Q7" s="146">
        <f>ROUND(N7,0)</f>
        <v>1</v>
      </c>
    </row>
    <row r="8" spans="2:35" s="34" customFormat="1" ht="25.5" customHeight="1" collapsed="1" x14ac:dyDescent="0.2">
      <c r="D8" s="92" t="s">
        <v>105</v>
      </c>
      <c r="E8" s="93"/>
      <c r="F8" s="93"/>
      <c r="G8" s="93"/>
      <c r="H8" s="93"/>
      <c r="I8" s="93"/>
      <c r="J8" s="93"/>
      <c r="K8" s="94"/>
      <c r="M8" s="92" t="s">
        <v>106</v>
      </c>
      <c r="N8" s="93"/>
      <c r="O8" s="93"/>
      <c r="P8" s="147"/>
      <c r="Q8" s="94"/>
      <c r="S8" s="92" t="s">
        <v>107</v>
      </c>
      <c r="T8" s="93"/>
      <c r="U8" s="93"/>
      <c r="V8" s="93"/>
      <c r="W8" s="93"/>
      <c r="X8" s="386" t="s">
        <v>107</v>
      </c>
      <c r="Y8" s="94"/>
    </row>
    <row r="9" spans="2:35" s="149" customFormat="1" ht="43.5" customHeight="1" x14ac:dyDescent="0.2">
      <c r="B9" s="148" t="s">
        <v>108</v>
      </c>
      <c r="D9" s="150" t="s">
        <v>109</v>
      </c>
      <c r="E9" s="151" t="s">
        <v>45</v>
      </c>
      <c r="F9" s="151" t="s">
        <v>110</v>
      </c>
      <c r="G9" s="151" t="s">
        <v>111</v>
      </c>
      <c r="H9" s="151" t="s">
        <v>112</v>
      </c>
      <c r="I9" s="151" t="s">
        <v>113</v>
      </c>
      <c r="J9" s="151" t="s">
        <v>114</v>
      </c>
      <c r="K9" s="152" t="s">
        <v>115</v>
      </c>
      <c r="L9" s="153"/>
      <c r="M9" s="150" t="s">
        <v>57</v>
      </c>
      <c r="N9" s="151" t="s">
        <v>116</v>
      </c>
      <c r="O9" s="152" t="s">
        <v>56</v>
      </c>
      <c r="P9" s="154"/>
      <c r="Q9" s="155" t="s">
        <v>117</v>
      </c>
      <c r="R9" s="154"/>
      <c r="S9" s="150" t="s">
        <v>118</v>
      </c>
      <c r="T9" s="151" t="s">
        <v>67</v>
      </c>
      <c r="U9" s="151" t="s">
        <v>68</v>
      </c>
      <c r="V9" s="151" t="s">
        <v>119</v>
      </c>
      <c r="W9" s="151" t="s">
        <v>120</v>
      </c>
      <c r="X9" s="150" t="s">
        <v>121</v>
      </c>
      <c r="Y9" s="152" t="s">
        <v>122</v>
      </c>
      <c r="Z9" s="156" t="s">
        <v>55</v>
      </c>
      <c r="AA9" s="157" t="s">
        <v>123</v>
      </c>
      <c r="AB9" s="158"/>
      <c r="AC9" s="158"/>
      <c r="AD9" s="159"/>
    </row>
    <row r="10" spans="2:35" s="34" customFormat="1" ht="12.75" customHeight="1" x14ac:dyDescent="0.2">
      <c r="P10" s="103"/>
    </row>
    <row r="11" spans="2:35" s="34" customFormat="1" ht="12.75" customHeight="1" x14ac:dyDescent="0.2">
      <c r="B11" s="160" t="str">
        <f>_xll.ciqfunctions.udf.CIQ($AA11,"IQ_COMPANY_NAME")</f>
        <v>Fresenius SE &amp; Co. KGaA</v>
      </c>
      <c r="D11" s="161">
        <f>_xll.ciqfunctions.udf.CIQ($AA11, "IQ_MARKETCAP", $AB$2, $AB$5, $AB$6)</f>
        <v>26881.01298</v>
      </c>
      <c r="E11" s="162">
        <f>_xll.ciqfunctions.udf.CIQ($AA11, "IQ_TOTAL_DEBT", IQ_LTM, $AB$2,$AB$4, $AB$3, $AB$5, $AB$6)</f>
        <v>22029.74324</v>
      </c>
      <c r="F11" s="162">
        <f>_xll.ciqfunctions.udf.CIQ($AA11, "IQ_PREF_EQUITY", IQ_LTM, $AB$2, $AB$4, $AB$3, $AB$5, $AB$6)</f>
        <v>0</v>
      </c>
      <c r="G11" s="162">
        <f>_xll.ciqfunctions.udf.CIQ($AA11, "IQ_MINORITY_INTEREST_TOTAL", IQ_LTM, $AB$2, $AB$4, $AB$3, $AB$5, $AB$6)</f>
        <v>10668.060880000001</v>
      </c>
      <c r="H11" s="116">
        <f>SUM(E11:G11)</f>
        <v>32697.804120000001</v>
      </c>
      <c r="I11" s="116">
        <f>SUM(D11:G11)</f>
        <v>59578.8171</v>
      </c>
      <c r="J11" s="163">
        <f>_xll.ciqfunctions.udf.CIQ($AA11, "IQ_CASH_ST_INVEST", IQ_LTM, $AB$2, $AB$4, $AB$3, $AB$5, $AB$6)</f>
        <v>2853.4913499999998</v>
      </c>
      <c r="K11" s="163">
        <f>_xll.ciqfunctions.udf.CIQ($AA11, "IQ_TEV", $AB$2, $AB$5, $AB$6)</f>
        <v>56291.36333</v>
      </c>
      <c r="M11" s="164">
        <f>IFERROR(_xll.ciqfunctions.udf.CIQ($AA11, "IQ_DIVIDEND_YIELD", $AB$2)/100,0)</f>
        <v>1.7763999999999999E-2</v>
      </c>
      <c r="N11" s="116">
        <f t="shared" ref="N11:O15" si="0">N$7</f>
        <v>1.25</v>
      </c>
      <c r="O11" s="165">
        <f t="shared" si="0"/>
        <v>2.5925E-2</v>
      </c>
      <c r="P11" s="166"/>
      <c r="Q11" s="167">
        <f>IFERROR(HLOOKUP($Q$7,'Equity Vol'!$B$8:$K10,ROWS('Equity Vol'!$C$8:$C10),FALSE),"n/a")</f>
        <v>0.37049945727814049</v>
      </c>
      <c r="R11" s="103"/>
      <c r="S11" s="168">
        <f>IFERROR(IF(Q11="n/a","n/a",Q11^2),"n/a")</f>
        <v>0.13726984784339666</v>
      </c>
      <c r="T11" s="168">
        <f>IF(OR(K11="n/a",S11="n/a"),"n/a",IF(H11=0,0,IF(M11=0,(LN(K11/H11)+((O11+(S11/2))*N11))/((S11*N11)^0.5),(LN(K11/H11)+((O11-M11+(S11/2))*N11))/((S11*N11)^0.5))))</f>
        <v>1.5431682370741153</v>
      </c>
      <c r="U11" s="169">
        <f>IF(T11="n/a","n/a",IF(H11=0,0,T11-(S11*N11)^0.5))</f>
        <v>1.1289372510237645</v>
      </c>
      <c r="V11" s="169">
        <f>IF(OR(T11="n/a",S11="n/a"),"n/a",IF(H11=0,0,NORMSDIST(T11)))</f>
        <v>0.93860501910857552</v>
      </c>
      <c r="W11" s="169">
        <f>IF(OR(U11="n/a",S11="n/a"),"n/a",IF(H11=0,0,NORMSDIST(U11)))</f>
        <v>0.87053784744893781</v>
      </c>
      <c r="X11" s="170">
        <f>IF(OR(K11="n/a",S11="n/a"),"n/a",IF(M11=0,(K11*V11)-((H11*EXP(1)^(-O11*N11))*W11),(K11*(2.718^(-M11*N11))*V11)-(H11*(2.718^(-O11*N11))*W11)))</f>
        <v>24118.074366361507</v>
      </c>
      <c r="Y11" s="171">
        <f>IFERROR(IF(LEN(B11)&gt;0,IF(H11=0,Q11,IF(ISERROR(Q11/((K11/X11)*V11)),"n/a",Q11/((K11/X11)*V11)))),"n/a")</f>
        <v>0.16912412660350476</v>
      </c>
      <c r="AA11" s="172" t="str">
        <f>'Asset Vol_2'!AA11</f>
        <v>DB:FRE</v>
      </c>
      <c r="AB11" s="116"/>
      <c r="AC11" s="173"/>
      <c r="AI11" s="174"/>
    </row>
    <row r="12" spans="2:35" s="34" customFormat="1" ht="12.75" customHeight="1" x14ac:dyDescent="0.2">
      <c r="B12" s="160" t="str">
        <f>_xll.ciqfunctions.udf.CIQ($AA12,"IQ_COMPANY_NAME")</f>
        <v>Fresenius Medical Care AG &amp; Co. KGaA</v>
      </c>
      <c r="D12" s="161">
        <f>_xll.ciqfunctions.udf.CIQ($AA12, "IQ_MARKETCAP", $AB$2, $AB$5, $AB$6)</f>
        <v>19898.931329999999</v>
      </c>
      <c r="E12" s="162">
        <f>_xll.ciqfunctions.udf.CIQ($AA12, "IQ_TOTAL_DEBT", IQ_LTM, $AB$2,$AB$4, $AB$3, $AB$5, $AB$6)</f>
        <v>8562.8604599999999</v>
      </c>
      <c r="F12" s="162">
        <f>_xll.ciqfunctions.udf.CIQ($AA12, "IQ_PREF_EQUITY", IQ_LTM, $AB$2, $AB$4, $AB$3, $AB$5, $AB$6)</f>
        <v>0</v>
      </c>
      <c r="G12" s="162">
        <f>_xll.ciqfunctions.udf.CIQ($AA12, "IQ_MINORITY_INTEREST_TOTAL", IQ_LTM, $AB$2, $AB$4, $AB$3, $AB$5, $AB$6)</f>
        <v>1312.1436000000001</v>
      </c>
      <c r="H12" s="116">
        <f>SUM(E12:G12)</f>
        <v>9875.0040599999993</v>
      </c>
      <c r="I12" s="116">
        <f>SUM(D12:G12)</f>
        <v>29773.935389999999</v>
      </c>
      <c r="J12" s="163">
        <f>_xll.ciqfunctions.udf.CIQ($AA12, "IQ_CASH_ST_INVEST", IQ_LTM, $AB$2, $AB$4, $AB$3, $AB$5, $AB$6)</f>
        <v>2037.9365600000001</v>
      </c>
      <c r="K12" s="163">
        <f>_xll.ciqfunctions.udf.CIQ($AA12, "IQ_TEV", $AB$2, $AB$5, $AB$6)</f>
        <v>27622.041020000001</v>
      </c>
      <c r="M12" s="164">
        <f>IFERROR(_xll.ciqfunctions.udf.CIQ($AA12, "IQ_DIVIDEND_YIELD", $AB$2)/100,0)</f>
        <v>1.8713999999999998E-2</v>
      </c>
      <c r="N12" s="116">
        <f t="shared" si="0"/>
        <v>1.25</v>
      </c>
      <c r="O12" s="165">
        <f t="shared" si="0"/>
        <v>2.5925E-2</v>
      </c>
      <c r="P12" s="166"/>
      <c r="Q12" s="167">
        <f>IFERROR(HLOOKUP($Q$7,'Equity Vol'!$B$8:$K11,ROWS('Equity Vol'!$C$8:$C11),FALSE),"n/a")</f>
        <v>0.3288738213084566</v>
      </c>
      <c r="R12" s="103"/>
      <c r="S12" s="168">
        <f>IFERROR(IF(Q12="n/a","n/a",Q12^2),"n/a")</f>
        <v>0.10815799034202664</v>
      </c>
      <c r="T12" s="168">
        <f>IF(OR(K12="n/a",S12="n/a"),"n/a",IF(H12=0,0,IF(M12=0,(LN(K12/H12)+((O12+(S12/2))*N12))/((S12*N12)^0.5),(LN(K12/H12)+((O12-M12+(S12/2))*N12))/((S12*N12)^0.5))))</f>
        <v>3.0058295595195399</v>
      </c>
      <c r="U12" s="169">
        <f>IF(T12="n/a","n/a",IF(H12=0,0,T12-(S12*N12)^0.5))</f>
        <v>2.6381374492866261</v>
      </c>
      <c r="V12" s="169">
        <f>IF(OR(T12="n/a",S12="n/a"),"n/a",IF(H12=0,0,NORMSDIST(T12)))</f>
        <v>0.99867571294296076</v>
      </c>
      <c r="W12" s="169">
        <f>IF(OR(U12="n/a",S12="n/a"),"n/a",IF(H12=0,0,NORMSDIST(U12)))</f>
        <v>0.99583186071146246</v>
      </c>
      <c r="X12" s="170">
        <f>IF(OR(K12="n/a",S12="n/a"),"n/a",IF(M12=0,(K12*V12)-((H12*EXP(1)^(-O12*N12))*W12),(K12*(2.718^(-M12*N12))*V12)-(H12*(2.718^(-O12*N12))*W12)))</f>
        <v>17427.417047596231</v>
      </c>
      <c r="Y12" s="171">
        <f>IFERROR(IF(LEN(B12)&gt;0,IF(H12=0,Q12,IF(ISERROR(Q12/((K12/X12)*V12)),"n/a",Q12/((K12/X12)*V12)))),"n/a")</f>
        <v>0.20776963394992484</v>
      </c>
      <c r="AA12" s="172" t="str">
        <f>'Asset Vol_2'!AA12</f>
        <v>XTRA:FME</v>
      </c>
      <c r="AB12" s="116"/>
      <c r="AC12" s="173"/>
      <c r="AI12" s="174"/>
    </row>
    <row r="13" spans="2:35" s="34" customFormat="1" ht="12.75" customHeight="1" x14ac:dyDescent="0.2">
      <c r="B13" s="160" t="str">
        <f>_xll.ciqfunctions.udf.CIQ($AA13,"IQ_COMPANY_NAME")</f>
        <v>DaVita Inc.</v>
      </c>
      <c r="D13" s="161">
        <f>_xll.ciqfunctions.udf.CIQ($AA13, "IQ_MARKETCAP", $AB$2, $AB$5, $AB$6)</f>
        <v>8541.5613400000002</v>
      </c>
      <c r="E13" s="162">
        <f>_xll.ciqfunctions.udf.CIQ($AA13, "IQ_TOTAL_DEBT", IQ_LTM, $AB$2,$AB$4, $AB$3, $AB$5, $AB$6)</f>
        <v>10224.737999999999</v>
      </c>
      <c r="F13" s="162">
        <f>_xll.ciqfunctions.udf.CIQ($AA13, "IQ_PREF_EQUITY", IQ_LTM, $AB$2, $AB$4, $AB$3, $AB$5, $AB$6)</f>
        <v>0</v>
      </c>
      <c r="G13" s="162">
        <f>_xll.ciqfunctions.udf.CIQ($AA13, "IQ_MINORITY_INTEREST_TOTAL", IQ_LTM, $AB$2, $AB$4, $AB$3, $AB$5, $AB$6)</f>
        <v>1269.0250000000001</v>
      </c>
      <c r="H13" s="116">
        <f>SUM(E13:G13)</f>
        <v>11493.762999999999</v>
      </c>
      <c r="I13" s="116">
        <f>SUM(D13:G13)</f>
        <v>20035.324339999999</v>
      </c>
      <c r="J13" s="163">
        <f>_xll.ciqfunctions.udf.CIQ($AA13, "IQ_CASH_ST_INVEST", IQ_LTM, $AB$2, $AB$4, $AB$3, $AB$5, $AB$6)</f>
        <v>452.94499999999999</v>
      </c>
      <c r="K13" s="163">
        <f>_xll.ciqfunctions.udf.CIQ($AA13, "IQ_TEV", $AB$2, $AB$5, $AB$6)</f>
        <v>19582.37934</v>
      </c>
      <c r="M13" s="164">
        <f>IFERROR(_xll.ciqfunctions.udf.CIQ($AA13, "IQ_DIVIDEND_YIELD", $AB$2)/100,0)</f>
        <v>0</v>
      </c>
      <c r="N13" s="116">
        <f t="shared" si="0"/>
        <v>1.25</v>
      </c>
      <c r="O13" s="165">
        <f t="shared" si="0"/>
        <v>2.5925E-2</v>
      </c>
      <c r="P13" s="166"/>
      <c r="Q13" s="167">
        <f>IFERROR(HLOOKUP($Q$7,'Equity Vol'!$B$8:$K12,ROWS('Equity Vol'!$C$8:$C12),FALSE),"n/a")</f>
        <v>0.30365987198958466</v>
      </c>
      <c r="R13" s="103"/>
      <c r="S13" s="168">
        <f>IFERROR(IF(Q13="n/a","n/a",Q13^2),"n/a")</f>
        <v>9.2209317856730949E-2</v>
      </c>
      <c r="T13" s="168">
        <f>IF(OR(K13="n/a",S13="n/a"),"n/a",IF(H13=0,0,IF(M13=0,(LN(K13/H13)+((O13+(S13/2))*N13))/((S13*N13)^0.5),(LN(K13/H13)+((O13-M13+(S13/2))*N13))/((S13*N13)^0.5))))</f>
        <v>1.8346359539122139</v>
      </c>
      <c r="U13" s="169">
        <f>IF(T13="n/a","n/a",IF(H13=0,0,T13-(S13*N13)^0.5))</f>
        <v>1.4951338960084162</v>
      </c>
      <c r="V13" s="169">
        <f>IF(OR(T13="n/a",S13="n/a"),"n/a",IF(H13=0,0,NORMSDIST(T13)))</f>
        <v>0.96672017614573358</v>
      </c>
      <c r="W13" s="169">
        <f>IF(OR(U13="n/a",S13="n/a"),"n/a",IF(H13=0,0,NORMSDIST(U13)))</f>
        <v>0.93256024940397542</v>
      </c>
      <c r="X13" s="170">
        <f>IF(OR(K13="n/a",S13="n/a"),"n/a",IF(M13=0,(K13*V13)-((H13*EXP(1)^(-O13*N13))*W13),(K13*(2.718^(-M13*N13))*V13)-(H13*(2.718^(-O13*N13))*W13)))</f>
        <v>8553.8373478548474</v>
      </c>
      <c r="Y13" s="171">
        <f>IFERROR(IF(LEN(B13)&gt;0,IF(H13=0,Q13,IF(ISERROR(Q13/((K13/X13)*V13)),"n/a",Q13/((K13/X13)*V13)))),"n/a")</f>
        <v>0.13720885825252943</v>
      </c>
      <c r="AA13" s="172" t="str">
        <f>'Asset Vol_2'!AA13</f>
        <v>NYSE:DVA</v>
      </c>
      <c r="AB13" s="116"/>
      <c r="AC13" s="173"/>
      <c r="AI13" s="174"/>
    </row>
    <row r="14" spans="2:35" s="34" customFormat="1" ht="12.75" customHeight="1" x14ac:dyDescent="0.2">
      <c r="B14" s="160" t="str">
        <f>_xll.ciqfunctions.udf.CIQ($AA14,"IQ_COMPANY_NAME")</f>
        <v>NxStage Medical, Inc.</v>
      </c>
      <c r="D14" s="161">
        <f>_xll.ciqfunctions.udf.CIQ($AA14, "IQ_MARKETCAP", $AB$2, $AB$5, $AB$6)</f>
        <v>1908.5158899999999</v>
      </c>
      <c r="E14" s="162">
        <f>_xll.ciqfunctions.udf.CIQ($AA14, "IQ_TOTAL_DEBT", IQ_LTM, $AB$2,$AB$4, $AB$3, $AB$5, $AB$6)</f>
        <v>13.305999999999999</v>
      </c>
      <c r="F14" s="162">
        <f>_xll.ciqfunctions.udf.CIQ($AA14, "IQ_PREF_EQUITY", IQ_LTM, $AB$2, $AB$4, $AB$3, $AB$5, $AB$6)</f>
        <v>0</v>
      </c>
      <c r="G14" s="162">
        <f>_xll.ciqfunctions.udf.CIQ($AA14, "IQ_MINORITY_INTEREST_TOTAL", IQ_LTM, $AB$2, $AB$4, $AB$3, $AB$5, $AB$6)</f>
        <v>0.42099999999999999</v>
      </c>
      <c r="H14" s="116">
        <f>SUM(E14:G14)</f>
        <v>13.726999999999999</v>
      </c>
      <c r="I14" s="116">
        <f>SUM(D14:G14)</f>
        <v>1922.24289</v>
      </c>
      <c r="J14" s="163">
        <f>_xll.ciqfunctions.udf.CIQ($AA14, "IQ_CASH_ST_INVEST", IQ_LTM, $AB$2, $AB$4, $AB$3, $AB$5, $AB$6)</f>
        <v>81.944000000000003</v>
      </c>
      <c r="K14" s="163">
        <f>_xll.ciqfunctions.udf.CIQ($AA14, "IQ_TEV", $AB$2, $AB$5, $AB$6)</f>
        <v>1840.29889</v>
      </c>
      <c r="M14" s="164">
        <f>IFERROR(_xll.ciqfunctions.udf.CIQ($AA14, "IQ_DIVIDEND_YIELD", $AB$2)/100,0)</f>
        <v>0</v>
      </c>
      <c r="N14" s="116">
        <f t="shared" si="0"/>
        <v>1.25</v>
      </c>
      <c r="O14" s="165">
        <f t="shared" si="0"/>
        <v>2.5925E-2</v>
      </c>
      <c r="P14" s="166"/>
      <c r="Q14" s="167">
        <f>IFERROR(HLOOKUP($Q$7,'Equity Vol'!$B$8:$K13,ROWS('Equity Vol'!$C$8:$C13),FALSE),"n/a")</f>
        <v>0.15034732733466866</v>
      </c>
      <c r="R14" s="103"/>
      <c r="S14" s="168">
        <f>IFERROR(IF(Q14="n/a","n/a",Q14^2),"n/a")</f>
        <v>2.2604318836678006E-2</v>
      </c>
      <c r="T14" s="168">
        <f>IF(OR(K14="n/a",S14="n/a"),"n/a",IF(H14=0,0,IF(M14=0,(LN(K14/H14)+((O14+(S14/2))*N14))/((S14*N14)^0.5),(LN(K14/H14)+((O14-M14+(S14/2))*N14))/((S14*N14)^0.5))))</f>
        <v>29.417287538719044</v>
      </c>
      <c r="U14" s="169">
        <f>IF(T14="n/a","n/a",IF(H14=0,0,T14-(S14*N14)^0.5))</f>
        <v>29.249194116641178</v>
      </c>
      <c r="V14" s="169">
        <f>IF(OR(T14="n/a",S14="n/a"),"n/a",IF(H14=0,0,NORMSDIST(T14)))</f>
        <v>1</v>
      </c>
      <c r="W14" s="169">
        <f>IF(OR(U14="n/a",S14="n/a"),"n/a",IF(H14=0,0,NORMSDIST(U14)))</f>
        <v>1</v>
      </c>
      <c r="X14" s="170">
        <f>IF(OR(K14="n/a",S14="n/a"),"n/a",IF(M14=0,(K14*V14)-((H14*EXP(1)^(-O14*N14))*W14),(K14*(2.718^(-M14*N14))*V14)-(H14*(2.718^(-O14*N14))*W14)))</f>
        <v>1827.0096000186284</v>
      </c>
      <c r="Y14" s="171">
        <f>IFERROR(IF(LEN(B14)&gt;0,IF(H14=0,Q14,IF(ISERROR(Q14/((K14/X14)*V14)),"n/a",Q14/((K14/X14)*V14)))),"n/a")</f>
        <v>0.14926162911372659</v>
      </c>
      <c r="Z14" s="175"/>
      <c r="AA14" s="172" t="str">
        <f>'Asset Vol_2'!AA14</f>
        <v>IQ115544</v>
      </c>
      <c r="AB14" s="116"/>
      <c r="AC14" s="173"/>
      <c r="AI14" s="174"/>
    </row>
    <row r="15" spans="2:35" s="34" customFormat="1" ht="12.75" customHeight="1" x14ac:dyDescent="0.2">
      <c r="B15" s="160" t="str">
        <f>_xll.ciqfunctions.udf.CIQ($AA15,"IQ_COMPANY_NAME")</f>
        <v>American Renal Associates Holdings, Inc.</v>
      </c>
      <c r="D15" s="161">
        <f>_xll.ciqfunctions.udf.CIQ($AA15, "IQ_MARKETCAP", $AB$2, $AB$5, $AB$6)</f>
        <v>374.59658999999999</v>
      </c>
      <c r="E15" s="162">
        <f>_xll.ciqfunctions.udf.CIQ($AA15, "IQ_TOTAL_DEBT", IQ_LTM, $AB$2,$AB$4, $AB$3, $AB$5, $AB$6)</f>
        <v>553.95600000000002</v>
      </c>
      <c r="F15" s="162">
        <f>_xll.ciqfunctions.udf.CIQ($AA15, "IQ_PREF_EQUITY", IQ_LTM, $AB$2, $AB$4, $AB$3, $AB$5, $AB$6)</f>
        <v>0</v>
      </c>
      <c r="G15" s="162">
        <f>_xll.ciqfunctions.udf.CIQ($AA15, "IQ_MINORITY_INTEREST_TOTAL", IQ_LTM, $AB$2, $AB$4, $AB$3, $AB$5, $AB$6)</f>
        <v>316.10500000000002</v>
      </c>
      <c r="H15" s="116">
        <f>SUM(E15:G15)</f>
        <v>870.06100000000004</v>
      </c>
      <c r="I15" s="116">
        <f>SUM(D15:G15)</f>
        <v>1244.65759</v>
      </c>
      <c r="J15" s="163">
        <f>_xll.ciqfunctions.udf.CIQ($AA15, "IQ_CASH_ST_INVEST", IQ_LTM, $AB$2, $AB$4, $AB$3, $AB$5, $AB$6)</f>
        <v>62.899000000000001</v>
      </c>
      <c r="K15" s="163">
        <f>_xll.ciqfunctions.udf.CIQ($AA15, "IQ_TEV", $AB$2, $AB$5, $AB$6)</f>
        <v>1181.7585899999999</v>
      </c>
      <c r="M15" s="164">
        <f>IFERROR(_xll.ciqfunctions.udf.CIQ($AA15, "IQ_DIVIDEND_YIELD", $AB$2)/100,0)</f>
        <v>0</v>
      </c>
      <c r="N15" s="116">
        <f t="shared" si="0"/>
        <v>1.25</v>
      </c>
      <c r="O15" s="165">
        <f t="shared" si="0"/>
        <v>2.5925E-2</v>
      </c>
      <c r="P15" s="166"/>
      <c r="Q15" s="167">
        <f>IFERROR(HLOOKUP($Q$7,'Equity Vol'!$B$8:$K14,ROWS('Equity Vol'!$C$8:$C14),FALSE),"n/a")</f>
        <v>0.50552024995048173</v>
      </c>
      <c r="R15" s="103"/>
      <c r="S15" s="168">
        <f>IFERROR(IF(Q15="n/a","n/a",Q15^2),"n/a")</f>
        <v>0.25555072310999755</v>
      </c>
      <c r="T15" s="168">
        <f>IF(OR(K15="n/a",S15="n/a"),"n/a",IF(H15=0,0,IF(M15=0,(LN(K15/H15)+((O15+(S15/2))*N15))/((S15*N15)^0.5),(LN(K15/H15)+((O15-M15+(S15/2))*N15))/((S15*N15)^0.5))))</f>
        <v>0.88168952999361561</v>
      </c>
      <c r="U15" s="169">
        <f>IF(T15="n/a","n/a",IF(H15=0,0,T15-(S15*N15)^0.5))</f>
        <v>0.31650070854763468</v>
      </c>
      <c r="V15" s="169">
        <f>IF(OR(T15="n/a",S15="n/a"),"n/a",IF(H15=0,0,NORMSDIST(T15)))</f>
        <v>0.81102763777777986</v>
      </c>
      <c r="W15" s="169">
        <f>IF(OR(U15="n/a",S15="n/a"),"n/a",IF(H15=0,0,NORMSDIST(U15)))</f>
        <v>0.62418875627575043</v>
      </c>
      <c r="X15" s="170">
        <f>IF(OR(K15="n/a",S15="n/a"),"n/a",IF(M15=0,(K15*V15)-((H15*EXP(1)^(-O15*N15))*W15),(K15*(2.718^(-M15*N15))*V15)-(H15*(2.718^(-O15*N15))*W15)))</f>
        <v>432.67373731106977</v>
      </c>
      <c r="Y15" s="171">
        <f>IFERROR(IF(LEN(B15)&gt;0,IF(H15=0,Q15,IF(ISERROR(Q15/((K15/X15)*V15)),"n/a",Q15/((K15/X15)*V15)))),"n/a")</f>
        <v>0.22820999954001633</v>
      </c>
      <c r="Z15" s="175"/>
      <c r="AA15" s="172" t="str">
        <f>'Asset Vol_2'!AA15</f>
        <v>NYSE:ARA</v>
      </c>
      <c r="AB15" s="116"/>
      <c r="AC15" s="173"/>
      <c r="AI15" s="174"/>
    </row>
    <row r="16" spans="2:35" s="34" customFormat="1" ht="12.75" hidden="1" customHeight="1" outlineLevel="1" x14ac:dyDescent="0.2">
      <c r="D16" s="116"/>
      <c r="E16" s="116"/>
      <c r="F16" s="116"/>
      <c r="G16" s="116"/>
      <c r="H16" s="116"/>
      <c r="I16" s="116"/>
      <c r="J16" s="116"/>
      <c r="K16" s="116"/>
      <c r="M16" s="165"/>
      <c r="N16" s="116"/>
      <c r="O16" s="165"/>
      <c r="P16" s="166"/>
      <c r="Q16" s="171"/>
      <c r="R16" s="103"/>
      <c r="S16" s="168"/>
      <c r="T16" s="168"/>
      <c r="U16" s="169"/>
      <c r="V16" s="169"/>
      <c r="W16" s="169"/>
      <c r="X16" s="170"/>
      <c r="Y16" s="171"/>
      <c r="AA16" s="172"/>
      <c r="AB16" s="116"/>
      <c r="AC16" s="173"/>
      <c r="AI16" s="174"/>
    </row>
    <row r="17" spans="2:35" s="34" customFormat="1" ht="12.75" hidden="1" customHeight="1" outlineLevel="1" x14ac:dyDescent="0.2">
      <c r="D17" s="116"/>
      <c r="E17" s="116"/>
      <c r="F17" s="116"/>
      <c r="G17" s="116"/>
      <c r="H17" s="116"/>
      <c r="I17" s="116"/>
      <c r="J17" s="116"/>
      <c r="K17" s="116"/>
      <c r="M17" s="165"/>
      <c r="N17" s="116"/>
      <c r="O17" s="165"/>
      <c r="P17" s="166"/>
      <c r="Q17" s="171"/>
      <c r="R17" s="103"/>
      <c r="S17" s="168"/>
      <c r="T17" s="168"/>
      <c r="U17" s="169"/>
      <c r="V17" s="169"/>
      <c r="W17" s="169"/>
      <c r="X17" s="170"/>
      <c r="Y17" s="171"/>
      <c r="AA17" s="172"/>
      <c r="AB17" s="116"/>
      <c r="AC17" s="173"/>
      <c r="AI17" s="174"/>
    </row>
    <row r="18" spans="2:35" s="34" customFormat="1" ht="12.75" hidden="1" customHeight="1" outlineLevel="1" x14ac:dyDescent="0.2">
      <c r="D18" s="116"/>
      <c r="E18" s="116"/>
      <c r="F18" s="116"/>
      <c r="G18" s="116"/>
      <c r="H18" s="116"/>
      <c r="I18" s="116"/>
      <c r="J18" s="116"/>
      <c r="K18" s="116"/>
      <c r="M18" s="165"/>
      <c r="N18" s="116"/>
      <c r="O18" s="165"/>
      <c r="P18" s="166"/>
      <c r="Q18" s="171"/>
      <c r="R18" s="103"/>
      <c r="S18" s="168"/>
      <c r="T18" s="168"/>
      <c r="U18" s="169"/>
      <c r="V18" s="169"/>
      <c r="W18" s="169"/>
      <c r="X18" s="170"/>
      <c r="Y18" s="171"/>
      <c r="AA18" s="172"/>
      <c r="AB18" s="116"/>
      <c r="AC18" s="173"/>
      <c r="AI18" s="174"/>
    </row>
    <row r="19" spans="2:35" s="34" customFormat="1" ht="12.75" hidden="1" customHeight="1" outlineLevel="1" x14ac:dyDescent="0.2">
      <c r="D19" s="116"/>
      <c r="E19" s="116"/>
      <c r="F19" s="116"/>
      <c r="G19" s="116"/>
      <c r="H19" s="116"/>
      <c r="I19" s="116"/>
      <c r="J19" s="116"/>
      <c r="K19" s="116"/>
      <c r="M19" s="165"/>
      <c r="N19" s="116"/>
      <c r="O19" s="165"/>
      <c r="P19" s="166"/>
      <c r="Q19" s="171"/>
      <c r="R19" s="103"/>
      <c r="S19" s="168"/>
      <c r="T19" s="168"/>
      <c r="U19" s="169"/>
      <c r="V19" s="169"/>
      <c r="W19" s="169"/>
      <c r="X19" s="170"/>
      <c r="Y19" s="171"/>
      <c r="AA19" s="172"/>
      <c r="AB19" s="116"/>
      <c r="AC19" s="173"/>
      <c r="AI19" s="174"/>
    </row>
    <row r="20" spans="2:35" s="34" customFormat="1" ht="12.75" hidden="1" customHeight="1" outlineLevel="1" x14ac:dyDescent="0.2">
      <c r="D20" s="116"/>
      <c r="E20" s="116"/>
      <c r="F20" s="116"/>
      <c r="G20" s="116"/>
      <c r="H20" s="116"/>
      <c r="I20" s="116"/>
      <c r="J20" s="116"/>
      <c r="K20" s="116"/>
      <c r="M20" s="165"/>
      <c r="N20" s="116"/>
      <c r="O20" s="165"/>
      <c r="P20" s="166"/>
      <c r="Q20" s="171"/>
      <c r="R20" s="103"/>
      <c r="S20" s="168"/>
      <c r="T20" s="168"/>
      <c r="U20" s="169"/>
      <c r="V20" s="169"/>
      <c r="W20" s="169"/>
      <c r="X20" s="170"/>
      <c r="Y20" s="171"/>
      <c r="AA20" s="172"/>
      <c r="AB20" s="116"/>
      <c r="AC20" s="173"/>
      <c r="AI20" s="174"/>
    </row>
    <row r="21" spans="2:35" s="34" customFormat="1" ht="12.75" hidden="1" customHeight="1" outlineLevel="1" x14ac:dyDescent="0.2">
      <c r="D21" s="116"/>
      <c r="E21" s="116"/>
      <c r="F21" s="116"/>
      <c r="G21" s="116"/>
      <c r="H21" s="116"/>
      <c r="I21" s="116"/>
      <c r="J21" s="116"/>
      <c r="K21" s="116"/>
      <c r="M21" s="165"/>
      <c r="N21" s="116"/>
      <c r="O21" s="165"/>
      <c r="P21" s="166"/>
      <c r="Q21" s="171"/>
      <c r="R21" s="103"/>
      <c r="S21" s="168"/>
      <c r="T21" s="168"/>
      <c r="U21" s="169"/>
      <c r="V21" s="169"/>
      <c r="W21" s="169"/>
      <c r="X21" s="170"/>
      <c r="Y21" s="171"/>
      <c r="AA21" s="172"/>
      <c r="AB21" s="116"/>
      <c r="AC21" s="173"/>
      <c r="AI21" s="174"/>
    </row>
    <row r="22" spans="2:35" s="34" customFormat="1" ht="12.75" hidden="1" customHeight="1" outlineLevel="1" x14ac:dyDescent="0.2">
      <c r="D22" s="116"/>
      <c r="E22" s="116"/>
      <c r="F22" s="116"/>
      <c r="G22" s="116"/>
      <c r="H22" s="116"/>
      <c r="I22" s="116"/>
      <c r="J22" s="116"/>
      <c r="K22" s="116"/>
      <c r="M22" s="165"/>
      <c r="N22" s="116"/>
      <c r="O22" s="165"/>
      <c r="P22" s="166"/>
      <c r="Q22" s="171"/>
      <c r="R22" s="103"/>
      <c r="S22" s="168"/>
      <c r="T22" s="168"/>
      <c r="U22" s="169"/>
      <c r="V22" s="169"/>
      <c r="W22" s="169"/>
      <c r="X22" s="170"/>
      <c r="Y22" s="171"/>
      <c r="AA22" s="172"/>
      <c r="AB22" s="116"/>
      <c r="AC22" s="173"/>
      <c r="AI22" s="174"/>
    </row>
    <row r="23" spans="2:35" s="34" customFormat="1" ht="12.75" hidden="1" customHeight="1" outlineLevel="1" collapsed="1" x14ac:dyDescent="0.2">
      <c r="D23" s="116"/>
      <c r="E23" s="116"/>
      <c r="F23" s="116"/>
      <c r="G23" s="116"/>
      <c r="H23" s="116"/>
      <c r="I23" s="116"/>
      <c r="J23" s="116"/>
      <c r="K23" s="116"/>
      <c r="O23" s="120"/>
      <c r="P23" s="103"/>
      <c r="R23" s="103"/>
      <c r="X23" s="116"/>
    </row>
    <row r="24" spans="2:35" s="34" customFormat="1" ht="12.75" customHeight="1" collapsed="1" x14ac:dyDescent="0.2">
      <c r="D24" s="116"/>
      <c r="E24" s="116"/>
      <c r="F24" s="116"/>
      <c r="G24" s="116"/>
      <c r="H24" s="116"/>
      <c r="I24" s="116"/>
      <c r="J24" s="116"/>
      <c r="K24" s="116"/>
      <c r="O24" s="120"/>
      <c r="P24" s="103"/>
      <c r="X24" s="116"/>
    </row>
    <row r="25" spans="2:35" s="34" customFormat="1" ht="12.75" customHeight="1" x14ac:dyDescent="0.2">
      <c r="B25" s="176" t="s">
        <v>34</v>
      </c>
      <c r="C25" s="177"/>
      <c r="D25" s="178">
        <f>MAX(D11:D14)</f>
        <v>26881.01298</v>
      </c>
      <c r="E25" s="178">
        <f>MAX(E11:E23)</f>
        <v>22029.74324</v>
      </c>
      <c r="F25" s="178">
        <f>MAX(F11:F23)</f>
        <v>0</v>
      </c>
      <c r="G25" s="178">
        <f>MAX(G11:G23)</f>
        <v>10668.060880000001</v>
      </c>
      <c r="H25" s="178">
        <f>MAX(H11:H14)</f>
        <v>32697.804120000001</v>
      </c>
      <c r="I25" s="178">
        <f>MAX(I11:I14)</f>
        <v>59578.8171</v>
      </c>
      <c r="J25" s="178">
        <f>MAX(J11:J14)</f>
        <v>2853.4913499999998</v>
      </c>
      <c r="K25" s="178">
        <f>MAX(K11:K14)</f>
        <v>56291.36333</v>
      </c>
      <c r="L25" s="177"/>
      <c r="M25" s="179">
        <f>MAX(M11:M14)</f>
        <v>1.8713999999999998E-2</v>
      </c>
      <c r="N25" s="178">
        <f>MAX(N11:N14)</f>
        <v>1.25</v>
      </c>
      <c r="O25" s="179">
        <f>MAX(O11:O14)</f>
        <v>2.5925E-2</v>
      </c>
      <c r="P25" s="180"/>
      <c r="Q25" s="181">
        <f>MAX(Q11:Q14)</f>
        <v>0.37049945727814049</v>
      </c>
      <c r="R25" s="182"/>
      <c r="S25" s="183">
        <f t="shared" ref="S25:Y25" si="1">MAX(S11:S14)</f>
        <v>0.13726984784339666</v>
      </c>
      <c r="T25" s="183">
        <f t="shared" si="1"/>
        <v>29.417287538719044</v>
      </c>
      <c r="U25" s="184">
        <f t="shared" si="1"/>
        <v>29.249194116641178</v>
      </c>
      <c r="V25" s="184">
        <f t="shared" si="1"/>
        <v>1</v>
      </c>
      <c r="W25" s="184">
        <f t="shared" si="1"/>
        <v>1</v>
      </c>
      <c r="X25" s="185">
        <f t="shared" si="1"/>
        <v>24118.074366361507</v>
      </c>
      <c r="Y25" s="186">
        <f t="shared" si="1"/>
        <v>0.20776963394992484</v>
      </c>
      <c r="AB25" s="187"/>
      <c r="AC25" s="188"/>
      <c r="AD25" s="188"/>
      <c r="AE25" s="188"/>
      <c r="AF25" s="189"/>
    </row>
    <row r="26" spans="2:35" s="34" customFormat="1" ht="12.75" customHeight="1" x14ac:dyDescent="0.2">
      <c r="B26" s="190" t="s">
        <v>31</v>
      </c>
      <c r="C26" s="191"/>
      <c r="D26" s="192">
        <f>MIN(D11:D14)</f>
        <v>1908.5158899999999</v>
      </c>
      <c r="E26" s="192">
        <f>MIN(E11:E23)</f>
        <v>13.305999999999999</v>
      </c>
      <c r="F26" s="192">
        <f>MIN(F11:F23)</f>
        <v>0</v>
      </c>
      <c r="G26" s="192">
        <f>MIN(G11:G23)</f>
        <v>0.42099999999999999</v>
      </c>
      <c r="H26" s="192">
        <f>MIN(H11:H14)</f>
        <v>13.726999999999999</v>
      </c>
      <c r="I26" s="192">
        <f>MIN(I11:I14)</f>
        <v>1922.24289</v>
      </c>
      <c r="J26" s="192">
        <f>MIN(J11:J14)</f>
        <v>81.944000000000003</v>
      </c>
      <c r="K26" s="192">
        <f>MIN(K11:K14)</f>
        <v>1840.29889</v>
      </c>
      <c r="L26" s="191"/>
      <c r="M26" s="193">
        <f>MIN(M11:M14)</f>
        <v>0</v>
      </c>
      <c r="N26" s="192">
        <f>MIN(N11:N14)</f>
        <v>1.25</v>
      </c>
      <c r="O26" s="193">
        <f>MIN(O11:O14)</f>
        <v>2.5925E-2</v>
      </c>
      <c r="P26" s="194"/>
      <c r="Q26" s="195">
        <f>MIN(Q11:Q14)</f>
        <v>0.15034732733466866</v>
      </c>
      <c r="R26" s="196"/>
      <c r="S26" s="197">
        <f t="shared" ref="S26:Y26" si="2">MIN(S11:S14)</f>
        <v>2.2604318836678006E-2</v>
      </c>
      <c r="T26" s="197">
        <f t="shared" si="2"/>
        <v>1.5431682370741153</v>
      </c>
      <c r="U26" s="198">
        <f t="shared" si="2"/>
        <v>1.1289372510237645</v>
      </c>
      <c r="V26" s="198">
        <f t="shared" si="2"/>
        <v>0.93860501910857552</v>
      </c>
      <c r="W26" s="198">
        <f t="shared" si="2"/>
        <v>0.87053784744893781</v>
      </c>
      <c r="X26" s="199">
        <f t="shared" si="2"/>
        <v>1827.0096000186284</v>
      </c>
      <c r="Y26" s="200">
        <f t="shared" si="2"/>
        <v>0.13720885825252943</v>
      </c>
      <c r="AB26" s="201">
        <f>Y33</f>
        <v>0.193</v>
      </c>
      <c r="AC26" s="202" t="s">
        <v>124</v>
      </c>
      <c r="AD26" s="202"/>
      <c r="AE26" s="202"/>
      <c r="AF26" s="71"/>
    </row>
    <row r="27" spans="2:35" s="34" customFormat="1" ht="12.75" customHeight="1" x14ac:dyDescent="0.2">
      <c r="B27" s="190" t="s">
        <v>125</v>
      </c>
      <c r="C27" s="191"/>
      <c r="D27" s="192">
        <f>AVERAGE(D11:D14)</f>
        <v>14307.505385</v>
      </c>
      <c r="E27" s="192">
        <f>AVERAGE(E11:E23)</f>
        <v>8276.9207399999977</v>
      </c>
      <c r="F27" s="192">
        <f>AVERAGE(F11:F23)</f>
        <v>0</v>
      </c>
      <c r="G27" s="192">
        <f>AVERAGE(G11:G23)</f>
        <v>2713.1510960000001</v>
      </c>
      <c r="H27" s="192">
        <f>AVERAGE(H11:H14)</f>
        <v>13520.074544999999</v>
      </c>
      <c r="I27" s="192">
        <f>AVERAGE(I11:I14)</f>
        <v>27827.57993</v>
      </c>
      <c r="J27" s="192">
        <f>AVERAGE(J11:J14)</f>
        <v>1356.5792275000001</v>
      </c>
      <c r="K27" s="192">
        <f>AVERAGE(K11:K14)</f>
        <v>26334.020645000001</v>
      </c>
      <c r="L27" s="191"/>
      <c r="M27" s="193">
        <f>AVERAGE(M11:M14)</f>
        <v>9.1194999999999991E-3</v>
      </c>
      <c r="N27" s="192">
        <f>AVERAGE(N11:N14)</f>
        <v>1.25</v>
      </c>
      <c r="O27" s="193">
        <f>AVERAGE(O11:O14)</f>
        <v>2.5925E-2</v>
      </c>
      <c r="P27" s="194"/>
      <c r="Q27" s="195">
        <f>AVERAGE(Q11:Q14)</f>
        <v>0.28834511947771263</v>
      </c>
      <c r="R27" s="196"/>
      <c r="S27" s="197">
        <f t="shared" ref="S27:Y27" si="3">AVERAGE(S11:S14)</f>
        <v>9.0060368719708073E-2</v>
      </c>
      <c r="T27" s="197">
        <f t="shared" si="3"/>
        <v>8.9502303223062292</v>
      </c>
      <c r="U27" s="198">
        <f t="shared" si="3"/>
        <v>8.6278506782399962</v>
      </c>
      <c r="V27" s="198">
        <f t="shared" si="3"/>
        <v>0.97600022704931744</v>
      </c>
      <c r="W27" s="198">
        <f t="shared" si="3"/>
        <v>0.94973248939109389</v>
      </c>
      <c r="X27" s="199">
        <f t="shared" si="3"/>
        <v>12981.584590457804</v>
      </c>
      <c r="Y27" s="200">
        <f t="shared" si="3"/>
        <v>0.16584106197992138</v>
      </c>
      <c r="AB27" s="201">
        <f>Y31</f>
        <v>0.1925</v>
      </c>
      <c r="AC27" s="202" t="s">
        <v>126</v>
      </c>
      <c r="AD27" s="202"/>
      <c r="AE27" s="202"/>
      <c r="AF27" s="203" t="s">
        <v>127</v>
      </c>
    </row>
    <row r="28" spans="2:35" s="34" customFormat="1" ht="12.75" customHeight="1" x14ac:dyDescent="0.2">
      <c r="B28" s="190" t="s">
        <v>128</v>
      </c>
      <c r="C28" s="191"/>
      <c r="D28" s="192">
        <f>MEDIAN(D11:D14)</f>
        <v>14220.246335</v>
      </c>
      <c r="E28" s="192">
        <f>MEDIAN(E11:E23)</f>
        <v>8562.8604599999999</v>
      </c>
      <c r="F28" s="192">
        <f>MEDIAN(F11:F23)</f>
        <v>0</v>
      </c>
      <c r="G28" s="192">
        <f>MEDIAN(G11:G23)</f>
        <v>1269.0250000000001</v>
      </c>
      <c r="H28" s="192">
        <f>MEDIAN(H11:H14)</f>
        <v>10684.383529999999</v>
      </c>
      <c r="I28" s="192">
        <f>MEDIAN(I11:I14)</f>
        <v>24904.629864999999</v>
      </c>
      <c r="J28" s="192">
        <f>MEDIAN(J11:J14)</f>
        <v>1245.4407800000001</v>
      </c>
      <c r="K28" s="192">
        <f>MEDIAN(K11:K14)</f>
        <v>23602.210180000002</v>
      </c>
      <c r="L28" s="191"/>
      <c r="M28" s="193">
        <f>MEDIAN(M11:M14)</f>
        <v>8.8819999999999993E-3</v>
      </c>
      <c r="N28" s="192">
        <f>MEDIAN(N11:N14)</f>
        <v>1.25</v>
      </c>
      <c r="O28" s="193">
        <f>MEDIAN(O11:O14)</f>
        <v>2.5925E-2</v>
      </c>
      <c r="P28" s="194"/>
      <c r="Q28" s="195">
        <f>MEDIAN(Q11:Q14)</f>
        <v>0.31626684664902061</v>
      </c>
      <c r="R28" s="196"/>
      <c r="S28" s="197">
        <f t="shared" ref="S28:Y28" si="4">MEDIAN(S11:S14)</f>
        <v>0.10018365409937879</v>
      </c>
      <c r="T28" s="197">
        <f t="shared" si="4"/>
        <v>2.420232756715877</v>
      </c>
      <c r="U28" s="198">
        <f t="shared" si="4"/>
        <v>2.066635672647521</v>
      </c>
      <c r="V28" s="198">
        <f t="shared" si="4"/>
        <v>0.98269794454434711</v>
      </c>
      <c r="W28" s="198">
        <f t="shared" si="4"/>
        <v>0.96419605505771888</v>
      </c>
      <c r="X28" s="199">
        <f t="shared" si="4"/>
        <v>12990.627197725538</v>
      </c>
      <c r="Y28" s="200">
        <f t="shared" si="4"/>
        <v>0.15919287785861569</v>
      </c>
      <c r="AB28" s="204"/>
      <c r="AC28" s="202"/>
      <c r="AD28" s="202"/>
      <c r="AE28" s="202"/>
      <c r="AF28" s="71"/>
    </row>
    <row r="29" spans="2:35" s="34" customFormat="1" ht="12.75" customHeight="1" x14ac:dyDescent="0.2">
      <c r="B29" s="190" t="s">
        <v>129</v>
      </c>
      <c r="C29" s="191"/>
      <c r="D29" s="192">
        <f>QUARTILE(D11:D14,1)</f>
        <v>6883.2999774999998</v>
      </c>
      <c r="E29" s="192">
        <f>QUARTILE(E11:E23,1)</f>
        <v>553.95600000000002</v>
      </c>
      <c r="F29" s="192">
        <f>QUARTILE(F11:F23,1)</f>
        <v>0</v>
      </c>
      <c r="G29" s="192">
        <f>QUARTILE(G11:G23,1)</f>
        <v>316.10500000000002</v>
      </c>
      <c r="H29" s="192">
        <f>QUARTILE(H11:H14,1)</f>
        <v>7409.6847949999983</v>
      </c>
      <c r="I29" s="192">
        <f>QUARTILE(I11:I14,1)</f>
        <v>15507.053977499998</v>
      </c>
      <c r="J29" s="192">
        <f>QUARTILE(J11:J14,1)</f>
        <v>360.19475</v>
      </c>
      <c r="K29" s="192">
        <f>QUARTILE(K11:K14,1)</f>
        <v>15146.859227500001</v>
      </c>
      <c r="L29" s="191"/>
      <c r="M29" s="193">
        <f>QUARTILE(M11:M14,1)</f>
        <v>0</v>
      </c>
      <c r="N29" s="192">
        <f>QUARTILE(N11:N14,1)</f>
        <v>1.25</v>
      </c>
      <c r="O29" s="193">
        <f>QUARTILE(O11:O14,1)</f>
        <v>2.5925E-2</v>
      </c>
      <c r="P29" s="194"/>
      <c r="Q29" s="195">
        <f>QUARTILE(Q11:Q14,1)</f>
        <v>0.26533173582585567</v>
      </c>
      <c r="R29" s="196"/>
      <c r="S29" s="197">
        <f t="shared" ref="S29:Y29" si="5">QUARTILE(S11:S14,1)</f>
        <v>7.4808068101717709E-2</v>
      </c>
      <c r="T29" s="197">
        <f t="shared" si="5"/>
        <v>1.7617690247026894</v>
      </c>
      <c r="U29" s="198">
        <f t="shared" si="5"/>
        <v>1.4035847347622532</v>
      </c>
      <c r="V29" s="198">
        <f t="shared" si="5"/>
        <v>0.95969138688644406</v>
      </c>
      <c r="W29" s="198">
        <f t="shared" si="5"/>
        <v>0.91705464891521604</v>
      </c>
      <c r="X29" s="199">
        <f t="shared" si="5"/>
        <v>6872.1304108957929</v>
      </c>
      <c r="Y29" s="200">
        <f t="shared" si="5"/>
        <v>0.1462484363984273</v>
      </c>
      <c r="AB29" s="205" t="str">
        <f>IF(ROUND(AB26,3)=ROUND(AB27,3),"","Update Volatility - DLOM")</f>
        <v/>
      </c>
      <c r="AC29" s="206"/>
      <c r="AD29" s="206"/>
      <c r="AE29" s="206"/>
      <c r="AF29" s="76"/>
    </row>
    <row r="30" spans="2:35" s="34" customFormat="1" ht="12.75" customHeight="1" x14ac:dyDescent="0.2">
      <c r="B30" s="190" t="s">
        <v>130</v>
      </c>
      <c r="C30" s="191"/>
      <c r="D30" s="192">
        <f>QUARTILE(D11:D14,3)</f>
        <v>21644.451742500001</v>
      </c>
      <c r="E30" s="192">
        <f>QUARTILE(E11:E23,3)</f>
        <v>10224.737999999999</v>
      </c>
      <c r="F30" s="192">
        <f>QUARTILE(F11:F23,3)</f>
        <v>0</v>
      </c>
      <c r="G30" s="192">
        <f>QUARTILE(G11:G23,3)</f>
        <v>1312.1436000000001</v>
      </c>
      <c r="H30" s="192">
        <f>QUARTILE(H11:H14,3)</f>
        <v>16794.773280000001</v>
      </c>
      <c r="I30" s="192">
        <f>QUARTILE(I11:I14,3)</f>
        <v>37225.155817499995</v>
      </c>
      <c r="J30" s="192">
        <f>QUARTILE(J11:J14,3)</f>
        <v>2241.8252575000001</v>
      </c>
      <c r="K30" s="192">
        <f>QUARTILE(K11:K14,3)</f>
        <v>34789.371597500001</v>
      </c>
      <c r="L30" s="191"/>
      <c r="M30" s="193">
        <f>QUARTILE(M11:M14,3)</f>
        <v>1.8001499999999997E-2</v>
      </c>
      <c r="N30" s="192">
        <f>QUARTILE(N11:N14,3)</f>
        <v>1.25</v>
      </c>
      <c r="O30" s="193">
        <f>QUARTILE(O11:O14,3)</f>
        <v>2.5925E-2</v>
      </c>
      <c r="P30" s="194"/>
      <c r="Q30" s="195">
        <f>QUARTILE(Q11:Q14,3)</f>
        <v>0.33928023030087756</v>
      </c>
      <c r="R30" s="196"/>
      <c r="S30" s="197">
        <f t="shared" ref="S30:Y30" si="6">QUARTILE(S11:S14,3)</f>
        <v>0.11543595471736914</v>
      </c>
      <c r="T30" s="197">
        <f t="shared" si="6"/>
        <v>9.6086940543194164</v>
      </c>
      <c r="U30" s="198">
        <f t="shared" si="6"/>
        <v>9.2909016161252644</v>
      </c>
      <c r="V30" s="198">
        <f t="shared" si="6"/>
        <v>0.9990067847072206</v>
      </c>
      <c r="W30" s="198">
        <f t="shared" si="6"/>
        <v>0.99687389553359684</v>
      </c>
      <c r="X30" s="199">
        <f t="shared" si="6"/>
        <v>19100.081377287548</v>
      </c>
      <c r="Y30" s="200">
        <f t="shared" si="6"/>
        <v>0.17878550344010979</v>
      </c>
      <c r="AB30" s="207" t="str">
        <f>IF(K33&lt;&gt;K35,"Check","")</f>
        <v/>
      </c>
      <c r="AC30" s="202"/>
      <c r="AD30" s="202"/>
      <c r="AE30" s="202"/>
      <c r="AF30" s="202"/>
    </row>
    <row r="31" spans="2:35" s="34" customFormat="1" ht="12.75" customHeight="1" x14ac:dyDescent="0.2">
      <c r="B31" s="208" t="s">
        <v>131</v>
      </c>
      <c r="C31" s="209" t="s">
        <v>59</v>
      </c>
      <c r="D31" s="210"/>
      <c r="E31" s="210"/>
      <c r="F31" s="210"/>
      <c r="G31" s="210"/>
      <c r="H31" s="210"/>
      <c r="I31" s="210"/>
      <c r="J31" s="210"/>
      <c r="K31" s="210"/>
      <c r="L31" s="124"/>
      <c r="M31" s="211"/>
      <c r="N31" s="210"/>
      <c r="O31" s="211"/>
      <c r="P31" s="212"/>
      <c r="Q31" s="213"/>
      <c r="R31" s="214"/>
      <c r="S31" s="215"/>
      <c r="T31" s="215"/>
      <c r="U31" s="216"/>
      <c r="V31" s="216"/>
      <c r="W31" s="216"/>
      <c r="X31" s="217"/>
      <c r="Y31" s="218">
        <f>MROUND(AVERAGE(Y25,Y30),0.25%)</f>
        <v>0.1925</v>
      </c>
      <c r="Z31" s="156"/>
      <c r="AB31" s="219" t="str">
        <f>IF(AND(AB28=$AF$29,AB30=$AF$29,AB29=$AF$29),"","Check")</f>
        <v/>
      </c>
      <c r="AC31" s="202"/>
      <c r="AD31" s="202"/>
      <c r="AE31" s="202"/>
      <c r="AF31" s="202"/>
    </row>
    <row r="32" spans="2:35" s="34" customFormat="1" ht="12.75" customHeight="1" x14ac:dyDescent="0.2">
      <c r="P32" s="103"/>
      <c r="AB32" s="220"/>
      <c r="AC32" s="202"/>
      <c r="AD32" s="202"/>
      <c r="AE32" s="202"/>
      <c r="AF32" s="202"/>
    </row>
    <row r="33" spans="1:25" s="34" customFormat="1" ht="12.75" customHeight="1" x14ac:dyDescent="0.2">
      <c r="B33" s="221" t="str">
        <f>B2</f>
        <v>Satellite Healthcare - Wellbound Santa Cruz</v>
      </c>
      <c r="C33" s="209" t="s">
        <v>59</v>
      </c>
      <c r="D33" s="124"/>
      <c r="E33" s="124"/>
      <c r="F33" s="124"/>
      <c r="G33" s="124"/>
      <c r="H33" s="222">
        <v>0</v>
      </c>
      <c r="I33" s="223"/>
      <c r="J33" s="222">
        <v>0</v>
      </c>
      <c r="K33" s="379">
        <f>'Discount Summary'!$D$21</f>
        <v>1.4463100127818356</v>
      </c>
      <c r="L33" s="124"/>
      <c r="M33" s="224">
        <f>'DLOM_Quantitative Methods'!E11</f>
        <v>0</v>
      </c>
      <c r="N33" s="210">
        <f>N$7</f>
        <v>1.25</v>
      </c>
      <c r="O33" s="225">
        <f>O$7</f>
        <v>2.5925E-2</v>
      </c>
      <c r="P33" s="214"/>
      <c r="Q33" s="226">
        <v>0.193</v>
      </c>
      <c r="R33" s="124"/>
      <c r="S33" s="215">
        <f>IF(Q33="n/a","n/a",Q33^2)</f>
        <v>3.7249000000000004E-2</v>
      </c>
      <c r="T33" s="215">
        <f>IF(OR(K33="n/a",S33="n/a"),"n/a",IF(H33=0,0,IF(M33=0,(LN(K33/H33)+((O33+(S33/2))*N33))/((S33*N33)^0.5),(LN(K33/H33)+((O33-M33+(S33/2))*N33))/((S33*N33)^0.5))))</f>
        <v>0</v>
      </c>
      <c r="U33" s="216">
        <f>IF(T33="n/a","n/a",IF(H33=0,0,T33-(S33*N33)^0.5))</f>
        <v>0</v>
      </c>
      <c r="V33" s="216">
        <f>IF(OR(T33="n/a",S33="n/a"),"n/a",IF(H33=0,0,NORMSDIST(T33)))</f>
        <v>0</v>
      </c>
      <c r="W33" s="216">
        <f>IF(OR(U33="n/a",S33="n/a"),"n/a",IF(H33=0,0,NORMSDIST(U33)))</f>
        <v>0</v>
      </c>
      <c r="X33" s="216">
        <f>IF(OR(K33="n/a",S33="n/a"),"n/a",IF(M33=0,(K33*V33)-((H33*EXP(1)^(-O33*N33))*W33),(K33*(2.718^(-M33*N33))*V33)-(H33*(2.718^(-O33*N33))*W33)))</f>
        <v>0</v>
      </c>
      <c r="Y33" s="227">
        <f>IF(LEN(B33)&gt;0,IF(H33=0,Q33,IF(ISERROR(Q33/((K33/X33)*V33)),"n/a",Q33/((K33/X33)*V33))))</f>
        <v>0.193</v>
      </c>
    </row>
    <row r="34" spans="1:25" s="34" customFormat="1" ht="12.75" customHeight="1" x14ac:dyDescent="0.2">
      <c r="P34" s="103"/>
    </row>
    <row r="35" spans="1:25" s="34" customFormat="1" ht="12.75" hidden="1" customHeight="1" outlineLevel="1" x14ac:dyDescent="0.2">
      <c r="B35" s="221" t="str">
        <f>B33</f>
        <v>Satellite Healthcare - Wellbound Santa Cruz</v>
      </c>
      <c r="C35" s="209" t="s">
        <v>74</v>
      </c>
      <c r="D35" s="124"/>
      <c r="E35" s="124"/>
      <c r="F35" s="124"/>
      <c r="G35" s="124"/>
      <c r="H35" s="228">
        <f>H33</f>
        <v>0</v>
      </c>
      <c r="I35" s="124"/>
      <c r="J35" s="228">
        <f>J33</f>
        <v>0</v>
      </c>
      <c r="K35" s="228">
        <f>K33</f>
        <v>1.4463100127818356</v>
      </c>
      <c r="L35" s="124"/>
      <c r="M35" s="213">
        <f>M33</f>
        <v>0</v>
      </c>
      <c r="N35" s="210">
        <f>N$7</f>
        <v>1.25</v>
      </c>
      <c r="O35" s="225">
        <f>O$7</f>
        <v>2.5925E-2</v>
      </c>
      <c r="P35" s="214"/>
      <c r="Q35" s="226">
        <v>0.27300000000000002</v>
      </c>
      <c r="R35" s="124"/>
      <c r="S35" s="215">
        <f>IF(Q35="n/a","n/a",Q35^2)</f>
        <v>7.4529000000000012E-2</v>
      </c>
      <c r="T35" s="215">
        <f>IF(OR(K35="n/a",S35="n/a"),"n/a",IF(H35=0,0,IF(M35=0,(LN(K35/H35)+((O35+(S35/2))*N35))/((S35*N35)^0.5),(LN(K35/H35)+((O35-M35+(S35/2))*N35))/((S35*N35)^0.5))))</f>
        <v>0</v>
      </c>
      <c r="U35" s="216">
        <f>IF(T35="n/a","n/a",IF(H35=0,0,T35-(S35*N35)^0.5))</f>
        <v>0</v>
      </c>
      <c r="V35" s="216">
        <f>IF(OR(T35="n/a",S35="n/a"),"n/a",IF(H35=0,0,NORMSDIST(T35)))</f>
        <v>0</v>
      </c>
      <c r="W35" s="216">
        <f>IF(OR(U35="n/a",S35="n/a"),"n/a",IF(H35=0,0,NORMSDIST(U35)))</f>
        <v>0</v>
      </c>
      <c r="X35" s="216">
        <f>IF(OR(K35="n/a",S35="n/a"),"n/a",IF(M35=0,(K35*V35)-((H35*EXP(1)^(-O35*N35))*W35),(K35*(2.718^(-M35*N35))*V35)-(H35*(2.718^(-O35*N35))*W35)))</f>
        <v>0</v>
      </c>
      <c r="Y35" s="227">
        <f>IF(LEN(B35)&gt;0,IF(H35=0,Q35,IF(ISERROR(Q35/((K35/X35)*V35)),"n/a",Q35/((K35/X35)*V35))))</f>
        <v>0.27300000000000002</v>
      </c>
    </row>
    <row r="36" spans="1:25" s="34" customFormat="1" ht="12.75" hidden="1" customHeight="1" outlineLevel="1" x14ac:dyDescent="0.2">
      <c r="P36" s="103"/>
    </row>
    <row r="37" spans="1:25" s="34" customFormat="1" ht="12.75" customHeight="1" collapsed="1" x14ac:dyDescent="0.2">
      <c r="B37" s="127" t="s">
        <v>132</v>
      </c>
      <c r="P37" s="103"/>
    </row>
    <row r="38" spans="1:25" s="34" customFormat="1" ht="12.75" customHeight="1" x14ac:dyDescent="0.2">
      <c r="A38" s="128" t="s">
        <v>55</v>
      </c>
      <c r="B38" s="400" t="s">
        <v>133</v>
      </c>
      <c r="C38" s="400"/>
      <c r="D38" s="400"/>
      <c r="E38" s="400"/>
      <c r="F38" s="400"/>
      <c r="G38" s="400"/>
      <c r="H38" s="400"/>
      <c r="I38" s="400"/>
      <c r="J38" s="400"/>
      <c r="K38" s="400"/>
      <c r="L38" s="400"/>
      <c r="M38" s="400"/>
      <c r="N38" s="400"/>
      <c r="O38" s="400"/>
      <c r="P38" s="400"/>
      <c r="Q38" s="400"/>
      <c r="R38" s="400"/>
      <c r="S38" s="400"/>
      <c r="T38" s="400"/>
      <c r="U38" s="400"/>
      <c r="V38" s="400"/>
      <c r="W38" s="400"/>
      <c r="X38" s="400"/>
      <c r="Y38" s="400"/>
    </row>
    <row r="39" spans="1:25" s="34" customFormat="1" ht="13.5" customHeight="1" x14ac:dyDescent="0.2">
      <c r="A39" s="128" t="s">
        <v>59</v>
      </c>
      <c r="B39" s="400" t="s">
        <v>134</v>
      </c>
      <c r="C39" s="400"/>
      <c r="D39" s="400"/>
      <c r="E39" s="400"/>
      <c r="F39" s="400"/>
      <c r="G39" s="400"/>
      <c r="H39" s="400"/>
      <c r="I39" s="400"/>
      <c r="J39" s="400"/>
      <c r="K39" s="400"/>
      <c r="L39" s="400"/>
      <c r="M39" s="400"/>
      <c r="N39" s="400"/>
      <c r="O39" s="400"/>
      <c r="P39" s="400"/>
      <c r="Q39" s="400"/>
      <c r="R39" s="400"/>
      <c r="S39" s="400"/>
      <c r="T39" s="400"/>
      <c r="U39" s="400"/>
      <c r="V39" s="400"/>
      <c r="W39" s="400"/>
      <c r="X39" s="400"/>
      <c r="Y39" s="400"/>
    </row>
    <row r="40" spans="1:25" s="34" customFormat="1" ht="12.75" customHeight="1" x14ac:dyDescent="0.2">
      <c r="A40" s="128"/>
      <c r="P40" s="103"/>
    </row>
    <row r="41" spans="1:25" s="34" customFormat="1" ht="12.75" customHeight="1" x14ac:dyDescent="0.2">
      <c r="B41" s="127" t="s">
        <v>135</v>
      </c>
      <c r="P41" s="103"/>
    </row>
    <row r="42" spans="1:25" s="34" customFormat="1" ht="12.75" customHeight="1" x14ac:dyDescent="0.2">
      <c r="P42" s="103"/>
    </row>
  </sheetData>
  <mergeCells count="2">
    <mergeCell ref="B38:Y38"/>
    <mergeCell ref="B39:Y39"/>
  </mergeCells>
  <conditionalFormatting sqref="B16:B22">
    <cfRule type="cellIs" dxfId="25" priority="4" operator="equal">
      <formula>"(Invalid Identifier)"</formula>
    </cfRule>
  </conditionalFormatting>
  <conditionalFormatting sqref="C4:Y4">
    <cfRule type="cellIs" dxfId="24" priority="3" stopIfTrue="1" operator="equal">
      <formula>"input"</formula>
    </cfRule>
  </conditionalFormatting>
  <conditionalFormatting sqref="B4">
    <cfRule type="cellIs" dxfId="23" priority="2" stopIfTrue="1" operator="equal">
      <formula>"input"</formula>
    </cfRule>
  </conditionalFormatting>
  <conditionalFormatting sqref="B11:B15">
    <cfRule type="cellIs" dxfId="22" priority="1" operator="equal">
      <formula>"(Invalid Identifier)"</formula>
    </cfRule>
  </conditionalFormatting>
  <pageMargins left="0.5" right="0.5" top="0.5" bottom="0.5" header="0.5" footer="0.5"/>
  <pageSetup scale="85" fitToWidth="0" fitToHeight="0" orientation="landscape"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Title</vt:lpstr>
      <vt:lpstr>Outline</vt:lpstr>
      <vt:lpstr>Discount Summary</vt:lpstr>
      <vt:lpstr>9 Factor Discount Analysis</vt:lpstr>
      <vt:lpstr>DLOM_Quantitative Methods</vt:lpstr>
      <vt:lpstr>DLOM Restricted Stock Studies</vt:lpstr>
      <vt:lpstr>Asset Vol_2</vt:lpstr>
      <vt:lpstr>Asset Vol_3</vt:lpstr>
      <vt:lpstr>Asset Vol_4</vt:lpstr>
      <vt:lpstr>Control Premium Summary</vt:lpstr>
      <vt:lpstr>Risk-Free Rates</vt:lpstr>
      <vt:lpstr>Equity Vol</vt:lpstr>
      <vt:lpstr>DO NOT INCLUDE&gt;&gt;</vt:lpstr>
      <vt:lpstr>Equity Volatility - Output</vt:lpstr>
      <vt:lpstr>'9 Factor Discount Analysis'!Print_Area</vt:lpstr>
      <vt:lpstr>'Asset Vol_2'!Print_Area</vt:lpstr>
      <vt:lpstr>'Asset Vol_3'!Print_Area</vt:lpstr>
      <vt:lpstr>'Asset Vol_4'!Print_Area</vt:lpstr>
      <vt:lpstr>'Control Premium Summary'!Print_Area</vt:lpstr>
      <vt:lpstr>'Discount Summary'!Print_Area</vt:lpstr>
      <vt:lpstr>'DLOM Restricted Stock Studies'!Print_Area</vt:lpstr>
      <vt:lpstr>'DLOM_Quantitative Methods'!Print_Area</vt:lpstr>
      <vt:lpstr>'Equity Vol'!Print_Area</vt:lpstr>
      <vt:lpstr>'Equity Volatility - Output'!Print_Area</vt:lpstr>
      <vt:lpstr>Outline!Print_Area</vt:lpstr>
      <vt:lpstr>'Risk-Free Rates'!Print_Area</vt:lpstr>
      <vt:lpstr>Title!Print_Area</vt:lpstr>
      <vt:lpstr>'9 Factor Discount Analysis'!Print_Titles</vt:lpstr>
      <vt:lpstr>'Asset Vol_2'!Print_Titles</vt:lpstr>
      <vt:lpstr>'Asset Vol_3'!Print_Titles</vt:lpstr>
      <vt:lpstr>'Asset Vol_4'!Print_Titles</vt:lpstr>
      <vt:lpstr>'Control Premium Summary'!Print_Titles</vt:lpstr>
      <vt:lpstr>'Discount Summary'!Print_Titles</vt:lpstr>
      <vt:lpstr>'DLOM Restricted Stock Studies'!Print_Titles</vt:lpstr>
      <vt:lpstr>'DLOM_Quantitative Methods'!Print_Titles</vt:lpstr>
      <vt:lpstr>'Equity Vol'!Print_Titles</vt:lpstr>
      <vt:lpstr>Outline!Print_Titles</vt:lpstr>
      <vt:lpstr>'Risk-Free Rates'!Print_Titles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CIQ RNA</dc:creator>
  <cp:lastModifiedBy>CIQ FOX</cp:lastModifiedBy>
  <cp:lastPrinted>2019-05-14T09:56:59Z</cp:lastPrinted>
  <dcterms:created xsi:type="dcterms:W3CDTF">2018-11-01T08:09:57Z</dcterms:created>
  <dcterms:modified xsi:type="dcterms:W3CDTF">2019-05-14T09:57:11Z</dcterms:modified>
</cp:coreProperties>
</file>