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O:\Valuation\RNA Advisors\Satellite Health\WB Santa Cruz\BEV VD 12.31.2018\6 - Analysis\"/>
    </mc:Choice>
  </mc:AlternateContent>
  <bookViews>
    <workbookView xWindow="0" yWindow="0" windowWidth="20490" windowHeight="5955" firstSheet="1" activeTab="3"/>
  </bookViews>
  <sheets>
    <sheet name="Title" sheetId="16" r:id="rId1"/>
    <sheet name="Outline" sheetId="17" r:id="rId2"/>
    <sheet name="_CIQHiddenCacheSheet" sheetId="285" state="veryHidden" r:id="rId3"/>
    <sheet name="A1" sheetId="60" r:id="rId4"/>
    <sheet name="C1" sheetId="55" r:id="rId5"/>
    <sheet name="C2" sheetId="61" r:id="rId6"/>
    <sheet name="C3" sheetId="47" r:id="rId7"/>
    <sheet name="E1" sheetId="48" r:id="rId8"/>
    <sheet name="E2" sheetId="76" r:id="rId9"/>
    <sheet name="E3" sheetId="63" r:id="rId10"/>
    <sheet name="F1" sheetId="51" r:id="rId11"/>
    <sheet name="F2" sheetId="77" r:id="rId12"/>
    <sheet name="F3" sheetId="53" r:id="rId13"/>
    <sheet name="BackgroundInfo&gt;&gt;&gt;" sheetId="59" r:id="rId14"/>
    <sheet name="WACC CAPM" sheetId="110" r:id="rId15"/>
    <sheet name="Beta Calc" sheetId="107" r:id="rId16"/>
    <sheet name="WACC" sheetId="50" state="hidden" r:id="rId17"/>
    <sheet name="Trends for Comparables_Historic" sheetId="126" r:id="rId18"/>
    <sheet name="Trends for Comparables_Forecast" sheetId="179" r:id="rId19"/>
    <sheet name="Trends for M&amp;A Targets" sheetId="157" r:id="rId20"/>
    <sheet name="Do not include&gt;&gt;&gt;" sheetId="114" r:id="rId21"/>
    <sheet name="Historical Actuals" sheetId="85" r:id="rId22"/>
    <sheet name="2019 FY Budget" sheetId="276" r:id="rId23"/>
    <sheet name="YTD 2018 Budget" sheetId="277" r:id="rId24"/>
    <sheet name="FA INV LIST" sheetId="268" r:id="rId25"/>
    <sheet name="D1" sheetId="253" r:id="rId26"/>
    <sheet name="C2notUsed" sheetId="25" state="hidden"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 localSheetId="5" hidden="1">#REF!</definedName>
    <definedName name="_" localSheetId="25" hidden="1">#REF!</definedName>
    <definedName name="_" localSheetId="20" hidden="1">#REF!</definedName>
    <definedName name="_" localSheetId="8" hidden="1">#REF!</definedName>
    <definedName name="_" localSheetId="18" hidden="1">#REF!</definedName>
    <definedName name="_" localSheetId="17" hidden="1">#REF!</definedName>
    <definedName name="_" localSheetId="19" hidden="1">#REF!</definedName>
    <definedName name="_" hidden="1">#REF!</definedName>
    <definedName name="__123Graph_A" hidden="1">'[1]Sheet1 (2)'!$H$20:$O$20</definedName>
    <definedName name="__123Graph_B" hidden="1">'[1]Sheet1 (2)'!$H$15:$O$15</definedName>
    <definedName name="__123Graph_X" hidden="1">'[1]Sheet1 (2)'!$H$3:$P$3</definedName>
    <definedName name="__FDS_HYPERLINK_TOGGLE_STATE__" hidden="1">"ON"</definedName>
    <definedName name="__IntlFixup" hidden="1">TRUE</definedName>
    <definedName name="__IntlFixupTable" localSheetId="5" hidden="1">#REF!</definedName>
    <definedName name="__IntlFixupTable" localSheetId="25" hidden="1">#REF!</definedName>
    <definedName name="__IntlFixupTable" localSheetId="20" hidden="1">#REF!</definedName>
    <definedName name="__IntlFixupTable" localSheetId="8" hidden="1">#REF!</definedName>
    <definedName name="__IntlFixupTable" localSheetId="11" hidden="1">#REF!</definedName>
    <definedName name="__IntlFixupTable" localSheetId="18" hidden="1">#REF!</definedName>
    <definedName name="__IntlFixupTable" localSheetId="17" hidden="1">#REF!</definedName>
    <definedName name="__IntlFixupTable" localSheetId="19" hidden="1">#REF!</definedName>
    <definedName name="__IntlFixupTable" hidden="1">#REF!</definedName>
    <definedName name="_1__123Graph_ACHART_1" hidden="1">[2]Africa!$B$19:$V$19</definedName>
    <definedName name="_10__123Graph_ACHART_18" hidden="1">[2]Ocean!$B$28:$V$28</definedName>
    <definedName name="_11__123Graph_ACHART_19" hidden="1">'[2]S Amer'!$B$19:$V$19</definedName>
    <definedName name="_12__123Graph_ACHART_2" hidden="1">[2]Africa!$B$14:$V$14</definedName>
    <definedName name="_13__123Graph_ACHART_20" hidden="1">'[2]S Amer'!$B$14:$V$14</definedName>
    <definedName name="_14__123Graph_ACHART_21" hidden="1">'[2]S Amer'!$B$28:$V$28</definedName>
    <definedName name="_15__123Graph_ACHART_22" hidden="1">'[2]W Eur'!$B$19:$V$19</definedName>
    <definedName name="_16__123Graph_ACHART_23" hidden="1">'[2]W Eur'!$B$14:$V$14</definedName>
    <definedName name="_17__123Graph_ACHART_24" hidden="1">'[2]W Eur'!$B$28:$V$28</definedName>
    <definedName name="_18__123Graph_ACHART_3" hidden="1">[2]Africa!$B$28:$V$28</definedName>
    <definedName name="_19__123Graph_ACHART_4" hidden="1">'[2]C Amer'!$B$19:$V$19</definedName>
    <definedName name="_2__123Graph_ACHART_10" hidden="1">'[2]E Eur'!$B$14:$V$14</definedName>
    <definedName name="_20__123Graph_ACHART_5" hidden="1">'[2]C Amer'!$B$14:$V$14</definedName>
    <definedName name="_21__123Graph_ACHART_6" hidden="1">'[2]C Amer'!$B$28:$V$28</definedName>
    <definedName name="_22__123Graph_ACHART_7" hidden="1">'[2]E Asia'!$B$19:$V$19</definedName>
    <definedName name="_23__123Graph_ACHART_8" hidden="1">'[2]E Asia'!$B$14:$V$14</definedName>
    <definedName name="_24__123Graph_ACHART_9" hidden="1">'[2]E Eur'!$B$19:$V$19</definedName>
    <definedName name="_25__123Graph_BCHART_1" hidden="1">[2]Africa!$B$21:$V$21</definedName>
    <definedName name="_26__123Graph_BCHART_10" hidden="1">'[2]E Eur'!$B$51:$V$51</definedName>
    <definedName name="_27__123Graph_BCHART_13" hidden="1">[2]Mideast!$B$21:$V$21</definedName>
    <definedName name="_28__123Graph_BCHART_14" hidden="1">[2]Mideast!$B$51:$V$51</definedName>
    <definedName name="_29__123Graph_BCHART_16" hidden="1">[2]Ocean!$B$21:$V$21</definedName>
    <definedName name="_3__123Graph_ACHART_11" hidden="1">'[2]E Eur'!$B$28:$V$28</definedName>
    <definedName name="_30__123Graph_BCHART_17" hidden="1">[2]Ocean!$B$51:$V$51</definedName>
    <definedName name="_31__123Graph_BCHART_19" hidden="1">'[2]S Amer'!$B$21:$V$21</definedName>
    <definedName name="_32__123Graph_BCHART_2" hidden="1">[2]Africa!$B$51:$V$51</definedName>
    <definedName name="_33__123Graph_BCHART_20" hidden="1">'[2]S Amer'!$B$51:$V$51</definedName>
    <definedName name="_34__123Graph_BCHART_22" hidden="1">'[2]W Eur'!$B$21:$V$21</definedName>
    <definedName name="_35__123Graph_BCHART_23" hidden="1">'[2]W Eur'!$B$51:$V$51</definedName>
    <definedName name="_36__123Graph_BCHART_4" hidden="1">'[2]C Amer'!$B$21:$V$21</definedName>
    <definedName name="_37__123Graph_BCHART_5" hidden="1">'[2]C Amer'!$B$51:$V$51</definedName>
    <definedName name="_38__123Graph_BCHART_7" hidden="1">'[2]E Asia'!$B$21:$V$21</definedName>
    <definedName name="_39__123Graph_BCHART_8" hidden="1">'[2]E Asia'!$B$51:$V$51</definedName>
    <definedName name="_4__123Graph_ACHART_12" hidden="1">'[2]E Asia'!$B$28:$V$28</definedName>
    <definedName name="_40__123Graph_BCHART_9" hidden="1">'[2]E Eur'!$B$21:$V$21</definedName>
    <definedName name="_41__123Graph_CCHART_10" hidden="1">'[2]E Eur'!$B$13:$V$13</definedName>
    <definedName name="_42__123Graph_CCHART_14" hidden="1">[2]Mideast!$B$13:$V$13</definedName>
    <definedName name="_43__123Graph_CCHART_17" hidden="1">[2]Ocean!$B$13:$V$13</definedName>
    <definedName name="_44__123Graph_CCHART_2" hidden="1">[2]Africa!$B$13:$V$13</definedName>
    <definedName name="_45__123Graph_CCHART_20" hidden="1">'[2]S Amer'!$B$13:$V$13</definedName>
    <definedName name="_46__123Graph_CCHART_23" hidden="1">'[2]W Eur'!$B$13:$V$13</definedName>
    <definedName name="_47__123Graph_CCHART_5" hidden="1">'[2]C Amer'!$B$13:$V$13</definedName>
    <definedName name="_48__123Graph_CCHART_8" hidden="1">'[2]E Asia'!$B$13:$V$13</definedName>
    <definedName name="_49__123Graph_XCHART_10" hidden="1">'[2]E Eur'!$B$8:$V$8</definedName>
    <definedName name="_5__123Graph_ACHART_13" hidden="1">[2]Mideast!$B$19:$V$19</definedName>
    <definedName name="_50__123Graph_XCHART_11" hidden="1">'[2]E Eur'!$B$8:$V$8</definedName>
    <definedName name="_51__123Graph_XCHART_14" hidden="1">[2]Mideast!$B$8:$V$8</definedName>
    <definedName name="_52__123Graph_XCHART_15" hidden="1">[2]Mideast!$B$8:$V$8</definedName>
    <definedName name="_53__123Graph_XCHART_17" hidden="1">[2]Ocean!$B$8:$V$8</definedName>
    <definedName name="_54__123Graph_XCHART_18" hidden="1">[2]Ocean!$B$8:$V$8</definedName>
    <definedName name="_55__123Graph_XCHART_2" hidden="1">[2]Africa!$B$8:$V$8</definedName>
    <definedName name="_56__123Graph_XCHART_20" hidden="1">'[2]S Amer'!$B$8:$V$8</definedName>
    <definedName name="_57__123Graph_XCHART_21" hidden="1">'[2]S Amer'!$B$8:$V$8</definedName>
    <definedName name="_58__123Graph_XCHART_23" hidden="1">'[2]W Eur'!$B$8:$V$8</definedName>
    <definedName name="_59__123Graph_XCHART_24" hidden="1">'[2]W Eur'!$B$8:$V$8</definedName>
    <definedName name="_6__123Graph_ACHART_14" hidden="1">[2]Mideast!$B$14:$V$14</definedName>
    <definedName name="_60__123Graph_XCHART_3" hidden="1">[2]Africa!$B$8:$V$8</definedName>
    <definedName name="_61__123Graph_XCHART_5" hidden="1">'[2]C Amer'!$B$8:$V$8</definedName>
    <definedName name="_62__123Graph_XCHART_6" hidden="1">'[2]C Amer'!$B$8:$V$8</definedName>
    <definedName name="_63__123Graph_XCHART_8" hidden="1">'[2]E Asia'!$B$8:$V$8</definedName>
    <definedName name="_64_0_0Cwvu.GREY_A" localSheetId="3" hidden="1">[3]TargIS!#REF!</definedName>
    <definedName name="_64_0_0Cwvu.GREY_A" localSheetId="5" hidden="1">[3]TargIS!#REF!</definedName>
    <definedName name="_64_0_0Cwvu.GREY_A" localSheetId="25" hidden="1">[3]TargIS!#REF!</definedName>
    <definedName name="_64_0_0Cwvu.GREY_A" localSheetId="20" hidden="1">[3]TargIS!#REF!</definedName>
    <definedName name="_64_0_0Cwvu.GREY_A" localSheetId="7" hidden="1">[3]TargIS!#REF!</definedName>
    <definedName name="_64_0_0Cwvu.GREY_A" localSheetId="8" hidden="1">[3]TargIS!#REF!</definedName>
    <definedName name="_64_0_0Cwvu.GREY_A" localSheetId="9" hidden="1">[3]TargIS!#REF!</definedName>
    <definedName name="_64_0_0Cwvu.GREY_A" localSheetId="10" hidden="1">[3]TargIS!#REF!</definedName>
    <definedName name="_64_0_0Cwvu.GREY_A" localSheetId="11" hidden="1">[3]TargIS!#REF!</definedName>
    <definedName name="_64_0_0Cwvu.GREY_A" localSheetId="12" hidden="1">[3]TargIS!#REF!</definedName>
    <definedName name="_64_0_0Cwvu.GREY_A" localSheetId="18" hidden="1">[3]TargIS!#REF!</definedName>
    <definedName name="_64_0_0Cwvu.GREY_A" localSheetId="17" hidden="1">[3]TargIS!#REF!</definedName>
    <definedName name="_64_0_0Cwvu.GREY_A" localSheetId="19" hidden="1">[3]TargIS!#REF!</definedName>
    <definedName name="_64_0_0Cwvu.GREY_A" hidden="1">[3]TargIS!#REF!</definedName>
    <definedName name="_7__123Graph_ACHART_15" hidden="1">[2]Mideast!$B$28:$V$28</definedName>
    <definedName name="_8__123Graph_ACHART_16" hidden="1">[2]Ocean!$B$19:$V$19</definedName>
    <definedName name="_9__123Graph_ACHART_17" hidden="1">[2]Ocean!$B$14:$V$14</definedName>
    <definedName name="_bdm.FBC8F4734CD44B95848F689416B40C4F.edm" localSheetId="3" hidden="1">#REF!</definedName>
    <definedName name="_bdm.FBC8F4734CD44B95848F689416B40C4F.edm" localSheetId="5" hidden="1">#REF!</definedName>
    <definedName name="_bdm.FBC8F4734CD44B95848F689416B40C4F.edm" localSheetId="25" hidden="1">#REF!</definedName>
    <definedName name="_bdm.FBC8F4734CD44B95848F689416B40C4F.edm" localSheetId="20" hidden="1">#REF!</definedName>
    <definedName name="_bdm.FBC8F4734CD44B95848F689416B40C4F.edm" localSheetId="7" hidden="1">#REF!</definedName>
    <definedName name="_bdm.FBC8F4734CD44B95848F689416B40C4F.edm" localSheetId="8" hidden="1">#REF!</definedName>
    <definedName name="_bdm.FBC8F4734CD44B95848F689416B40C4F.edm" localSheetId="9" hidden="1">#REF!</definedName>
    <definedName name="_bdm.FBC8F4734CD44B95848F689416B40C4F.edm" localSheetId="10" hidden="1">#REF!</definedName>
    <definedName name="_bdm.FBC8F4734CD44B95848F689416B40C4F.edm" localSheetId="11" hidden="1">#REF!</definedName>
    <definedName name="_bdm.FBC8F4734CD44B95848F689416B40C4F.edm" localSheetId="12" hidden="1">#REF!</definedName>
    <definedName name="_bdm.FBC8F4734CD44B95848F689416B40C4F.edm" localSheetId="18" hidden="1">#REF!</definedName>
    <definedName name="_bdm.FBC8F4734CD44B95848F689416B40C4F.edm" localSheetId="17" hidden="1">#REF!</definedName>
    <definedName name="_bdm.FBC8F4734CD44B95848F689416B40C4F.edm" localSheetId="19" hidden="1">#REF!</definedName>
    <definedName name="_bdm.FBC8F4734CD44B95848F689416B40C4F.edm" hidden="1">#REF!</definedName>
    <definedName name="_Dist_Values" localSheetId="3" hidden="1">#REF!</definedName>
    <definedName name="_Dist_Values" localSheetId="5" hidden="1">#REF!</definedName>
    <definedName name="_Dist_Values" localSheetId="25" hidden="1">#REF!</definedName>
    <definedName name="_Dist_Values" localSheetId="20" hidden="1">#REF!</definedName>
    <definedName name="_Dist_Values" localSheetId="7" hidden="1">#REF!</definedName>
    <definedName name="_Dist_Values" localSheetId="8" hidden="1">#REF!</definedName>
    <definedName name="_Dist_Values" localSheetId="9" hidden="1">#REF!</definedName>
    <definedName name="_Dist_Values" localSheetId="10" hidden="1">#REF!</definedName>
    <definedName name="_Dist_Values" localSheetId="11" hidden="1">#REF!</definedName>
    <definedName name="_Dist_Values" localSheetId="12" hidden="1">#REF!</definedName>
    <definedName name="_Dist_Values" localSheetId="18" hidden="1">#REF!</definedName>
    <definedName name="_Dist_Values" localSheetId="17" hidden="1">#REF!</definedName>
    <definedName name="_Dist_Values" localSheetId="19" hidden="1">#REF!</definedName>
    <definedName name="_Dist_Values" hidden="1">#REF!</definedName>
    <definedName name="_Fill" localSheetId="3" hidden="1">#REF!</definedName>
    <definedName name="_Fill" localSheetId="5" hidden="1">#REF!</definedName>
    <definedName name="_Fill" localSheetId="25" hidden="1">#REF!</definedName>
    <definedName name="_Fill" localSheetId="20"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2" hidden="1">#REF!</definedName>
    <definedName name="_Fill" localSheetId="18" hidden="1">#REF!</definedName>
    <definedName name="_Fill" localSheetId="17" hidden="1">#REF!</definedName>
    <definedName name="_Fill" localSheetId="19" hidden="1">#REF!</definedName>
    <definedName name="_Fill" hidden="1">#REF!</definedName>
    <definedName name="_Key1" localSheetId="3" hidden="1">#REF!</definedName>
    <definedName name="_Key1" localSheetId="5" hidden="1">#REF!</definedName>
    <definedName name="_Key1" localSheetId="25" hidden="1">#REF!</definedName>
    <definedName name="_Key1" localSheetId="20"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2" hidden="1">#REF!</definedName>
    <definedName name="_Key1" localSheetId="18" hidden="1">#REF!</definedName>
    <definedName name="_Key1" localSheetId="17" hidden="1">#REF!</definedName>
    <definedName name="_Key1" localSheetId="19" hidden="1">#REF!</definedName>
    <definedName name="_Key1" hidden="1">#REF!</definedName>
    <definedName name="_Key2" localSheetId="3" hidden="1">#REF!</definedName>
    <definedName name="_Key2" localSheetId="5" hidden="1">#REF!</definedName>
    <definedName name="_Key2" localSheetId="25" hidden="1">#REF!</definedName>
    <definedName name="_Key2" localSheetId="20" hidden="1">#REF!</definedName>
    <definedName name="_Key2" localSheetId="7" hidden="1">#REF!</definedName>
    <definedName name="_Key2" localSheetId="8" hidden="1">#REF!</definedName>
    <definedName name="_Key2" localSheetId="9" hidden="1">#REF!</definedName>
    <definedName name="_Key2" localSheetId="10" hidden="1">#REF!</definedName>
    <definedName name="_Key2" localSheetId="11" hidden="1">#REF!</definedName>
    <definedName name="_Key2" localSheetId="12" hidden="1">#REF!</definedName>
    <definedName name="_Key2" localSheetId="18" hidden="1">#REF!</definedName>
    <definedName name="_Key2" localSheetId="17" hidden="1">#REF!</definedName>
    <definedName name="_Key2" localSheetId="19" hidden="1">#REF!</definedName>
    <definedName name="_Key2" hidden="1">#REF!</definedName>
    <definedName name="_Order1" localSheetId="3" hidden="1">0</definedName>
    <definedName name="_Order1" localSheetId="9" hidden="1">0</definedName>
    <definedName name="_Order1" localSheetId="12" hidden="1">0</definedName>
    <definedName name="_Order1" hidden="1">255</definedName>
    <definedName name="_Order2" hidden="1">255</definedName>
    <definedName name="_Sort" localSheetId="3" hidden="1">#REF!</definedName>
    <definedName name="_Sort" localSheetId="5" hidden="1">#REF!</definedName>
    <definedName name="_Sort" localSheetId="25" hidden="1">#REF!</definedName>
    <definedName name="_Sort" localSheetId="20"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2" hidden="1">#REF!</definedName>
    <definedName name="_Sort" localSheetId="18" hidden="1">#REF!</definedName>
    <definedName name="_Sort" localSheetId="17" hidden="1">#REF!</definedName>
    <definedName name="_Sort" localSheetId="19" hidden="1">#REF!</definedName>
    <definedName name="_Sort" hidden="1">#REF!</definedName>
    <definedName name="_Table1_In1" localSheetId="3" hidden="1">#REF!</definedName>
    <definedName name="_Table1_In1" localSheetId="5" hidden="1">#REF!</definedName>
    <definedName name="_Table1_In1" localSheetId="25" hidden="1">#REF!</definedName>
    <definedName name="_Table1_In1" localSheetId="20" hidden="1">#REF!</definedName>
    <definedName name="_Table1_In1" localSheetId="7" hidden="1">#REF!</definedName>
    <definedName name="_Table1_In1" localSheetId="8" hidden="1">#REF!</definedName>
    <definedName name="_Table1_In1" localSheetId="9" hidden="1">#REF!</definedName>
    <definedName name="_Table1_In1" localSheetId="10" hidden="1">#REF!</definedName>
    <definedName name="_Table1_In1" localSheetId="11" hidden="1">#REF!</definedName>
    <definedName name="_Table1_In1" localSheetId="12" hidden="1">#REF!</definedName>
    <definedName name="_Table1_In1" localSheetId="18" hidden="1">#REF!</definedName>
    <definedName name="_Table1_In1" localSheetId="17" hidden="1">#REF!</definedName>
    <definedName name="_Table1_In1" localSheetId="19" hidden="1">#REF!</definedName>
    <definedName name="_Table1_In1" localSheetId="16" hidden="1">#REF!</definedName>
    <definedName name="_Table1_In1" hidden="1">#REF!</definedName>
    <definedName name="_Table1_Out" localSheetId="3" hidden="1">#REF!</definedName>
    <definedName name="_Table1_Out" localSheetId="5" hidden="1">#REF!</definedName>
    <definedName name="_Table1_Out" localSheetId="25" hidden="1">#REF!</definedName>
    <definedName name="_Table1_Out" localSheetId="20" hidden="1">#REF!</definedName>
    <definedName name="_Table1_Out" localSheetId="7" hidden="1">#REF!</definedName>
    <definedName name="_Table1_Out" localSheetId="8" hidden="1">#REF!</definedName>
    <definedName name="_Table1_Out" localSheetId="9" hidden="1">#REF!</definedName>
    <definedName name="_Table1_Out" localSheetId="10" hidden="1">#REF!</definedName>
    <definedName name="_Table1_Out" localSheetId="11" hidden="1">#REF!</definedName>
    <definedName name="_Table1_Out" localSheetId="12" hidden="1">#REF!</definedName>
    <definedName name="_Table1_Out" localSheetId="18" hidden="1">#REF!</definedName>
    <definedName name="_Table1_Out" localSheetId="17" hidden="1">#REF!</definedName>
    <definedName name="_Table1_Out" localSheetId="19" hidden="1">#REF!</definedName>
    <definedName name="_Table1_Out" hidden="1">#REF!</definedName>
    <definedName name="_Table2_In1" localSheetId="3" hidden="1">#REF!</definedName>
    <definedName name="_Table2_In1" localSheetId="5" hidden="1">#REF!</definedName>
    <definedName name="_Table2_In1" localSheetId="25" hidden="1">#REF!</definedName>
    <definedName name="_Table2_In1" localSheetId="20" hidden="1">#REF!</definedName>
    <definedName name="_Table2_In1" localSheetId="7" hidden="1">#REF!</definedName>
    <definedName name="_Table2_In1" localSheetId="8" hidden="1">#REF!</definedName>
    <definedName name="_Table2_In1" localSheetId="9" hidden="1">#REF!</definedName>
    <definedName name="_Table2_In1" localSheetId="10" hidden="1">#REF!</definedName>
    <definedName name="_Table2_In1" localSheetId="11" hidden="1">#REF!</definedName>
    <definedName name="_Table2_In1" localSheetId="12" hidden="1">#REF!</definedName>
    <definedName name="_Table2_In1" localSheetId="18" hidden="1">#REF!</definedName>
    <definedName name="_Table2_In1" localSheetId="17" hidden="1">#REF!</definedName>
    <definedName name="_Table2_In1" localSheetId="19" hidden="1">#REF!</definedName>
    <definedName name="_Table2_In1" localSheetId="16" hidden="1">#REF!</definedName>
    <definedName name="_Table2_In1" hidden="1">#REF!</definedName>
    <definedName name="_Table2_In2" localSheetId="3" hidden="1">#REF!</definedName>
    <definedName name="_Table2_In2" localSheetId="5" hidden="1">#REF!</definedName>
    <definedName name="_Table2_In2" localSheetId="25" hidden="1">#REF!</definedName>
    <definedName name="_Table2_In2" localSheetId="20" hidden="1">#REF!</definedName>
    <definedName name="_Table2_In2" localSheetId="7" hidden="1">#REF!</definedName>
    <definedName name="_Table2_In2" localSheetId="8" hidden="1">#REF!</definedName>
    <definedName name="_Table2_In2" localSheetId="9" hidden="1">#REF!</definedName>
    <definedName name="_Table2_In2" localSheetId="10" hidden="1">#REF!</definedName>
    <definedName name="_Table2_In2" localSheetId="11" hidden="1">#REF!</definedName>
    <definedName name="_Table2_In2" localSheetId="12" hidden="1">#REF!</definedName>
    <definedName name="_Table2_In2" localSheetId="18" hidden="1">#REF!</definedName>
    <definedName name="_Table2_In2" localSheetId="17" hidden="1">#REF!</definedName>
    <definedName name="_Table2_In2" localSheetId="19" hidden="1">#REF!</definedName>
    <definedName name="_Table2_In2" hidden="1">#REF!</definedName>
    <definedName name="_Table2_Out" localSheetId="3" hidden="1">#REF!</definedName>
    <definedName name="_Table2_Out" localSheetId="5" hidden="1">#REF!</definedName>
    <definedName name="_Table2_Out" localSheetId="25" hidden="1">#REF!</definedName>
    <definedName name="_Table2_Out" localSheetId="20" hidden="1">#REF!</definedName>
    <definedName name="_Table2_Out" localSheetId="7" hidden="1">#REF!</definedName>
    <definedName name="_Table2_Out" localSheetId="8" hidden="1">#REF!</definedName>
    <definedName name="_Table2_Out" localSheetId="9" hidden="1">#REF!</definedName>
    <definedName name="_Table2_Out" localSheetId="10" hidden="1">#REF!</definedName>
    <definedName name="_Table2_Out" localSheetId="11" hidden="1">#REF!</definedName>
    <definedName name="_Table2_Out" localSheetId="12" hidden="1">#REF!</definedName>
    <definedName name="_Table2_Out" localSheetId="18" hidden="1">#REF!</definedName>
    <definedName name="_Table2_Out" localSheetId="17" hidden="1">#REF!</definedName>
    <definedName name="_Table2_Out" localSheetId="19" hidden="1">#REF!</definedName>
    <definedName name="_Table2_Out" localSheetId="16" hidden="1">#REF!</definedName>
    <definedName name="_Table2_Out" hidden="1">#REF!</definedName>
    <definedName name="a" localSheetId="25" hidden="1">{#N/A,#N/A,FALSE,"IS";#N/A,#N/A,FALSE,"BS";#N/A,#N/A,FALSE,"RMA";#N/A,#N/A,FALSE,"INCOME";#N/A,#N/A,FALSE,"DCF";#N/A,#N/A,FALSE,"MARKET"}</definedName>
    <definedName name="a" localSheetId="8" hidden="1">{#N/A,#N/A,FALSE,"IS";#N/A,#N/A,FALSE,"BS";#N/A,#N/A,FALSE,"RMA";#N/A,#N/A,FALSE,"INCOME";#N/A,#N/A,FALSE,"DCF";#N/A,#N/A,FALSE,"MARKET"}</definedName>
    <definedName name="a" localSheetId="11" hidden="1">{#N/A,#N/A,FALSE,"IS";#N/A,#N/A,FALSE,"BS";#N/A,#N/A,FALSE,"RMA";#N/A,#N/A,FALSE,"INCOME";#N/A,#N/A,FALSE,"DCF";#N/A,#N/A,FALSE,"MARKET"}</definedName>
    <definedName name="a" localSheetId="19" hidden="1">{#N/A,#N/A,FALSE,"IS";#N/A,#N/A,FALSE,"BS";#N/A,#N/A,FALSE,"RMA";#N/A,#N/A,FALSE,"INCOME";#N/A,#N/A,FALSE,"DCF";#N/A,#N/A,FALSE,"MARKET"}</definedName>
    <definedName name="a" hidden="1">{#N/A,#N/A,FALSE,"IS";#N/A,#N/A,FALSE,"BS";#N/A,#N/A,FALSE,"RMA";#N/A,#N/A,FALSE,"INCOME";#N/A,#N/A,FALSE,"DCF";#N/A,#N/A,FALSE,"MARKET"}</definedName>
    <definedName name="ABC" localSheetId="3" hidden="1">#REF!</definedName>
    <definedName name="ABC" localSheetId="5" hidden="1">#REF!</definedName>
    <definedName name="ABC" localSheetId="25" hidden="1">#REF!</definedName>
    <definedName name="ABC" localSheetId="20" hidden="1">#REF!</definedName>
    <definedName name="ABC" localSheetId="7" hidden="1">#REF!</definedName>
    <definedName name="ABC" localSheetId="8" hidden="1">#REF!</definedName>
    <definedName name="ABC" localSheetId="9" hidden="1">#REF!</definedName>
    <definedName name="ABC" localSheetId="10" hidden="1">#REF!</definedName>
    <definedName name="ABC" localSheetId="11" hidden="1">#REF!</definedName>
    <definedName name="ABC" localSheetId="12" hidden="1">#REF!</definedName>
    <definedName name="ABC" localSheetId="18" hidden="1">#REF!</definedName>
    <definedName name="ABC" localSheetId="17" hidden="1">#REF!</definedName>
    <definedName name="ABC" localSheetId="19" hidden="1">#REF!</definedName>
    <definedName name="ABC" hidden="1">#REF!</definedName>
    <definedName name="AccessDatabase" hidden="1">"I:\DEPT8900\OEL\FY01\Reports\Budget Comparison\Comparitive Budget TEST.mdb"</definedName>
    <definedName name="AcqType" localSheetId="25">[4]A1_Assumptions!$B$83</definedName>
    <definedName name="AcqType" localSheetId="24">[5]A1!$B$83</definedName>
    <definedName name="AcqType">[6]A1!$B$83</definedName>
    <definedName name="adsf" localSheetId="5" hidden="1">#REF!</definedName>
    <definedName name="adsf" localSheetId="25" hidden="1">#REF!</definedName>
    <definedName name="adsf" localSheetId="20" hidden="1">#REF!</definedName>
    <definedName name="adsf" localSheetId="8" hidden="1">#REF!</definedName>
    <definedName name="adsf" localSheetId="11" hidden="1">#REF!</definedName>
    <definedName name="adsf" localSheetId="18" hidden="1">#REF!</definedName>
    <definedName name="adsf" localSheetId="17" hidden="1">#REF!</definedName>
    <definedName name="adsf" localSheetId="19" hidden="1">#REF!</definedName>
    <definedName name="adsf" hidden="1">#REF!</definedName>
    <definedName name="anscount" hidden="1">6</definedName>
    <definedName name="AS2DocOpenMode" hidden="1">"AS2DocumentEdit"</definedName>
    <definedName name="asd" localSheetId="3" hidden="1">{"DCF","UPSIDE CASE",FALSE,"Sheet1";"DCF","BASE CASE",FALSE,"Sheet1";"DCF","DOWNSIDE CASE",FALSE,"Sheet1"}</definedName>
    <definedName name="asd" localSheetId="25" hidden="1">{"DCF","UPSIDE CASE",FALSE,"Sheet1";"DCF","BASE CASE",FALSE,"Sheet1";"DCF","DOWNSIDE CASE",FALSE,"Sheet1"}</definedName>
    <definedName name="asd" localSheetId="8" hidden="1">{"DCF","UPSIDE CASE",FALSE,"Sheet1";"DCF","BASE CASE",FALSE,"Sheet1";"DCF","DOWNSIDE CASE",FALSE,"Sheet1"}</definedName>
    <definedName name="asd" localSheetId="9" hidden="1">{"DCF","UPSIDE CASE",FALSE,"Sheet1";"DCF","BASE CASE",FALSE,"Sheet1";"DCF","DOWNSIDE CASE",FALSE,"Sheet1"}</definedName>
    <definedName name="asd" localSheetId="11" hidden="1">{"DCF","UPSIDE CASE",FALSE,"Sheet1";"DCF","BASE CASE",FALSE,"Sheet1";"DCF","DOWNSIDE CASE",FALSE,"Sheet1"}</definedName>
    <definedName name="asd" localSheetId="12" hidden="1">{"DCF","UPSIDE CASE",FALSE,"Sheet1";"DCF","BASE CASE",FALSE,"Sheet1";"DCF","DOWNSIDE CASE",FALSE,"Sheet1"}</definedName>
    <definedName name="asd" localSheetId="19" hidden="1">{"DCF","UPSIDE CASE",FALSE,"Sheet1";"DCF","BASE CASE",FALSE,"Sheet1";"DCF","DOWNSIDE CASE",FALSE,"Sheet1"}</definedName>
    <definedName name="asd" hidden="1">{"DCF","UPSIDE CASE",FALSE,"Sheet1";"DCF","BASE CASE",FALSE,"Sheet1";"DCF","DOWNSIDE CASE",FALSE,"Sheet1"}</definedName>
    <definedName name="asdfasdfdddd" localSheetId="3" hidden="1">{"DCF","UPSIDE CASE",FALSE,"Sheet1";"DCF","BASE CASE",FALSE,"Sheet1";"DCF","DOWNSIDE CASE",FALSE,"Sheet1"}</definedName>
    <definedName name="asdfasdfdddd" localSheetId="25" hidden="1">{"DCF","UPSIDE CASE",FALSE,"Sheet1";"DCF","BASE CASE",FALSE,"Sheet1";"DCF","DOWNSIDE CASE",FALSE,"Sheet1"}</definedName>
    <definedName name="asdfasdfdddd" localSheetId="8" hidden="1">{"DCF","UPSIDE CASE",FALSE,"Sheet1";"DCF","BASE CASE",FALSE,"Sheet1";"DCF","DOWNSIDE CASE",FALSE,"Sheet1"}</definedName>
    <definedName name="asdfasdfdddd" localSheetId="9" hidden="1">{"DCF","UPSIDE CASE",FALSE,"Sheet1";"DCF","BASE CASE",FALSE,"Sheet1";"DCF","DOWNSIDE CASE",FALSE,"Sheet1"}</definedName>
    <definedName name="asdfasdfdddd" localSheetId="11" hidden="1">{"DCF","UPSIDE CASE",FALSE,"Sheet1";"DCF","BASE CASE",FALSE,"Sheet1";"DCF","DOWNSIDE CASE",FALSE,"Sheet1"}</definedName>
    <definedName name="asdfasdfdddd" localSheetId="12" hidden="1">{"DCF","UPSIDE CASE",FALSE,"Sheet1";"DCF","BASE CASE",FALSE,"Sheet1";"DCF","DOWNSIDE CASE",FALSE,"Sheet1"}</definedName>
    <definedName name="asdfasdfdddd" localSheetId="19" hidden="1">{"DCF","UPSIDE CASE",FALSE,"Sheet1";"DCF","BASE CASE",FALSE,"Sheet1";"DCF","DOWNSIDE CASE",FALSE,"Sheet1"}</definedName>
    <definedName name="asdfasdfdddd" hidden="1">{"DCF","UPSIDE CASE",FALSE,"Sheet1";"DCF","BASE CASE",FALSE,"Sheet1";"DCF","DOWNSIDE CASE",FALSE,"Sheet1"}</definedName>
    <definedName name="avegmultiple" localSheetId="5" hidden="1">#REF!</definedName>
    <definedName name="avegmultiple" localSheetId="25" hidden="1">#REF!</definedName>
    <definedName name="avegmultiple" localSheetId="20" hidden="1">#REF!</definedName>
    <definedName name="avegmultiple" localSheetId="8" hidden="1">#REF!</definedName>
    <definedName name="avegmultiple" localSheetId="11" hidden="1">#REF!</definedName>
    <definedName name="avegmultiple" localSheetId="18" hidden="1">#REF!</definedName>
    <definedName name="avegmultiple" localSheetId="17" hidden="1">#REF!</definedName>
    <definedName name="avegmultiple" localSheetId="19" hidden="1">#REF!</definedName>
    <definedName name="avegmultiple" hidden="1">#REF!</definedName>
    <definedName name="CBWorkbookPriority" hidden="1">-1959504492</definedName>
    <definedName name="CIQWBGuid" localSheetId="3" hidden="1">"4c317e69-d429-41e3-b46a-b4c398e620fd"</definedName>
    <definedName name="CIQWBGuid" localSheetId="9" hidden="1">"ab2246c2-e479-4f05-bf2f-51ae2b4df342"</definedName>
    <definedName name="CIQWBGuid" localSheetId="12" hidden="1">"ab2246c2-e479-4f05-bf2f-51ae2b4df342"</definedName>
    <definedName name="CIQWBGuid" localSheetId="16" hidden="1">"4c317e69-d429-41e3-b46a-b4c398e620fd"</definedName>
    <definedName name="CIQWBGuid" hidden="1">"5bc7de29-4919-4605-b858-1945006d39fa"</definedName>
    <definedName name="Company_Name" hidden="1">[7]Settings!$C$56</definedName>
    <definedName name="compnam" localSheetId="5" hidden="1">[8]KeyMultInputs!#REF!</definedName>
    <definedName name="compnam" localSheetId="25" hidden="1">[8]KeyMultInputs!#REF!</definedName>
    <definedName name="compnam" localSheetId="20" hidden="1">[8]KeyMultInputs!#REF!</definedName>
    <definedName name="compnam" localSheetId="8" hidden="1">[8]KeyMultInputs!#REF!</definedName>
    <definedName name="compnam" localSheetId="11" hidden="1">[8]KeyMultInputs!#REF!</definedName>
    <definedName name="compnam" localSheetId="18" hidden="1">[8]KeyMultInputs!#REF!</definedName>
    <definedName name="compnam" localSheetId="17" hidden="1">[8]KeyMultInputs!#REF!</definedName>
    <definedName name="compnam" localSheetId="19" hidden="1">[8]KeyMultInputs!#REF!</definedName>
    <definedName name="compnam" hidden="1">[8]KeyMultInputs!#REF!</definedName>
    <definedName name="Data.Dump" localSheetId="3" hidden="1">OFFSET([9]!Data.Top.Left,1,0)</definedName>
    <definedName name="Data.Dump" localSheetId="5" hidden="1">OFFSET([9]!Data.Top.Left,1,0)</definedName>
    <definedName name="Data.Dump" localSheetId="25" hidden="1">OFFSET([10]!Data.Top.Left,1,0)</definedName>
    <definedName name="Data.Dump" localSheetId="20" hidden="1">OFFSET([9]!Data.Top.Left,1,0)</definedName>
    <definedName name="Data.Dump" localSheetId="7" hidden="1">OFFSET([9]!Data.Top.Left,1,0)</definedName>
    <definedName name="Data.Dump" localSheetId="8" hidden="1">OFFSET([10]!Data.Top.Left,1,0)</definedName>
    <definedName name="Data.Dump" localSheetId="9" hidden="1">OFFSET([0]!Data.Top.Left,1,0)</definedName>
    <definedName name="Data.Dump" localSheetId="10" hidden="1">OFFSET([9]!Data.Top.Left,1,0)</definedName>
    <definedName name="Data.Dump" localSheetId="11" hidden="1">OFFSET([10]!Data.Top.Left,1,0)</definedName>
    <definedName name="Data.Dump" localSheetId="12" hidden="1">OFFSET([9]!Data.Top.Left,1,0)</definedName>
    <definedName name="Data.Dump" localSheetId="18" hidden="1">OFFSET([9]!Data.Top.Left,1,0)</definedName>
    <definedName name="Data.Dump" localSheetId="17" hidden="1">OFFSET([9]!Data.Top.Left,1,0)</definedName>
    <definedName name="Data.Dump" localSheetId="19" hidden="1">OFFSET([9]!Data.Top.Left,1,0)</definedName>
    <definedName name="Data.Dump" hidden="1">OFFSET([9]!Data.Top.Left,1,0)</definedName>
    <definedName name="dddddddddddddddd" localSheetId="3" hidden="1">Main.SAPF4Help()</definedName>
    <definedName name="dddddddddddddddd" localSheetId="5" hidden="1">Main.SAPF4Help()</definedName>
    <definedName name="dddddddddddddddd" localSheetId="25" hidden="1">Main.SAPF4Help()</definedName>
    <definedName name="dddddddddddddddd" localSheetId="20" hidden="1">Main.SAPF4Help()</definedName>
    <definedName name="dddddddddddddddd" localSheetId="7" hidden="1">Main.SAPF4Help()</definedName>
    <definedName name="dddddddddddddddd" localSheetId="8" hidden="1">Main.SAPF4Help()</definedName>
    <definedName name="dddddddddddddddd" localSheetId="9" hidden="1">Main.SAPF4Help()</definedName>
    <definedName name="dddddddddddddddd" localSheetId="10" hidden="1">Main.SAPF4Help()</definedName>
    <definedName name="dddddddddddddddd" localSheetId="11" hidden="1">Main.SAPF4Help()</definedName>
    <definedName name="dddddddddddddddd" localSheetId="12" hidden="1">Main.SAPF4Help()</definedName>
    <definedName name="dddddddddddddddd" localSheetId="18" hidden="1">Main.SAPF4Help()</definedName>
    <definedName name="dddddddddddddddd" localSheetId="17" hidden="1">Main.SAPF4Help()</definedName>
    <definedName name="dddddddddddddddd" localSheetId="19" hidden="1">Main.SAPF4Help()</definedName>
    <definedName name="dddddddddddddddd" hidden="1">Main.SAPF4Help()</definedName>
    <definedName name="dynamoPick001" localSheetId="22" hidden="1">'2019 FY Budget'!$K$37</definedName>
    <definedName name="dynamoPick001" localSheetId="21" hidden="1">'Historical Actuals'!$K$37</definedName>
    <definedName name="dynamoPick001" localSheetId="23" hidden="1">'YTD 2018 Budget'!$K$37</definedName>
    <definedName name="dynamoPick001.AllowDrilling" localSheetId="22" hidden="1">FALSE</definedName>
    <definedName name="dynamoPick001.AllowDrilling" localSheetId="21" hidden="1">FALSE</definedName>
    <definedName name="dynamoPick001.AllowDrilling" localSheetId="23" hidden="1">FALSE</definedName>
    <definedName name="dynamoPick001.AllowEditor" localSheetId="22" hidden="1">FALSE</definedName>
    <definedName name="dynamoPick001.AllowEditor" localSheetId="21" hidden="1">FALSE</definedName>
    <definedName name="dynamoPick001.AllowEditor" localSheetId="23" hidden="1">FALSE</definedName>
    <definedName name="dynamoPick001.AllowPrinting" localSheetId="22" hidden="1">FALSE</definedName>
    <definedName name="dynamoPick001.AllowPrinting" localSheetId="21" hidden="1">FALSE</definedName>
    <definedName name="dynamoPick001.AllowPrinting" localSheetId="23" hidden="1">FALSE</definedName>
    <definedName name="dynamoPick001.CalcExcel" localSheetId="22" hidden="1">FALSE</definedName>
    <definedName name="dynamoPick001.CalcExcel" localSheetId="21" hidden="1">FALSE</definedName>
    <definedName name="dynamoPick001.CalcExcel" localSheetId="23" hidden="1">FALSE</definedName>
    <definedName name="dynamoPick001.CalcSheet" localSheetId="22" hidden="1">FALSE</definedName>
    <definedName name="dynamoPick001.CalcSheet" localSheetId="21" hidden="1">FALSE</definedName>
    <definedName name="dynamoPick001.CalcSheet" localSheetId="23" hidden="1">FALSE</definedName>
    <definedName name="dynamoPick001.DefaultEditor" localSheetId="22" hidden="1">FALSE</definedName>
    <definedName name="dynamoPick001.DefaultEditor" localSheetId="21" hidden="1">FALSE</definedName>
    <definedName name="dynamoPick001.DefaultEditor" localSheetId="23" hidden="1">FALSE</definedName>
    <definedName name="dynamoPick001.DynamoBook" localSheetId="22" hidden="1">FALSE</definedName>
    <definedName name="dynamoPick001.DynamoBook" localSheetId="21" hidden="1">FALSE</definedName>
    <definedName name="dynamoPick001.DynamoBook" localSheetId="23" hidden="1">FALSE</definedName>
    <definedName name="dynamoPick001.DynamoSheet" localSheetId="22" hidden="1">FALSE</definedName>
    <definedName name="dynamoPick001.DynamoSheet" localSheetId="21" hidden="1">FALSE</definedName>
    <definedName name="dynamoPick001.DynamoSheet" localSheetId="23" hidden="1">FALSE</definedName>
    <definedName name="dynamoPick001.RunMacro" localSheetId="22" hidden="1">FALSE</definedName>
    <definedName name="dynamoPick001.RunMacro" localSheetId="21" hidden="1">FALSE</definedName>
    <definedName name="dynamoPick001.RunMacro" localSheetId="23" hidden="1">FALSE</definedName>
    <definedName name="dynamoPick001INFO" localSheetId="22" hidden="1">"cxmd:bpmLocation~"&amp;CELL("address",'2019 FY Budget'!$K$37)&amp;"~"&amp;"B~"&amp;"By Territory~3~"&amp;"Alt Name~T~F~F~F~F~"&amp;"~"</definedName>
    <definedName name="dynamoPick001INFO" localSheetId="21" hidden="1">"cxmd:bpmLocation~"&amp;CELL("address",'Historical Actuals'!$K$37)&amp;"~"&amp;"B~"&amp;"By Territory~3~"&amp;"Alt Name~T~F~F~F~F~"&amp;"~"</definedName>
    <definedName name="dynamoPick001INFO" localSheetId="23" hidden="1">"cxmd:bpmLocation~"&amp;CELL("address",'YTD 2018 Budget'!$K$37)&amp;"~"&amp;"B~"&amp;"By Territory~3~"&amp;"Alt Name~T~F~F~F~F~"&amp;"~"</definedName>
    <definedName name="dynamoPick002" localSheetId="22" hidden="1">'2019 FY Budget'!$K$38</definedName>
    <definedName name="dynamoPick002" localSheetId="21" hidden="1">'Historical Actuals'!$K$38</definedName>
    <definedName name="dynamoPick002" localSheetId="23" hidden="1">'YTD 2018 Budget'!$K$38</definedName>
    <definedName name="dynamoPick002.AllowDrilling" localSheetId="22" hidden="1">FALSE</definedName>
    <definedName name="dynamoPick002.AllowDrilling" localSheetId="21" hidden="1">FALSE</definedName>
    <definedName name="dynamoPick002.AllowDrilling" localSheetId="23" hidden="1">FALSE</definedName>
    <definedName name="dynamoPick002.AllowEditor" localSheetId="22" hidden="1">FALSE</definedName>
    <definedName name="dynamoPick002.AllowEditor" localSheetId="21" hidden="1">FALSE</definedName>
    <definedName name="dynamoPick002.AllowEditor" localSheetId="23" hidden="1">FALSE</definedName>
    <definedName name="dynamoPick002.AllowPrinting" localSheetId="22" hidden="1">FALSE</definedName>
    <definedName name="dynamoPick002.AllowPrinting" localSheetId="21" hidden="1">FALSE</definedName>
    <definedName name="dynamoPick002.AllowPrinting" localSheetId="23" hidden="1">FALSE</definedName>
    <definedName name="dynamoPick002.CalcExcel" localSheetId="22" hidden="1">FALSE</definedName>
    <definedName name="dynamoPick002.CalcExcel" localSheetId="21" hidden="1">FALSE</definedName>
    <definedName name="dynamoPick002.CalcExcel" localSheetId="23" hidden="1">FALSE</definedName>
    <definedName name="dynamoPick002.CalcSheet" localSheetId="22" hidden="1">FALSE</definedName>
    <definedName name="dynamoPick002.CalcSheet" localSheetId="21" hidden="1">FALSE</definedName>
    <definedName name="dynamoPick002.CalcSheet" localSheetId="23" hidden="1">FALSE</definedName>
    <definedName name="dynamoPick002.DefaultEditor" localSheetId="22" hidden="1">FALSE</definedName>
    <definedName name="dynamoPick002.DefaultEditor" localSheetId="21" hidden="1">FALSE</definedName>
    <definedName name="dynamoPick002.DefaultEditor" localSheetId="23" hidden="1">FALSE</definedName>
    <definedName name="dynamoPick002.DynamoBook" localSheetId="22" hidden="1">FALSE</definedName>
    <definedName name="dynamoPick002.DynamoBook" localSheetId="21" hidden="1">FALSE</definedName>
    <definedName name="dynamoPick002.DynamoBook" localSheetId="23" hidden="1">FALSE</definedName>
    <definedName name="dynamoPick002.DynamoSheet" localSheetId="22" hidden="1">FALSE</definedName>
    <definedName name="dynamoPick002.DynamoSheet" localSheetId="21" hidden="1">FALSE</definedName>
    <definedName name="dynamoPick002.DynamoSheet" localSheetId="23" hidden="1">FALSE</definedName>
    <definedName name="dynamoPick002.RunMacro" localSheetId="22" hidden="1">FALSE</definedName>
    <definedName name="dynamoPick002.RunMacro" localSheetId="21" hidden="1">FALSE</definedName>
    <definedName name="dynamoPick002.RunMacro" localSheetId="23" hidden="1">FALSE</definedName>
    <definedName name="dynamoPick002INFO" localSheetId="22" hidden="1">"cxmd:bpmDepartment~"&amp;CELL("address",'2019 FY Budget'!$K$38)&amp;"~"&amp;"B~"&amp;"Dialysis~999~"&amp;"NameCode~T~F~F~F~F~"&amp;"~"</definedName>
    <definedName name="dynamoPick002INFO" localSheetId="21" hidden="1">"cxmd:bpmDepartment~"&amp;CELL("address",'Historical Actuals'!$K$38)&amp;"~"&amp;"B~"&amp;"Dialysis~999~"&amp;"NameCode~T~F~F~F~F~"&amp;"~"</definedName>
    <definedName name="dynamoPick002INFO" localSheetId="23" hidden="1">"cxmd:bpmDepartment~"&amp;CELL("address",'YTD 2018 Budget'!$K$38)&amp;"~"&amp;"B~"&amp;"Dialysis~999~"&amp;"NameCode~T~F~F~F~F~"&amp;"~"</definedName>
    <definedName name="ef." localSheetId="25" hidden="1">{#N/A,"A",FALSE,"DCF"}</definedName>
    <definedName name="ef." localSheetId="8" hidden="1">{#N/A,"A",FALSE,"DCF"}</definedName>
    <definedName name="ef." localSheetId="11" hidden="1">{#N/A,"A",FALSE,"DCF"}</definedName>
    <definedName name="ef." localSheetId="19" hidden="1">{#N/A,"A",FALSE,"DCF"}</definedName>
    <definedName name="ef." hidden="1">{#N/A,"A",FALSE,"DCF"}</definedName>
    <definedName name="Error_Amount" hidden="1">"'Error_Checks'!B10"</definedName>
    <definedName name="Error_Check" hidden="1">"ABS(Error_Amount)&gt;Error_Threshold"</definedName>
    <definedName name="Error_Threshold" hidden="1">0.05</definedName>
    <definedName name="ev.Calculation" hidden="1">-4105</definedName>
    <definedName name="ev.Initialized" hidden="1">FALSE</definedName>
    <definedName name="ExactAddinReports" hidden="1">1</definedName>
    <definedName name="ExbMult_Total" localSheetId="5" hidden="1">#REF!</definedName>
    <definedName name="ExbMult_Total" localSheetId="25" hidden="1">#REF!</definedName>
    <definedName name="ExbMult_Total" localSheetId="20" hidden="1">#REF!</definedName>
    <definedName name="ExbMult_Total" localSheetId="8" hidden="1">#REF!</definedName>
    <definedName name="ExbMult_Total" localSheetId="11" hidden="1">#REF!</definedName>
    <definedName name="ExbMult_Total" localSheetId="18" hidden="1">#REF!</definedName>
    <definedName name="ExbMult_Total" localSheetId="17" hidden="1">#REF!</definedName>
    <definedName name="ExbMult_Total" localSheetId="19" hidden="1">#REF!</definedName>
    <definedName name="ExbMult_Total" hidden="1">#REF!</definedName>
    <definedName name="finres" localSheetId="5" hidden="1">#REF!</definedName>
    <definedName name="finres" localSheetId="25" hidden="1">#REF!</definedName>
    <definedName name="finres" localSheetId="20" hidden="1">#REF!</definedName>
    <definedName name="finres" localSheetId="8" hidden="1">#REF!</definedName>
    <definedName name="finres" localSheetId="18" hidden="1">#REF!</definedName>
    <definedName name="finres" localSheetId="17" hidden="1">#REF!</definedName>
    <definedName name="finres" localSheetId="19" hidden="1">#REF!</definedName>
    <definedName name="finres" hidden="1">#REF!</definedName>
    <definedName name="gin" localSheetId="5" hidden="1">#REF!</definedName>
    <definedName name="gin" localSheetId="25" hidden="1">#REF!</definedName>
    <definedName name="gin" localSheetId="20" hidden="1">#REF!</definedName>
    <definedName name="gin" localSheetId="8" hidden="1">#REF!</definedName>
    <definedName name="gin" localSheetId="18" hidden="1">#REF!</definedName>
    <definedName name="gin" localSheetId="17" hidden="1">#REF!</definedName>
    <definedName name="gin" localSheetId="19" hidden="1">#REF!</definedName>
    <definedName name="gin" hidden="1">#REF!</definedName>
    <definedName name="hn.ExtDb" hidden="1">FALSE</definedName>
    <definedName name="hn.ModelType" hidden="1">"DEAL"</definedName>
    <definedName name="hn.ModelVersion" hidden="1">1</definedName>
    <definedName name="hn.NoUpload" hidden="1">0</definedName>
    <definedName name="HTML_CodePage" hidden="1">1252</definedName>
    <definedName name="HTML_Control" localSheetId="3" hidden="1">{"'Leverage'!$B$2:$M$418"}</definedName>
    <definedName name="HTML_Control" localSheetId="25" hidden="1">{"'Leverage'!$B$2:$M$418"}</definedName>
    <definedName name="HTML_Control" localSheetId="8" hidden="1">{"'Leverage'!$B$2:$M$418"}</definedName>
    <definedName name="HTML_Control" localSheetId="9" hidden="1">{"'Leverage'!$B$2:$M$418"}</definedName>
    <definedName name="HTML_Control" localSheetId="11" hidden="1">{"'Leverage'!$B$2:$M$418"}</definedName>
    <definedName name="HTML_Control" localSheetId="12" hidden="1">{"'Leverage'!$B$2:$M$418"}</definedName>
    <definedName name="HTML_Control" localSheetId="19" hidden="1">{"'Leverage'!$B$2:$M$418"}</definedName>
    <definedName name="HTML_Control" hidden="1">{"'Leverage'!$B$2:$M$418"}</definedName>
    <definedName name="HTML_Description" hidden="1">""</definedName>
    <definedName name="HTML_Email" hidden="1">""</definedName>
    <definedName name="HTML_Header" hidden="1">"Leverage"</definedName>
    <definedName name="HTML_LastUpdate" hidden="1">"8/21/00"</definedName>
    <definedName name="HTML_LineAfter" hidden="1">FALSE</definedName>
    <definedName name="HTML_LineBefore" hidden="1">FALSE</definedName>
    <definedName name="HTML_Name" hidden="1">"Frank Vickers"</definedName>
    <definedName name="HTML_OBDlg2" hidden="1">TRUE</definedName>
    <definedName name="HTML_OBDlg4" hidden="1">TRUE</definedName>
    <definedName name="HTML_OS" hidden="1">0</definedName>
    <definedName name="HTML_PathFile" hidden="1">"C:\my documents\lever.htm"</definedName>
    <definedName name="HTML_Title" hidden="1">"leverage"</definedName>
    <definedName name="HTML1_1" hidden="1">"[FCFF3]Sheet1!$A$1:$L$34"</definedName>
    <definedName name="HTML1_10" hidden="1">""</definedName>
    <definedName name="HTML1_11" hidden="1">1</definedName>
    <definedName name="HTML1_12" hidden="1">"Aswath:Adobe SiteMill™ 1.0.2:MyHomePage:FCFF3.html"</definedName>
    <definedName name="HTML1_2" hidden="1">1</definedName>
    <definedName name="HTML1_3" hidden="1">"FCFF3"</definedName>
    <definedName name="HTML1_4" hidden="1">"Three-Stage FCFF Model"</definedName>
    <definedName name="HTML1_5" hidden="1">""</definedName>
    <definedName name="HTML1_6" hidden="1">-4146</definedName>
    <definedName name="HTML1_7" hidden="1">-4146</definedName>
    <definedName name="HTML1_8" hidden="1">"10/22/96"</definedName>
    <definedName name="HTML1_9" hidden="1">"Aswath Damodaran"</definedName>
    <definedName name="HTMLCount" hidden="1">1</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"c413"</definedName>
    <definedName name="IQ_ACCOUNTS_PAY" hidden="1">"c32"</definedName>
    <definedName name="IQ_ACCR_INT_PAY" hidden="1">"c1"</definedName>
    <definedName name="IQ_ACCR_INT_PAY_CF" hidden="1">"c2"</definedName>
    <definedName name="IQ_ACCR_INT_RECEIV" hidden="1">"c3"</definedName>
    <definedName name="IQ_ACCR_INT_RECEIV_CF" hidden="1">"c4"</definedName>
    <definedName name="IQ_ACCRUED_EXP" hidden="1">"c8"</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"c7"</definedName>
    <definedName name="IQ_ACCUMULATED_PENSION_OBLIGATION" hidden="1">"c2108"</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"c39"</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"c16"</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"c1471"</definedName>
    <definedName name="IQ_AMORTIZED_COST_FDIC" hidden="1">"c6426"</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"c65"</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"c88"</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FAX" hidden="1">"c2100"</definedName>
    <definedName name="IQ_BOARD_MEMBER_OFFICE" hidden="1">"c2098"</definedName>
    <definedName name="IQ_BOARD_MEMBER_PHONE" hidden="1">"c2099"</definedName>
    <definedName name="IQ_BOARD_MEMBER_TITLE" hidden="1">"c97"</definedName>
    <definedName name="IQ_BONDRATING_FITCH" hidden="1">"c223"</definedName>
    <definedName name="IQ_BONDRATING_FITCH_DATE" hidden="1">"c241"</definedName>
    <definedName name="IQ_BONDRATING_SP" hidden="1">"c224"</definedName>
    <definedName name="IQ_BONDRATING_SP_DATE" hidden="1">"c242"</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ACT_OR_EST_REUT" hidden="1">"c5471"</definedName>
    <definedName name="IQ_BV_ACT_OR_EST_THOM" hidden="1">"c5308"</definedName>
    <definedName name="IQ_BV_EST_REUT" hidden="1">"c5403"</definedName>
    <definedName name="IQ_BV_EST_THOM" hidden="1">"c5147"</definedName>
    <definedName name="IQ_BV_HIGH_EST_REUT" hidden="1">"c5405"</definedName>
    <definedName name="IQ_BV_HIGH_EST_THOM" hidden="1">"c5149"</definedName>
    <definedName name="IQ_BV_LOW_EST_REUT" hidden="1">"c5406"</definedName>
    <definedName name="IQ_BV_LOW_EST_THOM" hidden="1">"c5150"</definedName>
    <definedName name="IQ_BV_MEDIAN_EST_REUT" hidden="1">"c5404"</definedName>
    <definedName name="IQ_BV_MEDIAN_EST_THOM" hidden="1">"c5148"</definedName>
    <definedName name="IQ_BV_NUM_EST_REUT" hidden="1">"c5407"</definedName>
    <definedName name="IQ_BV_NUM_EST_THOM" hidden="1">"c5151"</definedName>
    <definedName name="IQ_BV_OVER_SHARES" hidden="1">"c100"</definedName>
    <definedName name="IQ_BV_SHARE" hidden="1">"c100"</definedName>
    <definedName name="IQ_BV_STDDEV_EST_REUT" hidden="1">"c5408"</definedName>
    <definedName name="IQ_BV_STDDEV_EST_THOM" hidden="1">"c5152"</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"c115"</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"c118"</definedName>
    <definedName name="IQ_CASH_ACQUIRE_CF" hidden="1">"c1630"</definedName>
    <definedName name="IQ_CASH_CONVERSION" hidden="1">"c117"</definedName>
    <definedName name="IQ_CASH_DIVIDENDS_NET_INCOME_FDIC" hidden="1">"c6738"</definedName>
    <definedName name="IQ_CASH_DUE_BANKS" hidden="1">"c118"</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"c124"</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DET_EST_REUT_CURRENCY_CURRENCY_REUT" hidden="1">"c12526"</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"c161"</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ASSB_OUTSTANDING_BS_DATE" hidden="1">"c1972"</definedName>
    <definedName name="IQ_CLASSB_OUTSTANDING_FILING_DATE" hidden="1">"c1974"</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"c182"</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TRACTS_OTHER_COMMODITIES_EQUITIES_FDIC" hidden="1">"c6522"</definedName>
    <definedName name="IQ_CONV_RATE" hidden="1">"c2192"</definedName>
    <definedName name="IQ_CONVERT" hidden="1">"c2536"</definedName>
    <definedName name="IQ_CONVERT_DEBT" hidden="1">"c224"</definedName>
    <definedName name="IQ_CONVERT_PCT" hidden="1">"c2537"</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"c226"</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5000</definedName>
    <definedName name="IQ_CREDIT_CARD_CHARGE_OFFS_FDIC" hidden="1">"c6652"</definedName>
    <definedName name="IQ_CREDIT_CARD_FEE" hidden="1">"c231"</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YS_COVER_SHORT" hidden="1">"c1578"</definedName>
    <definedName name="IQ_DAYS_INVENTORY_OUT" hidden="1">"c273"</definedName>
    <definedName name="IQ_DAYS_PAY_OUTST" hidden="1">"c274"</definedName>
    <definedName name="IQ_DAYS_PAYABLE_OUT" hidden="1">"c274"</definedName>
    <definedName name="IQ_DAYS_SALES_OUT" hidden="1">"c275"</definedName>
    <definedName name="IQ_DAYS_SALES_OUTST" hidden="1">"c275"</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"c301"</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"c313"</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"c315"</definedName>
    <definedName name="IQ_DEFERRED_TAXES" hidden="1">"c147"</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"c247"</definedName>
    <definedName name="IQ_DEPRE_AMORT_SUPPL" hidden="1">"c1593"</definedName>
    <definedName name="IQ_DEPRE_DEPLE" hidden="1">"c261"</definedName>
    <definedName name="IQ_DEPRE_SUPP" hidden="1">"c1443"</definedName>
    <definedName name="IQ_DERIVATIVES_FDIC" hidden="1">"c6523"</definedName>
    <definedName name="IQ_DESCRIPTION_LONG" hidden="1">"c322"</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"c333"</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"c2106"</definedName>
    <definedName name="IQ_DIV_RECORD_DATE" hidden="1">"c2105"</definedName>
    <definedName name="IQ_DIV_SHARE" hidden="1">"c330"</definedName>
    <definedName name="IQ_DIVEST_CF" hidden="1">"c331"</definedName>
    <definedName name="IQ_DIVID_SHARE" hidden="1">"c330"</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 hidden="1">"c2801"</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K" hidden="1">"IQ_EBIT_10K"</definedName>
    <definedName name="IQ_EBIT_10Q" hidden="1">"IQ_EBIT_10Q"</definedName>
    <definedName name="IQ_EBIT_10Q1" hidden="1">"IQ_EBIT_10Q1"</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GROWTH_1" hidden="1">"c157"</definedName>
    <definedName name="IQ_EBIT_GROWTH_2" hidden="1">"c161"</definedName>
    <definedName name="IQ_EBIT_INT" hidden="1">"c360"</definedName>
    <definedName name="IQ_EBIT_MARGIN" hidden="1">"c359"</definedName>
    <definedName name="IQ_EBIT_OVER_IE" hidden="1">"c360"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K" hidden="1">"IQ_EBITDA_10K"</definedName>
    <definedName name="IQ_EBITDA_10Q" hidden="1">"IQ_EBITDA_10Q"</definedName>
    <definedName name="IQ_EBITDA_10Q1" hidden="1">"IQ_EBITDA_10Q1"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"c368"</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XCL_SBC" hidden="1">"c3081"</definedName>
    <definedName name="IQ_EBITDA_GROWTH_1" hidden="1">"c156"</definedName>
    <definedName name="IQ_EBITDA_GROWTH_2" hidden="1">"c160"</definedName>
    <definedName name="IQ_EBITDA_HIGH_EST" hidden="1">"c370"</definedName>
    <definedName name="IQ_EBITDA_INT" hidden="1">"c373"</definedName>
    <definedName name="IQ_EBITDA_LOW_EST" hidden="1">"c371"</definedName>
    <definedName name="IQ_EBITDA_MARGIN" hidden="1">"c372"</definedName>
    <definedName name="IQ_EBITDA_NO_EST" hidden="1">"c267"</definedName>
    <definedName name="IQ_EBITDA_NUM_EST" hidden="1">"c374"</definedName>
    <definedName name="IQ_EBITDA_OVER_TOTAL_IE" hidden="1">"c373"</definedName>
    <definedName name="IQ_EBITDA_STDDEV_EST" hidden="1">"c375"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"c84"</definedName>
    <definedName name="IQ_EPS" hidden="1">"IQ_EPS"</definedName>
    <definedName name="IQ_EPS_10K" hidden="1">"IQ_EPS_10K"</definedName>
    <definedName name="IQ_EPS_10Q" hidden="1">"IQ_EPS_10Q"</definedName>
    <definedName name="IQ_EPS_10Q1" hidden="1">"IQ_EPS_10Q1"</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GW_DET_EST_REUT_CURRENCY_CURRENCY_REUT" hidden="1">"c12533"</definedName>
    <definedName name="IQ_EPS_HIGH_EST" hidden="1">"c400"</definedName>
    <definedName name="IQ_EPS_LOW_EST" hidden="1">"c401"</definedName>
    <definedName name="IQ_EPS_MEDIAN_EST" hidden="1">"c1661"</definedName>
    <definedName name="IQ_EPS_NO_EST" hidden="1">"c271"</definedName>
    <definedName name="IQ_EPS_NORM" hidden="1">"c1902"</definedName>
    <definedName name="IQ_EPS_NUM_EST" hidden="1">"c402"</definedName>
    <definedName name="IQ_EPS_PRIMARY_EST" hidden="1">"c2226"</definedName>
    <definedName name="IQ_EPS_PRIMARY_HIGH_EST" hidden="1">"c2228"</definedName>
    <definedName name="IQ_EPS_PRIMARY_LOW_EST" hidden="1">"c2229"</definedName>
    <definedName name="IQ_EPS_PRIMARY_MEDIAN_EST" hidden="1">"c2227"</definedName>
    <definedName name="IQ_EPS_PRIMARY_NUM_EST" hidden="1">"c2230"</definedName>
    <definedName name="IQ_EPS_PRIMARY_STDDEV_EST" hidden="1">"c2231"</definedName>
    <definedName name="IQ_EPS_STDDEV_EST" hidden="1">"c403"</definedName>
    <definedName name="IQ_EQUITY_AFFIL" hidden="1">"c552"</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"c739"</definedName>
    <definedName name="IQ_ESOP_DEBT" hidden="1">"c1597"</definedName>
    <definedName name="IQ_EST_ACT_BV_REUT" hidden="1">"c5409"</definedName>
    <definedName name="IQ_EST_ACT_BV_THOM" hidden="1">"c5153"</definedName>
    <definedName name="IQ_EST_ACT_EPS" hidden="1">"c1648"</definedName>
    <definedName name="IQ_EST_ACT_EPS_PRIMARY" hidden="1">"c2232"</definedName>
    <definedName name="IQ_EST_ACT_FFO_REUT" hidden="1">"c3843"</definedName>
    <definedName name="IQ_EST_ACT_FFO_THOM" hidden="1">"c4005"</definedName>
    <definedName name="IQ_EST_BV_DIFF_REUT" hidden="1">"c5433"</definedName>
    <definedName name="IQ_EST_BV_DIFF_THOM" hidden="1">"c5204"</definedName>
    <definedName name="IQ_EST_BV_SURPRISE_PERCENT_REUT" hidden="1">"c5434"</definedName>
    <definedName name="IQ_EST_BV_SURPRISE_PERCENT_THOM" hidden="1">"c5205"</definedName>
    <definedName name="IQ_EST_CURRENCY" hidden="1">"c2140"</definedName>
    <definedName name="IQ_EST_DATE" hidden="1">"c1634"</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_REV_GROWTH_1YR" hidden="1">"c1638"</definedName>
    <definedName name="IQ_EST_REV_GROWTH_2YR" hidden="1">"c1639"</definedName>
    <definedName name="IQ_EST_REV_GROWTH_Q_1YR" hidden="1">"c1640"</definedName>
    <definedName name="IQ_ESTIMATED_ASSESSABLE_DEPOSITS_FDIC" hidden="1">"c6490"</definedName>
    <definedName name="IQ_ESTIMATED_INSURED_DEPOSITS_FDIC" hidden="1">"c6491"</definedName>
    <definedName name="IQ_EV_OVER_EMPLOYEE" hidden="1">"c1225"</definedName>
    <definedName name="IQ_EV_OVER_LTM_EBIT" hidden="1">"c1221"</definedName>
    <definedName name="IQ_EV_OVER_LTM_EBITDA" hidden="1">"c1223"</definedName>
    <definedName name="IQ_EV_OVER_LTM_REVENUE" hidden="1">"c1227"</definedName>
    <definedName name="IQ_EV_OVER_REVENUE_EST" hidden="1">"c165"</definedName>
    <definedName name="IQ_EV_OVER_REVENUE_EST_1" hidden="1">"c166"</definedName>
    <definedName name="IQ_EXCHANGE" hidden="1">"c405"</definedName>
    <definedName name="IQ_EXERCISE_PRICE" hidden="1">"c406"</definedName>
    <definedName name="IQ_EXERCISED" hidden="1">"c406"</definedName>
    <definedName name="IQ_EXP_RETURN_PENSION_DOMESTIC" hidden="1">"c407"</definedName>
    <definedName name="IQ_EXP_RETURN_PENSION_FOREIGN" hidden="1">"c408"</definedName>
    <definedName name="IQ_EXPENSE_CODE_" hidden="1">"ajsdasd"</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"c413"</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 hidden="1">"c418"</definedName>
    <definedName name="IQ_FFO_EST_CIQ" hidden="1">"c3668"</definedName>
    <definedName name="IQ_FFO_EST_DET_EST" hidden="1">"c12059"</definedName>
    <definedName name="IQ_FFO_EST_DET_EST_CURRENCY" hidden="1">"c12466"</definedName>
    <definedName name="IQ_FFO_EST_DET_EST_CURRENCY_REUT" hidden="1">"c12536"</definedName>
    <definedName name="IQ_FFO_EST_DET_EST_DATE" hidden="1">"c12212"</definedName>
    <definedName name="IQ_FFO_EST_DET_EST_DATE_REUT" hidden="1">"c12295"</definedName>
    <definedName name="IQ_FFO_EST_DET_EST_INCL" hidden="1">"c12349"</definedName>
    <definedName name="IQ_FFO_EST_DET_EST_INCL_REUT" hidden="1">"c12419"</definedName>
    <definedName name="IQ_FFO_EST_DET_EST_ORIGIN_REUT" hidden="1">"c12724"</definedName>
    <definedName name="IQ_FFO_EST_DET_EST_REUT" hidden="1">"c12153"</definedName>
    <definedName name="IQ_FFO_EST_REUT" hidden="1">"c3837"</definedName>
    <definedName name="IQ_FFO_EST_THOM" hidden="1">"c3999"</definedName>
    <definedName name="IQ_FFO_HIGH_EST" hidden="1">"c419"</definedName>
    <definedName name="IQ_FFO_HIGH_EST_CIQ" hidden="1">"c3670"</definedName>
    <definedName name="IQ_FFO_HIGH_EST_REUT" hidden="1">"c3839"</definedName>
    <definedName name="IQ_FFO_HIGH_EST_THOM" hidden="1">"c4001"</definedName>
    <definedName name="IQ_FFO_LOW_EST" hidden="1">"c420"</definedName>
    <definedName name="IQ_FFO_LOW_EST_CIQ" hidden="1">"c3671"</definedName>
    <definedName name="IQ_FFO_LOW_EST_REUT" hidden="1">"c3840"</definedName>
    <definedName name="IQ_FFO_LOW_EST_THOM" hidden="1">"c4002"</definedName>
    <definedName name="IQ_FFO_MEDIAN_EST_CIQ" hidden="1">"c3669"</definedName>
    <definedName name="IQ_FFO_MEDIAN_EST_REUT" hidden="1">"c3838"</definedName>
    <definedName name="IQ_FFO_MEDIAN_EST_THOM" hidden="1">"c4000"</definedName>
    <definedName name="IQ_FFO_NO_EST" hidden="1">"c276"</definedName>
    <definedName name="IQ_FFO_NUM_EST" hidden="1">"c421"</definedName>
    <definedName name="IQ_FFO_NUM_EST_CIQ" hidden="1">"c3672"</definedName>
    <definedName name="IQ_FFO_NUM_EST_REUT" hidden="1">"c3841"</definedName>
    <definedName name="IQ_FFO_NUM_EST_THOM" hidden="1">"c4003"</definedName>
    <definedName name="IQ_FFO_PAYOUT_RATIO" hidden="1">"c3492"</definedName>
    <definedName name="IQ_FFO_STDDEV_EST" hidden="1">"c422"</definedName>
    <definedName name="IQ_FFO_STDDEV_EST_CIQ" hidden="1">"c3673"</definedName>
    <definedName name="IQ_FFO_STDDEV_EST_REUT" hidden="1">"c3842"</definedName>
    <definedName name="IQ_FFO_STDDEV_EST_THOM" hidden="1">"c4004"</definedName>
    <definedName name="IQ_FH">100000</definedName>
    <definedName name="IQ_FHLB_ADVANCES_FDIC" hidden="1">"c6366"</definedName>
    <definedName name="IQ_FHLB_DEBT" hidden="1">"c423"</definedName>
    <definedName name="IQ_FHLB_DUE_AFTER_FIVE" hidden="1">"c2086"</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I_12M_RETURN" hidden="1">"c25807"</definedName>
    <definedName name="IQ_FII_3M_RETURN" hidden="1">"c25808"</definedName>
    <definedName name="IQ_FII_6M_RETURN" hidden="1">"c25809"</definedName>
    <definedName name="IQ_FII_AVGBIDSPREAD" hidden="1">"c25820"</definedName>
    <definedName name="IQ_FII_CONVEX" hidden="1">"c25799"</definedName>
    <definedName name="IQ_FII_COUPON" hidden="1">"c25800"</definedName>
    <definedName name="IQ_FII_DAILY_RETURN" hidden="1">"c25810"</definedName>
    <definedName name="IQ_FII_DURTW" hidden="1">"c25802"</definedName>
    <definedName name="IQ_FII_EXCESS_RETURN" hidden="1">"c25819"</definedName>
    <definedName name="IQ_FII_INDEXPRICE" hidden="1">"c25806"</definedName>
    <definedName name="IQ_FII_MATURITY" hidden="1">"c25804"</definedName>
    <definedName name="IQ_FII_MODDUR" hidden="1">"c25801"</definedName>
    <definedName name="IQ_FII_MTD_RETURN_COUPON" hidden="1">"c25813"</definedName>
    <definedName name="IQ_FII_MTD_RETURN_CURRENCY" hidden="1">"c25814"</definedName>
    <definedName name="IQ_FII_MTD_RETURN_PAYDOWN" hidden="1">"c25815"</definedName>
    <definedName name="IQ_FII_MTD_RETURN_PRICE" hidden="1">"c25816"</definedName>
    <definedName name="IQ_FII_MTD_RETURN_TOTAL" hidden="1">"c25812"</definedName>
    <definedName name="IQ_FII_MV" hidden="1">"c25803"</definedName>
    <definedName name="IQ_FII_NUMISSUE" hidden="1">"c25805"</definedName>
    <definedName name="IQ_FII_OAS" hidden="1">"c25798"</definedName>
    <definedName name="IQ_FII_RETURN_INCEPTION" hidden="1">"c25811"</definedName>
    <definedName name="IQ_FII_YTD_RETURN" hidden="1">"c25817"</definedName>
    <definedName name="IQ_FII_YTW" hidden="1">"c25818"</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ANCING_CASH" hidden="1">"c893"</definedName>
    <definedName name="IQ_FINANCING_CASH_SUPPL" hidden="1">"c899"</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"c451"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 hidden="1">"c451"</definedName>
    <definedName name="IQ_FX_CONTRACTS_FDIC" hidden="1">"c6517"</definedName>
    <definedName name="IQ_FX_CONTRACTS_SPOT_FDIC" hidden="1">"c6356"</definedName>
    <definedName name="IQ_FY">1000</definedName>
    <definedName name="IQ_FY_DATE" hidden="1">"IQ_FY_DATE"</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C_BNK" hidden="1">"c488"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"c452"</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"c530"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"c192"</definedName>
    <definedName name="IQ_GROSS_EARNED" hidden="1">"c2732"</definedName>
    <definedName name="IQ_GROSS_INTAN" hidden="1">"c520"</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"c511"</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"c789"</definedName>
    <definedName name="IQ_INC_AVAIL_INCL" hidden="1">"c791"</definedName>
    <definedName name="IQ_INC_BEFORE_TAX" hidden="1">"c386"</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EX_PROVIDED_DIVIDEND" hidden="1">"c19252"</definedName>
    <definedName name="IQ_INDEXCONSTITUENT_CLOSEPRICE" hidden="1">"c19241"</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 hidden="1">"c1534"</definedName>
    <definedName name="IQ_INSIDER_3MTH_BOUGHT_PCT" hidden="1">"c1534"</definedName>
    <definedName name="IQ_INSIDER_3MTH_NET" hidden="1">"c1535"</definedName>
    <definedName name="IQ_INSIDER_3MTH_NET_PCT" hidden="1">"c1535"</definedName>
    <definedName name="IQ_INSIDER_3MTH_SOLD" hidden="1">"c1533"</definedName>
    <definedName name="IQ_INSIDER_3MTH_SOLD_PCT" hidden="1">"c1533"</definedName>
    <definedName name="IQ_INSIDER_6MTH_BOUGHT" hidden="1">"c1537"</definedName>
    <definedName name="IQ_INSIDER_6MTH_BOUGHT_PCT" hidden="1">"c1537"</definedName>
    <definedName name="IQ_INSIDER_6MTH_NET" hidden="1">"c1538"</definedName>
    <definedName name="IQ_INSIDER_6MTH_NET_PCT" hidden="1">"c1538"</definedName>
    <definedName name="IQ_INSIDER_6MTH_SOLD" hidden="1">"c1536"</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"c907"</definedName>
    <definedName name="IQ_INTEL_EPS_EST" hidden="1">"c24729"</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"c618"</definedName>
    <definedName name="IQ_INTEREST_EXP_SUPPL" hidden="1">"c1460"</definedName>
    <definedName name="IQ_INTEREST_INC" hidden="1">"c769"</definedName>
    <definedName name="IQ_INTEREST_INC_10K" hidden="1">"IQ_INTEREST_INC_10K"</definedName>
    <definedName name="IQ_INTEREST_INC_10Q" hidden="1">"IQ_INTEREST_INC_10Q"</definedName>
    <definedName name="IQ_INTEREST_INC_10Q1" hidden="1">"IQ_INTEREST_INC_10Q1"</definedName>
    <definedName name="IQ_INTEREST_INC_NON" hidden="1">"c619"</definedName>
    <definedName name="IQ_INTEREST_INVEST_INC" hidden="1">"c619"</definedName>
    <definedName name="IQ_INTEREST_LT_DEBT" hidden="1">"c2086"</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"c751"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 hidden="1">"1"</definedName>
    <definedName name="IQ_LATESTK" hidden="1">1000</definedName>
    <definedName name="IQ_LATESTKFR" hidden="1">"100"</definedName>
    <definedName name="IQ_LATESTQ" hidden="1">500</definedName>
    <definedName name="IQ_LATESTQFR" hidden="1">"50"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ISTING_CURRENCY" hidden="1">"c2127"</definedName>
    <definedName name="IQ_LL" hidden="1">"c656"</definedName>
    <definedName name="IQ_LOAN_COMMITMENTS_REVOLVING_FDIC" hidden="1">"c6524"</definedName>
    <definedName name="IQ_LOAN_LEASE_RECEIV" hidden="1">"c657"</definedName>
    <definedName name="IQ_LOAN_LOSS" hidden="1">"c656"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"c674"</definedName>
    <definedName name="IQ_LONG_TERM_DEBT_OVER_TOTAL_CAP" hidden="1">"c677"</definedName>
    <definedName name="IQ_LONG_TERM_GROWTH" hidden="1">"c671"</definedName>
    <definedName name="IQ_LONG_TERM_INV" hidden="1">"c697"</definedName>
    <definedName name="IQ_LOSS_ALLOWANCE_LOANS_FDIC" hidden="1">"c6739"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_SENIOR_DEBT" hidden="1">"c702"</definedName>
    <definedName name="IQ_LT_SUB_DEBT" hidden="1">"c703"</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DATE" hidden="1">"IQ_LTM_DATE"</definedName>
    <definedName name="IQ_LTM_REVENUE_OVER_EMPLOYEES" hidden="1">"c1304"</definedName>
    <definedName name="IQ_LTMMONTH" hidden="1">120000</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REPAIR" hidden="1">"c2087"</definedName>
    <definedName name="IQ_MARKET_CAP_LFCF" hidden="1">"c2209"</definedName>
    <definedName name="IQ_MARKETCAP" hidden="1">"c712"</definedName>
    <definedName name="IQ_MARKETING" hidden="1">"c2239"</definedName>
    <definedName name="IQ_MARKTCAP" hidden="1">"c258"</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EY_MARKET_DEPOSIT_ACCOUNTS_FDIC" hidden="1">"c6553"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localSheetId="25" hidden="1">42472.9587847222</definedName>
    <definedName name="IQ_NAMES_REVISION_DATE_" hidden="1">43496.9169212963</definedName>
    <definedName name="IQ_NAV_ACT_OR_EST" hidden="1">"c2225"</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"c781"</definedName>
    <definedName name="IQ_NET_INC_10K" hidden="1">"IQ_NET_INC_10K"</definedName>
    <definedName name="IQ_NET_INC_10Q" hidden="1">"IQ_NET_INC_10Q"</definedName>
    <definedName name="IQ_NET_INC_10Q1" hidden="1">"IQ_NET_INC_10Q1"</definedName>
    <definedName name="IQ_NET_INC_BEFORE" hidden="1">"c344"</definedName>
    <definedName name="IQ_NET_INC_CF" hidden="1">"c793"</definedName>
    <definedName name="IQ_NET_INC_GROWTH_1" hidden="1">"c158"</definedName>
    <definedName name="IQ_NET_INC_GROWTH_2" hidden="1">"c162"</definedName>
    <definedName name="IQ_NET_INC_MARGIN" hidden="1">"c794"</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"c764"</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"c797"</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"c801"</definedName>
    <definedName name="IQ_NON_INTEREST_INC" hidden="1">"c802"</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"c1176"</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OFFIC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CLASSB" hidden="1">"c1969"</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 hidden="1">"c1999"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"c362"</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CERCISED" hidden="1">"c2116"</definedName>
    <definedName name="IQ_OPTIONS_EXERCISED" hidden="1">"c2116"</definedName>
    <definedName name="IQ_OPTIONS_GRANTED" hidden="1">"c2673"</definedName>
    <definedName name="IQ_OPTIONS_ISSUED" hidden="1">"c857"</definedName>
    <definedName name="IQ_OPTIONS_OS" hidden="1">"c858"</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"c868"</definedName>
    <definedName name="IQ_OTHER_CURRENT_LIAB" hidden="1">"c877"</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"c916"</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"c946"</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"c959"</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"c1010"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"c1022"</definedName>
    <definedName name="IQ_OUTSTANDING_FILING_DATE" hidden="1">"c1023"</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"c8"</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FFO_12MONTHS" hidden="1">"c1828"</definedName>
    <definedName name="IQ_PERCENT_CHANGE_EST_FFO_12MONTHS_CIQ" hidden="1">"c3769"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REUT" hidden="1">"c3964"</definedName>
    <definedName name="IQ_PERCENT_CHANGE_EST_FFO_WEEK_THOM" hidden="1">"c5274"</definedName>
    <definedName name="IQ_PERCENT_INSURED_FDIC" hidden="1">"c6374"</definedName>
    <definedName name="IQ_PERIODDATE" hidden="1">"c1034"</definedName>
    <definedName name="IQ_PERIODDATE_BS" hidden="1">"c1032"</definedName>
    <definedName name="IQ_PERIODDATE_CF" hidden="1">"c1033"</definedName>
    <definedName name="IQ_PERIODDATE_FDIC" hidden="1">"c13646"</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"c1052"</definedName>
    <definedName name="IQ_PREF_TOT" hidden="1">"c1044"</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"c1068"</definedName>
    <definedName name="IQ_PREPAID_SUBS" hidden="1">"c2117"</definedName>
    <definedName name="IQ_PRETAX_INC_10K" hidden="1">"IQ_PRETAX_INC_10K"</definedName>
    <definedName name="IQ_PRETAX_INC_10Q" hidden="1">"IQ_PRETAX_INC_10Q"</definedName>
    <definedName name="IQ_PRETAX_INC_10Q1" hidden="1">"IQ_PRETAX_INC_10Q1"</definedName>
    <definedName name="IQ_PRETAX_RETURN_ASSETS_FDIC" hidden="1">"c6731"</definedName>
    <definedName name="IQ_PRICE_OVER_BVPS" hidden="1">"c1026"</definedName>
    <definedName name="IQ_PRICE_OVER_EPS_EST" hidden="1">"c174"</definedName>
    <definedName name="IQ_PRICE_OVER_EPS_EST_1" hidden="1">"c175"</definedName>
    <definedName name="IQ_PRICE_OVER_LTM_EPS" hidden="1">"c1029"</definedName>
    <definedName name="IQ_PRICE_TARGET" hidden="1">"c82"</definedName>
    <definedName name="IQ_PRICEDATE" hidden="1">"c1069"</definedName>
    <definedName name="IQ_PRICEDATETIME" hidden="1">"IQ_PRICEDATETIME"</definedName>
    <definedName name="IQ_PRICING_DATE" hidden="1">"c1613"</definedName>
    <definedName name="IQ_PRIMARY_EPS_TYPE_THOM" hidden="1">"c5297"</definedName>
    <definedName name="IQ_PRIMARY_INDUSTRY" hidden="1">"c1070"</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"c795"</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"c518"</definedName>
    <definedName name="IQ_PROPERTY_MGMT_FEE" hidden="1">"c1074"</definedName>
    <definedName name="IQ_PROPERTY_NET" hidden="1">"c829"</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"c1059"</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"c1090"</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"c1092"</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"c1117"</definedName>
    <definedName name="IQ_REV" hidden="1">"c1122"</definedName>
    <definedName name="IQ_REV_BEFORE_LL" hidden="1">"c1123"</definedName>
    <definedName name="IQ_REV_STDDEV_EST" hidden="1">"c1124"</definedName>
    <definedName name="IQ_REV_UTI" hidden="1">"c1125"</definedName>
    <definedName name="IQ_REVALUATION_GAINS_FDIC" hidden="1">"c6428"</definedName>
    <definedName name="IQ_REVALUATION_LOSSES_FDIC" hidden="1">"c6429"</definedName>
    <definedName name="IQ_REVENUE" hidden="1">"c1122"</definedName>
    <definedName name="IQ_REVENUE_10K" hidden="1">"IQ_REVENUE_10K"</definedName>
    <definedName name="IQ_REVENUE_10Q" hidden="1">"IQ_REVENUE_10Q"</definedName>
    <definedName name="IQ_REVENUE_10Q1" hidden="1">"IQ_REVENUE_10Q1"</definedName>
    <definedName name="IQ_REVENUE_EST" hidden="1">"c1126"</definedName>
    <definedName name="IQ_REVENUE_GROWTH_1" hidden="1">"c155"</definedName>
    <definedName name="IQ_REVENUE_GROWTH_2" hidden="1">"c159"</definedName>
    <definedName name="IQ_REVENUE_HIGH_EST" hidden="1">"c1127"</definedName>
    <definedName name="IQ_REVENUE_LOW_EST" hidden="1">"c1128"</definedName>
    <definedName name="IQ_REVENUE_NO_EST" hidden="1">"c263"</definedName>
    <definedName name="IQ_REVENUE_NUM_EST" hidden="1">"c1129"</definedName>
    <definedName name="IQ_Revision_date_2" hidden="1">38784.4474652778</definedName>
    <definedName name="IQ_REVOLVING_SECURED_1_–4_NON_ACCRUAL_FFIEC" hidden="1">"c15565"</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"c1197"</definedName>
    <definedName name="IQ_SMALL_INT_BEAR_CD" hidden="1">"c1166"</definedName>
    <definedName name="IQ_SOFTWARE" hidden="1">"c1167"</definedName>
    <definedName name="IQ_SOURCE" hidden="1">"c1168"</definedName>
    <definedName name="IQ_SP_ISSUE_LC_ACTION" hidden="1">"c2644"</definedName>
    <definedName name="IQ_SP_ISSUE_LC_DATE" hidden="1">"c2643"</definedName>
    <definedName name="IQ_SP_ISSUE_LC_LT" hidden="1">"c2645"</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GS_FIN" hidden="1">"c2998"</definedName>
    <definedName name="IQ_STOCK_BASED_COGS_UTIL" hidden="1">"c2997"</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LASTCLOSE" hidden="1">"c1855"</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"c1266"</definedName>
    <definedName name="IQ_TOTAL_CASH_FINAN" hidden="1">"c119"</definedName>
    <definedName name="IQ_TOTAL_CASH_INVEST" hidden="1">"c121"</definedName>
    <definedName name="IQ_TOTAL_CASH_OPER" hidden="1">"c122"</definedName>
    <definedName name="IQ_TOTAL_CHARGE_OFFS_FDIC" hidden="1">"c6603"</definedName>
    <definedName name="IQ_TOTAL_CHURN" hidden="1">"c2122"</definedName>
    <definedName name="IQ_TOTAL_CL" hidden="1">"c1245"</definedName>
    <definedName name="IQ_TOTAL_COMMON" hidden="1">"c1022"</definedName>
    <definedName name="IQ_TOTAL_COMMON_EQUITY" hidden="1">"c1246"</definedName>
    <definedName name="IQ_TOTAL_CURRENT_ASSETS" hidden="1">"c1243"</definedName>
    <definedName name="IQ_TOTAL_CURRENT_LIAB" hidden="1">"c1245"</definedName>
    <definedName name="IQ_TOTAL_DEBT" hidden="1">"c1247"</definedName>
    <definedName name="IQ_TOTAL_DEBT_CAPITAL" hidden="1">"c1248"</definedName>
    <definedName name="IQ_TOTAL_DEBT_DUE" hidden="1">"c2509"</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"c1249"</definedName>
    <definedName name="IQ_TOTAL_DEBT_OVER_TOTAL_BV" hidden="1">"c1250"</definedName>
    <definedName name="IQ_TOTAL_DEBT_OVER_TOTAL_CAP" hidden="1">"c1248"</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"c1522"</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"c591"</definedName>
    <definedName name="IQ_TOTAL_INVENTORY" hidden="1">"c622"</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"c1279"</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"c1294"</definedName>
    <definedName name="IQ_TOTAL_RISK_BASED_CAPITAL_RATIO_FDIC" hidden="1">"c6747"</definedName>
    <definedName name="IQ_TOTAL_SECURITIES_FDIC" hidden="1">"c6306"</definedName>
    <definedName name="IQ_TOTAL_SPECIAL" hidden="1">"c1618"</definedName>
    <definedName name="IQ_TOTAL_ST_BORROW" hidden="1">"c1177"</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ADVISORS" hidden="1">"c2387"</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ADVISORS" hidden="1">"c2388"</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BDEBT" hidden="1">"c2370"</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ADVISORS" hidden="1">"c2386"</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"c40"</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"c1311"</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 hidden="1">"c2930"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 hidden="1">"c2932"</definedName>
    <definedName name="IQ_US_GAAP_CL_ADJ" hidden="1">"c2927"</definedName>
    <definedName name="IQ_US_GAAP_COST_REV" hidden="1">"c2965"</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 hidden="1">"c2973"</definedName>
    <definedName name="IQ_US_GAAP_DO_ADJ" hidden="1">"c2959"</definedName>
    <definedName name="IQ_US_GAAP_EXTRA_ACC_ITEMS" hidden="1">"c2972"</definedName>
    <definedName name="IQ_US_GAAP_EXTRA_ACC_ITEMS_ADJ" hidden="1">"c2958"</definedName>
    <definedName name="IQ_US_GAAP_INC_TAX" hidden="1">"c2975"</definedName>
    <definedName name="IQ_US_GAAP_INC_TAX_ADJ" hidden="1">"c2961"</definedName>
    <definedName name="IQ_US_GAAP_INTEREST_EXP" hidden="1">"c2971"</definedName>
    <definedName name="IQ_US_GAAP_INTEREST_EXP_ADJ" hidden="1">"c2957"</definedName>
    <definedName name="IQ_US_GAAP_LIAB_LT" hidden="1">"c2933"</definedName>
    <definedName name="IQ_US_GAAP_LIAB_LT_ADJ" hidden="1">"c2928"</definedName>
    <definedName name="IQ_US_GAAP_LIAB_TOTAL_LIAB" hidden="1">"c2933"</definedName>
    <definedName name="IQ_US_GAAP_MINORITY_INTEREST_IS" hidden="1">"c2974"</definedName>
    <definedName name="IQ_US_GAAP_MINORITY_INTEREST_IS_ADJ" hidden="1">"c2960"</definedName>
    <definedName name="IQ_US_GAAP_NCA" hidden="1">"c2931"</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EXCL" hidden="1">"c2977"</definedName>
    <definedName name="IQ_US_GAAP_NI_AVAIL_INCL" hidden="1">"c2978"</definedName>
    <definedName name="IQ_US_GAAP_OTHER_ADJ_ADJ" hidden="1">"c2962"</definedName>
    <definedName name="IQ_US_GAAP_OTHER_NON_OPER" hidden="1">"c2969"</definedName>
    <definedName name="IQ_US_GAAP_OTHER_NON_OPER_ADJ" hidden="1">"c2955"</definedName>
    <definedName name="IQ_US_GAAP_OTHER_OPER" hidden="1">"c2968"</definedName>
    <definedName name="IQ_US_GAAP_OTHER_OPER_ADJ" hidden="1">"c2954"</definedName>
    <definedName name="IQ_US_GAAP_RD" hidden="1">"c2967"</definedName>
    <definedName name="IQ_US_GAAP_RD_ADJ" hidden="1">"c2953"</definedName>
    <definedName name="IQ_US_GAAP_SGA" hidden="1">"c2966"</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 hidden="1">"c2964"</definedName>
    <definedName name="IQ_US_GAAP_TOTAL_REV_ADJ" hidden="1">"c2950"</definedName>
    <definedName name="IQ_US_GAAP_TOTAL_UNUSUAL" hidden="1">"c2970"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HIGH" hidden="1">"c1337"</definedName>
    <definedName name="IQ_YEARHIGH_DATE" hidden="1">"c2250"</definedName>
    <definedName name="IQ_YEARLOW" hidden="1">"c1338"</definedName>
    <definedName name="IQ_YEARLOW_DATE" hidden="1">"c2251"</definedName>
    <definedName name="IQ_YTD">3000</definedName>
    <definedName name="IQ_YTDMONTH" hidden="1">130000</definedName>
    <definedName name="IQ_Z_SCORE" hidden="1">"c1339"</definedName>
    <definedName name="IQRA8" hidden="1">"$A$9:$A$260"</definedName>
    <definedName name="IQRAF16" hidden="1">"$AF$17:$AF$268"</definedName>
    <definedName name="IQRAF17" hidden="1">"$AF$18:$AF$269"</definedName>
    <definedName name="IQRB14" hidden="1">"$B$15:$B$518"</definedName>
    <definedName name="IQRB16" hidden="1">"$B$17:$B$520"</definedName>
    <definedName name="IQRB17" localSheetId="16" hidden="1">"$B$18:$B$78"</definedName>
    <definedName name="IQRB17" hidden="1">"$B$18:$B$80"</definedName>
    <definedName name="IQRB18" hidden="1">"$B$19:$B$522"</definedName>
    <definedName name="IQRB8" hidden="1">"$B$9:$B$260"</definedName>
    <definedName name="IQRBB17" hidden="1">"$BB$18:$BB$1299"</definedName>
    <definedName name="IQRC14" hidden="1">"$C$15:$C$119"</definedName>
    <definedName name="IQRC5" hidden="1">"$C$6:$C$70"</definedName>
    <definedName name="IQRC8" hidden="1">"$C$9:$C$260"</definedName>
    <definedName name="IQRD14" hidden="1">"$D$15:$D$38"</definedName>
    <definedName name="IQRD5" hidden="1">"$D$6:$D$70"</definedName>
    <definedName name="IQRE5" hidden="1">"$E$6:$E$70"</definedName>
    <definedName name="IQRF5" hidden="1">"$F$6:$F$70"</definedName>
    <definedName name="IQRG41" hidden="1">"$G$42:$G$1300"</definedName>
    <definedName name="IQRG5" hidden="1">"$G$6:$G$70"</definedName>
    <definedName name="IQRHistoricMultiplesAR9" localSheetId="5" hidden="1">#REF!</definedName>
    <definedName name="IQRHistoricMultiplesAR9" localSheetId="25" hidden="1">#REF!</definedName>
    <definedName name="IQRHistoricMultiplesAR9" localSheetId="20" hidden="1">#REF!</definedName>
    <definedName name="IQRHistoricMultiplesAR9" localSheetId="8" hidden="1">#REF!</definedName>
    <definedName name="IQRHistoricMultiplesAR9" localSheetId="11" hidden="1">#REF!</definedName>
    <definedName name="IQRHistoricMultiplesAR9" localSheetId="18" hidden="1">#REF!</definedName>
    <definedName name="IQRHistoricMultiplesAR9" localSheetId="17" hidden="1">#REF!</definedName>
    <definedName name="IQRHistoricMultiplesAR9" localSheetId="19" hidden="1">#REF!</definedName>
    <definedName name="IQRHistoricMultiplesAR9" hidden="1">#REF!</definedName>
    <definedName name="IQRHistoricMultiplesAW9" localSheetId="5" hidden="1">#REF!</definedName>
    <definedName name="IQRHistoricMultiplesAW9" localSheetId="25" hidden="1">#REF!</definedName>
    <definedName name="IQRHistoricMultiplesAW9" localSheetId="20" hidden="1">#REF!</definedName>
    <definedName name="IQRHistoricMultiplesAW9" localSheetId="8" hidden="1">#REF!</definedName>
    <definedName name="IQRHistoricMultiplesAW9" localSheetId="18" hidden="1">#REF!</definedName>
    <definedName name="IQRHistoricMultiplesAW9" localSheetId="17" hidden="1">#REF!</definedName>
    <definedName name="IQRHistoricMultiplesAW9" localSheetId="19" hidden="1">#REF!</definedName>
    <definedName name="IQRHistoricMultiplesAW9" hidden="1">#REF!</definedName>
    <definedName name="IQRHistoricMultiplesBB9" localSheetId="5" hidden="1">#REF!</definedName>
    <definedName name="IQRHistoricMultiplesBB9" localSheetId="25" hidden="1">#REF!</definedName>
    <definedName name="IQRHistoricMultiplesBB9" localSheetId="20" hidden="1">#REF!</definedName>
    <definedName name="IQRHistoricMultiplesBB9" localSheetId="8" hidden="1">#REF!</definedName>
    <definedName name="IQRHistoricMultiplesBB9" localSheetId="18" hidden="1">#REF!</definedName>
    <definedName name="IQRHistoricMultiplesBB9" localSheetId="17" hidden="1">#REF!</definedName>
    <definedName name="IQRHistoricMultiplesBB9" localSheetId="19" hidden="1">#REF!</definedName>
    <definedName name="IQRHistoricMultiplesBB9" hidden="1">#REF!</definedName>
    <definedName name="IQRHistoricMultiplesBG9" localSheetId="5" hidden="1">#REF!</definedName>
    <definedName name="IQRHistoricMultiplesBG9" localSheetId="25" hidden="1">#REF!</definedName>
    <definedName name="IQRHistoricMultiplesBG9" localSheetId="20" hidden="1">#REF!</definedName>
    <definedName name="IQRHistoricMultiplesBG9" localSheetId="8" hidden="1">#REF!</definedName>
    <definedName name="IQRHistoricMultiplesBG9" localSheetId="18" hidden="1">#REF!</definedName>
    <definedName name="IQRHistoricMultiplesBG9" localSheetId="17" hidden="1">#REF!</definedName>
    <definedName name="IQRHistoricMultiplesBG9" localSheetId="19" hidden="1">#REF!</definedName>
    <definedName name="IQRHistoricMultiplesBG9" hidden="1">#REF!</definedName>
    <definedName name="IQRHistoricMultiplesBL9" localSheetId="5" hidden="1">#REF!</definedName>
    <definedName name="IQRHistoricMultiplesBL9" localSheetId="25" hidden="1">#REF!</definedName>
    <definedName name="IQRHistoricMultiplesBL9" localSheetId="20" hidden="1">#REF!</definedName>
    <definedName name="IQRHistoricMultiplesBL9" localSheetId="8" hidden="1">#REF!</definedName>
    <definedName name="IQRHistoricMultiplesBL9" localSheetId="18" hidden="1">#REF!</definedName>
    <definedName name="IQRHistoricMultiplesBL9" localSheetId="17" hidden="1">#REF!</definedName>
    <definedName name="IQRHistoricMultiplesBL9" localSheetId="19" hidden="1">#REF!</definedName>
    <definedName name="IQRHistoricMultiplesBL9" hidden="1">#REF!</definedName>
    <definedName name="IQRHistoricMultiplesBQ9" localSheetId="5" hidden="1">#REF!</definedName>
    <definedName name="IQRHistoricMultiplesBQ9" localSheetId="25" hidden="1">#REF!</definedName>
    <definedName name="IQRHistoricMultiplesBQ9" localSheetId="20" hidden="1">#REF!</definedName>
    <definedName name="IQRHistoricMultiplesBQ9" localSheetId="8" hidden="1">#REF!</definedName>
    <definedName name="IQRHistoricMultiplesBQ9" localSheetId="18" hidden="1">#REF!</definedName>
    <definedName name="IQRHistoricMultiplesBQ9" localSheetId="17" hidden="1">#REF!</definedName>
    <definedName name="IQRHistoricMultiplesBQ9" localSheetId="19" hidden="1">#REF!</definedName>
    <definedName name="IQRHistoricMultiplesBQ9" hidden="1">#REF!</definedName>
    <definedName name="IQRHistoricMultiplesBV9" localSheetId="5" hidden="1">#REF!</definedName>
    <definedName name="IQRHistoricMultiplesBV9" localSheetId="25" hidden="1">#REF!</definedName>
    <definedName name="IQRHistoricMultiplesBV9" localSheetId="20" hidden="1">#REF!</definedName>
    <definedName name="IQRHistoricMultiplesBV9" localSheetId="8" hidden="1">#REF!</definedName>
    <definedName name="IQRHistoricMultiplesBV9" localSheetId="18" hidden="1">#REF!</definedName>
    <definedName name="IQRHistoricMultiplesBV9" localSheetId="17" hidden="1">#REF!</definedName>
    <definedName name="IQRHistoricMultiplesBV9" localSheetId="19" hidden="1">#REF!</definedName>
    <definedName name="IQRHistoricMultiplesBV9" hidden="1">#REF!</definedName>
    <definedName name="IQRHistoricMultiplesCA9" localSheetId="5" hidden="1">#REF!</definedName>
    <definedName name="IQRHistoricMultiplesCA9" localSheetId="25" hidden="1">#REF!</definedName>
    <definedName name="IQRHistoricMultiplesCA9" localSheetId="20" hidden="1">#REF!</definedName>
    <definedName name="IQRHistoricMultiplesCA9" localSheetId="8" hidden="1">#REF!</definedName>
    <definedName name="IQRHistoricMultiplesCA9" localSheetId="18" hidden="1">#REF!</definedName>
    <definedName name="IQRHistoricMultiplesCA9" localSheetId="17" hidden="1">#REF!</definedName>
    <definedName name="IQRHistoricMultiplesCA9" localSheetId="19" hidden="1">#REF!</definedName>
    <definedName name="IQRHistoricMultiplesCA9" hidden="1">#REF!</definedName>
    <definedName name="IQRHistoricMultiplesCF9" localSheetId="5" hidden="1">#REF!</definedName>
    <definedName name="IQRHistoricMultiplesCF9" localSheetId="25" hidden="1">#REF!</definedName>
    <definedName name="IQRHistoricMultiplesCF9" localSheetId="20" hidden="1">#REF!</definedName>
    <definedName name="IQRHistoricMultiplesCF9" localSheetId="8" hidden="1">#REF!</definedName>
    <definedName name="IQRHistoricMultiplesCF9" localSheetId="18" hidden="1">#REF!</definedName>
    <definedName name="IQRHistoricMultiplesCF9" localSheetId="17" hidden="1">#REF!</definedName>
    <definedName name="IQRHistoricMultiplesCF9" localSheetId="19" hidden="1">#REF!</definedName>
    <definedName name="IQRHistoricMultiplesCF9" hidden="1">#REF!</definedName>
    <definedName name="IQRHistoricMultiplesCK9" localSheetId="5" hidden="1">#REF!</definedName>
    <definedName name="IQRHistoricMultiplesCK9" localSheetId="25" hidden="1">#REF!</definedName>
    <definedName name="IQRHistoricMultiplesCK9" localSheetId="20" hidden="1">#REF!</definedName>
    <definedName name="IQRHistoricMultiplesCK9" localSheetId="8" hidden="1">#REF!</definedName>
    <definedName name="IQRHistoricMultiplesCK9" localSheetId="18" hidden="1">#REF!</definedName>
    <definedName name="IQRHistoricMultiplesCK9" localSheetId="17" hidden="1">#REF!</definedName>
    <definedName name="IQRHistoricMultiplesCK9" localSheetId="19" hidden="1">#REF!</definedName>
    <definedName name="IQRHistoricMultiplesCK9" hidden="1">#REF!</definedName>
    <definedName name="IQRIPOAF12" localSheetId="3" hidden="1">#REF!</definedName>
    <definedName name="IQRIPOAF12" localSheetId="5" hidden="1">#REF!</definedName>
    <definedName name="IQRIPOAF12" localSheetId="25" hidden="1">#REF!</definedName>
    <definedName name="IQRIPOAF12" localSheetId="20" hidden="1">#REF!</definedName>
    <definedName name="IQRIPOAF12" localSheetId="7" hidden="1">#REF!</definedName>
    <definedName name="IQRIPOAF12" localSheetId="8" hidden="1">#REF!</definedName>
    <definedName name="IQRIPOAF12" localSheetId="9" hidden="1">#REF!</definedName>
    <definedName name="IQRIPOAF12" localSheetId="10" hidden="1">#REF!</definedName>
    <definedName name="IQRIPOAF12" localSheetId="11" hidden="1">#REF!</definedName>
    <definedName name="IQRIPOAF12" localSheetId="12" hidden="1">#REF!</definedName>
    <definedName name="IQRIPOAF12" localSheetId="18" hidden="1">#REF!</definedName>
    <definedName name="IQRIPOAF12" localSheetId="17" hidden="1">#REF!</definedName>
    <definedName name="IQRIPOAF12" localSheetId="19" hidden="1">#REF!</definedName>
    <definedName name="IQRIPOAF12" hidden="1">#REF!</definedName>
    <definedName name="IQRIPOAF13" localSheetId="3" hidden="1">#REF!</definedName>
    <definedName name="IQRIPOAF13" localSheetId="5" hidden="1">#REF!</definedName>
    <definedName name="IQRIPOAF13" localSheetId="25" hidden="1">#REF!</definedName>
    <definedName name="IQRIPOAF13" localSheetId="20" hidden="1">#REF!</definedName>
    <definedName name="IQRIPOAF13" localSheetId="7" hidden="1">#REF!</definedName>
    <definedName name="IQRIPOAF13" localSheetId="8" hidden="1">#REF!</definedName>
    <definedName name="IQRIPOAF13" localSheetId="9" hidden="1">#REF!</definedName>
    <definedName name="IQRIPOAF13" localSheetId="10" hidden="1">#REF!</definedName>
    <definedName name="IQRIPOAF13" localSheetId="11" hidden="1">#REF!</definedName>
    <definedName name="IQRIPOAF13" localSheetId="12" hidden="1">#REF!</definedName>
    <definedName name="IQRIPOAF13" localSheetId="18" hidden="1">#REF!</definedName>
    <definedName name="IQRIPOAF13" localSheetId="17" hidden="1">#REF!</definedName>
    <definedName name="IQRIPOAF13" localSheetId="19" hidden="1">#REF!</definedName>
    <definedName name="IQRIPOAF13" hidden="1">#REF!</definedName>
    <definedName name="IQRIPOAF14" localSheetId="3" hidden="1">[11]IPO!#REF!</definedName>
    <definedName name="IQRIPOAF14" localSheetId="5" hidden="1">[11]IPO!#REF!</definedName>
    <definedName name="IQRIPOAF14" localSheetId="25" hidden="1">[12]IPO!#REF!</definedName>
    <definedName name="IQRIPOAF14" localSheetId="20" hidden="1">[11]IPO!#REF!</definedName>
    <definedName name="IQRIPOAF14" localSheetId="7" hidden="1">[11]IPO!#REF!</definedName>
    <definedName name="IQRIPOAF14" localSheetId="8" hidden="1">[11]IPO!#REF!</definedName>
    <definedName name="IQRIPOAF14" localSheetId="9" hidden="1">[11]IPO!#REF!</definedName>
    <definedName name="IQRIPOAF14" localSheetId="10" hidden="1">[11]IPO!#REF!</definedName>
    <definedName name="IQRIPOAF14" localSheetId="11" hidden="1">[11]IPO!#REF!</definedName>
    <definedName name="IQRIPOAF14" localSheetId="12" hidden="1">[11]IPO!#REF!</definedName>
    <definedName name="IQRIPOAF14" localSheetId="18" hidden="1">[11]IPO!#REF!</definedName>
    <definedName name="IQRIPOAF14" localSheetId="17" hidden="1">[11]IPO!#REF!</definedName>
    <definedName name="IQRIPOAF14" localSheetId="19" hidden="1">[11]IPO!#REF!</definedName>
    <definedName name="IQRIPOAF14" hidden="1">[11]IPO!#REF!</definedName>
    <definedName name="IQRIPOAF15" localSheetId="3" hidden="1">#REF!</definedName>
    <definedName name="IQRIPOAF15" localSheetId="5" hidden="1">#REF!</definedName>
    <definedName name="IQRIPOAF15" localSheetId="25" hidden="1">#REF!</definedName>
    <definedName name="IQRIPOAF15" localSheetId="20" hidden="1">#REF!</definedName>
    <definedName name="IQRIPOAF15" localSheetId="7" hidden="1">#REF!</definedName>
    <definedName name="IQRIPOAF15" localSheetId="8" hidden="1">#REF!</definedName>
    <definedName name="IQRIPOAF15" localSheetId="9" hidden="1">#REF!</definedName>
    <definedName name="IQRIPOAF15" localSheetId="10" hidden="1">#REF!</definedName>
    <definedName name="IQRIPOAF15" localSheetId="11" hidden="1">#REF!</definedName>
    <definedName name="IQRIPOAF15" localSheetId="12" hidden="1">#REF!</definedName>
    <definedName name="IQRIPOAF15" localSheetId="18" hidden="1">#REF!</definedName>
    <definedName name="IQRIPOAF15" localSheetId="17" hidden="1">#REF!</definedName>
    <definedName name="IQRIPOAF15" localSheetId="19" hidden="1">#REF!</definedName>
    <definedName name="IQRIPOAF15" hidden="1">#REF!</definedName>
    <definedName name="IQRIPOAF16" localSheetId="3" hidden="1">#REF!</definedName>
    <definedName name="IQRIPOAF16" localSheetId="5" hidden="1">#REF!</definedName>
    <definedName name="IQRIPOAF16" localSheetId="25" hidden="1">#REF!</definedName>
    <definedName name="IQRIPOAF16" localSheetId="20" hidden="1">#REF!</definedName>
    <definedName name="IQRIPOAF16" localSheetId="7" hidden="1">#REF!</definedName>
    <definedName name="IQRIPOAF16" localSheetId="8" hidden="1">#REF!</definedName>
    <definedName name="IQRIPOAF16" localSheetId="9" hidden="1">#REF!</definedName>
    <definedName name="IQRIPOAF16" localSheetId="10" hidden="1">#REF!</definedName>
    <definedName name="IQRIPOAF16" localSheetId="11" hidden="1">#REF!</definedName>
    <definedName name="IQRIPOAF16" localSheetId="12" hidden="1">#REF!</definedName>
    <definedName name="IQRIPOAF16" localSheetId="18" hidden="1">#REF!</definedName>
    <definedName name="IQRIPOAF16" localSheetId="17" hidden="1">#REF!</definedName>
    <definedName name="IQRIPOAF16" localSheetId="19" hidden="1">#REF!</definedName>
    <definedName name="IQRIPOAF16" hidden="1">#REF!</definedName>
    <definedName name="IQRIPOAF17" localSheetId="3" hidden="1">#REF!</definedName>
    <definedName name="IQRIPOAF17" localSheetId="5" hidden="1">#REF!</definedName>
    <definedName name="IQRIPOAF17" localSheetId="25" hidden="1">#REF!</definedName>
    <definedName name="IQRIPOAF17" localSheetId="20" hidden="1">#REF!</definedName>
    <definedName name="IQRIPOAF17" localSheetId="7" hidden="1">#REF!</definedName>
    <definedName name="IQRIPOAF17" localSheetId="8" hidden="1">#REF!</definedName>
    <definedName name="IQRIPOAF17" localSheetId="9" hidden="1">#REF!</definedName>
    <definedName name="IQRIPOAF17" localSheetId="10" hidden="1">#REF!</definedName>
    <definedName name="IQRIPOAF17" localSheetId="11" hidden="1">#REF!</definedName>
    <definedName name="IQRIPOAF17" localSheetId="12" hidden="1">#REF!</definedName>
    <definedName name="IQRIPOAF17" localSheetId="18" hidden="1">#REF!</definedName>
    <definedName name="IQRIPOAF17" localSheetId="17" hidden="1">#REF!</definedName>
    <definedName name="IQRIPOAF17" localSheetId="19" hidden="1">#REF!</definedName>
    <definedName name="IQRIPOAF17" hidden="1">#REF!</definedName>
    <definedName name="IQRIPOAF18" localSheetId="3" hidden="1">#REF!</definedName>
    <definedName name="IQRIPOAF18" localSheetId="5" hidden="1">#REF!</definedName>
    <definedName name="IQRIPOAF18" localSheetId="25" hidden="1">#REF!</definedName>
    <definedName name="IQRIPOAF18" localSheetId="20" hidden="1">#REF!</definedName>
    <definedName name="IQRIPOAF18" localSheetId="7" hidden="1">#REF!</definedName>
    <definedName name="IQRIPOAF18" localSheetId="8" hidden="1">#REF!</definedName>
    <definedName name="IQRIPOAF18" localSheetId="9" hidden="1">#REF!</definedName>
    <definedName name="IQRIPOAF18" localSheetId="10" hidden="1">#REF!</definedName>
    <definedName name="IQRIPOAF18" localSheetId="11" hidden="1">#REF!</definedName>
    <definedName name="IQRIPOAF18" localSheetId="12" hidden="1">#REF!</definedName>
    <definedName name="IQRIPOAF18" localSheetId="18" hidden="1">#REF!</definedName>
    <definedName name="IQRIPOAF18" localSheetId="17" hidden="1">#REF!</definedName>
    <definedName name="IQRIPOAF18" localSheetId="19" hidden="1">#REF!</definedName>
    <definedName name="IQRIPOAF18" hidden="1">#REF!</definedName>
    <definedName name="IQRIPOAF19" localSheetId="3" hidden="1">#REF!</definedName>
    <definedName name="IQRIPOAF19" localSheetId="5" hidden="1">#REF!</definedName>
    <definedName name="IQRIPOAF19" localSheetId="25" hidden="1">#REF!</definedName>
    <definedName name="IQRIPOAF19" localSheetId="20" hidden="1">#REF!</definedName>
    <definedName name="IQRIPOAF19" localSheetId="7" hidden="1">#REF!</definedName>
    <definedName name="IQRIPOAF19" localSheetId="8" hidden="1">#REF!</definedName>
    <definedName name="IQRIPOAF19" localSheetId="9" hidden="1">#REF!</definedName>
    <definedName name="IQRIPOAF19" localSheetId="10" hidden="1">#REF!</definedName>
    <definedName name="IQRIPOAF19" localSheetId="11" hidden="1">#REF!</definedName>
    <definedName name="IQRIPOAF19" localSheetId="12" hidden="1">#REF!</definedName>
    <definedName name="IQRIPOAF19" localSheetId="18" hidden="1">#REF!</definedName>
    <definedName name="IQRIPOAF19" localSheetId="17" hidden="1">#REF!</definedName>
    <definedName name="IQRIPOAF19" localSheetId="19" hidden="1">#REF!</definedName>
    <definedName name="IQRIPOAF19" hidden="1">#REF!</definedName>
    <definedName name="IQRIPOAF20" localSheetId="3" hidden="1">#REF!</definedName>
    <definedName name="IQRIPOAF20" localSheetId="5" hidden="1">#REF!</definedName>
    <definedName name="IQRIPOAF20" localSheetId="25" hidden="1">#REF!</definedName>
    <definedName name="IQRIPOAF20" localSheetId="20" hidden="1">#REF!</definedName>
    <definedName name="IQRIPOAF20" localSheetId="7" hidden="1">#REF!</definedName>
    <definedName name="IQRIPOAF20" localSheetId="8" hidden="1">#REF!</definedName>
    <definedName name="IQRIPOAF20" localSheetId="9" hidden="1">#REF!</definedName>
    <definedName name="IQRIPOAF20" localSheetId="10" hidden="1">#REF!</definedName>
    <definedName name="IQRIPOAF20" localSheetId="11" hidden="1">#REF!</definedName>
    <definedName name="IQRIPOAF20" localSheetId="12" hidden="1">#REF!</definedName>
    <definedName name="IQRIPOAF20" localSheetId="18" hidden="1">#REF!</definedName>
    <definedName name="IQRIPOAF20" localSheetId="17" hidden="1">#REF!</definedName>
    <definedName name="IQRIPOAF20" localSheetId="19" hidden="1">#REF!</definedName>
    <definedName name="IQRIPOAF20" hidden="1">#REF!</definedName>
    <definedName name="IQRIPOAF21" localSheetId="3" hidden="1">#REF!</definedName>
    <definedName name="IQRIPOAF21" localSheetId="5" hidden="1">#REF!</definedName>
    <definedName name="IQRIPOAF21" localSheetId="25" hidden="1">#REF!</definedName>
    <definedName name="IQRIPOAF21" localSheetId="20" hidden="1">#REF!</definedName>
    <definedName name="IQRIPOAF21" localSheetId="7" hidden="1">#REF!</definedName>
    <definedName name="IQRIPOAF21" localSheetId="8" hidden="1">#REF!</definedName>
    <definedName name="IQRIPOAF21" localSheetId="9" hidden="1">#REF!</definedName>
    <definedName name="IQRIPOAF21" localSheetId="10" hidden="1">#REF!</definedName>
    <definedName name="IQRIPOAF21" localSheetId="11" hidden="1">#REF!</definedName>
    <definedName name="IQRIPOAF21" localSheetId="12" hidden="1">#REF!</definedName>
    <definedName name="IQRIPOAF21" localSheetId="18" hidden="1">#REF!</definedName>
    <definedName name="IQRIPOAF21" localSheetId="17" hidden="1">#REF!</definedName>
    <definedName name="IQRIPOAF21" localSheetId="19" hidden="1">#REF!</definedName>
    <definedName name="IQRIPOAF21" hidden="1">#REF!</definedName>
    <definedName name="IQRIPOAF22" localSheetId="3" hidden="1">#REF!</definedName>
    <definedName name="IQRIPOAF22" localSheetId="5" hidden="1">#REF!</definedName>
    <definedName name="IQRIPOAF22" localSheetId="25" hidden="1">#REF!</definedName>
    <definedName name="IQRIPOAF22" localSheetId="20" hidden="1">#REF!</definedName>
    <definedName name="IQRIPOAF22" localSheetId="7" hidden="1">#REF!</definedName>
    <definedName name="IQRIPOAF22" localSheetId="8" hidden="1">#REF!</definedName>
    <definedName name="IQRIPOAF22" localSheetId="9" hidden="1">#REF!</definedName>
    <definedName name="IQRIPOAF22" localSheetId="10" hidden="1">#REF!</definedName>
    <definedName name="IQRIPOAF22" localSheetId="11" hidden="1">#REF!</definedName>
    <definedName name="IQRIPOAF22" localSheetId="12" hidden="1">#REF!</definedName>
    <definedName name="IQRIPOAF22" localSheetId="18" hidden="1">#REF!</definedName>
    <definedName name="IQRIPOAF22" localSheetId="17" hidden="1">#REF!</definedName>
    <definedName name="IQRIPOAF22" localSheetId="19" hidden="1">#REF!</definedName>
    <definedName name="IQRIPOAF22" hidden="1">#REF!</definedName>
    <definedName name="IQRIPOAF23" localSheetId="3" hidden="1">#REF!</definedName>
    <definedName name="IQRIPOAF23" localSheetId="5" hidden="1">#REF!</definedName>
    <definedName name="IQRIPOAF23" localSheetId="25" hidden="1">#REF!</definedName>
    <definedName name="IQRIPOAF23" localSheetId="20" hidden="1">#REF!</definedName>
    <definedName name="IQRIPOAF23" localSheetId="7" hidden="1">#REF!</definedName>
    <definedName name="IQRIPOAF23" localSheetId="8" hidden="1">#REF!</definedName>
    <definedName name="IQRIPOAF23" localSheetId="9" hidden="1">#REF!</definedName>
    <definedName name="IQRIPOAF23" localSheetId="10" hidden="1">#REF!</definedName>
    <definedName name="IQRIPOAF23" localSheetId="11" hidden="1">#REF!</definedName>
    <definedName name="IQRIPOAF23" localSheetId="12" hidden="1">#REF!</definedName>
    <definedName name="IQRIPOAF23" localSheetId="18" hidden="1">#REF!</definedName>
    <definedName name="IQRIPOAF23" localSheetId="17" hidden="1">#REF!</definedName>
    <definedName name="IQRIPOAF23" localSheetId="19" hidden="1">#REF!</definedName>
    <definedName name="IQRIPOAF23" hidden="1">#REF!</definedName>
    <definedName name="IQRIPOAF24" localSheetId="3" hidden="1">#REF!</definedName>
    <definedName name="IQRIPOAF24" localSheetId="5" hidden="1">#REF!</definedName>
    <definedName name="IQRIPOAF24" localSheetId="25" hidden="1">#REF!</definedName>
    <definedName name="IQRIPOAF24" localSheetId="20" hidden="1">#REF!</definedName>
    <definedName name="IQRIPOAF24" localSheetId="7" hidden="1">#REF!</definedName>
    <definedName name="IQRIPOAF24" localSheetId="8" hidden="1">#REF!</definedName>
    <definedName name="IQRIPOAF24" localSheetId="9" hidden="1">#REF!</definedName>
    <definedName name="IQRIPOAF24" localSheetId="10" hidden="1">#REF!</definedName>
    <definedName name="IQRIPOAF24" localSheetId="11" hidden="1">#REF!</definedName>
    <definedName name="IQRIPOAF24" localSheetId="12" hidden="1">#REF!</definedName>
    <definedName name="IQRIPOAF24" localSheetId="18" hidden="1">#REF!</definedName>
    <definedName name="IQRIPOAF24" localSheetId="17" hidden="1">#REF!</definedName>
    <definedName name="IQRIPOAF24" localSheetId="19" hidden="1">#REF!</definedName>
    <definedName name="IQRIPOAF24" hidden="1">#REF!</definedName>
    <definedName name="IQRIPOAF25" localSheetId="3" hidden="1">[11]IPO!#REF!</definedName>
    <definedName name="IQRIPOAF25" localSheetId="5" hidden="1">[11]IPO!#REF!</definedName>
    <definedName name="IQRIPOAF25" localSheetId="25" hidden="1">[12]IPO!#REF!</definedName>
    <definedName name="IQRIPOAF25" localSheetId="20" hidden="1">[11]IPO!#REF!</definedName>
    <definedName name="IQRIPOAF25" localSheetId="7" hidden="1">[11]IPO!#REF!</definedName>
    <definedName name="IQRIPOAF25" localSheetId="8" hidden="1">[11]IPO!#REF!</definedName>
    <definedName name="IQRIPOAF25" localSheetId="9" hidden="1">[11]IPO!#REF!</definedName>
    <definedName name="IQRIPOAF25" localSheetId="10" hidden="1">[11]IPO!#REF!</definedName>
    <definedName name="IQRIPOAF25" localSheetId="11" hidden="1">[11]IPO!#REF!</definedName>
    <definedName name="IQRIPOAF25" localSheetId="12" hidden="1">[11]IPO!#REF!</definedName>
    <definedName name="IQRIPOAF25" localSheetId="18" hidden="1">[11]IPO!#REF!</definedName>
    <definedName name="IQRIPOAF25" localSheetId="17" hidden="1">[11]IPO!#REF!</definedName>
    <definedName name="IQRIPOAF25" localSheetId="19" hidden="1">[11]IPO!#REF!</definedName>
    <definedName name="IQRIPOAF25" hidden="1">[11]IPO!#REF!</definedName>
    <definedName name="IQRIPOAF26" localSheetId="3" hidden="1">#REF!</definedName>
    <definedName name="IQRIPOAF26" localSheetId="5" hidden="1">#REF!</definedName>
    <definedName name="IQRIPOAF26" localSheetId="25" hidden="1">#REF!</definedName>
    <definedName name="IQRIPOAF26" localSheetId="20" hidden="1">#REF!</definedName>
    <definedName name="IQRIPOAF26" localSheetId="7" hidden="1">#REF!</definedName>
    <definedName name="IQRIPOAF26" localSheetId="8" hidden="1">#REF!</definedName>
    <definedName name="IQRIPOAF26" localSheetId="9" hidden="1">#REF!</definedName>
    <definedName name="IQRIPOAF26" localSheetId="10" hidden="1">#REF!</definedName>
    <definedName name="IQRIPOAF26" localSheetId="11" hidden="1">#REF!</definedName>
    <definedName name="IQRIPOAF26" localSheetId="12" hidden="1">#REF!</definedName>
    <definedName name="IQRIPOAF26" localSheetId="18" hidden="1">#REF!</definedName>
    <definedName name="IQRIPOAF26" localSheetId="17" hidden="1">#REF!</definedName>
    <definedName name="IQRIPOAF26" localSheetId="19" hidden="1">#REF!</definedName>
    <definedName name="IQRIPOAF26" hidden="1">#REF!</definedName>
    <definedName name="IQRIPOAF27" localSheetId="3" hidden="1">#REF!</definedName>
    <definedName name="IQRIPOAF27" localSheetId="5" hidden="1">#REF!</definedName>
    <definedName name="IQRIPOAF27" localSheetId="25" hidden="1">#REF!</definedName>
    <definedName name="IQRIPOAF27" localSheetId="20" hidden="1">#REF!</definedName>
    <definedName name="IQRIPOAF27" localSheetId="7" hidden="1">#REF!</definedName>
    <definedName name="IQRIPOAF27" localSheetId="8" hidden="1">#REF!</definedName>
    <definedName name="IQRIPOAF27" localSheetId="9" hidden="1">#REF!</definedName>
    <definedName name="IQRIPOAF27" localSheetId="10" hidden="1">#REF!</definedName>
    <definedName name="IQRIPOAF27" localSheetId="11" hidden="1">#REF!</definedName>
    <definedName name="IQRIPOAF27" localSheetId="12" hidden="1">#REF!</definedName>
    <definedName name="IQRIPOAF27" localSheetId="18" hidden="1">#REF!</definedName>
    <definedName name="IQRIPOAF27" localSheetId="17" hidden="1">#REF!</definedName>
    <definedName name="IQRIPOAF27" localSheetId="19" hidden="1">#REF!</definedName>
    <definedName name="IQRIPOAF27" hidden="1">#REF!</definedName>
    <definedName name="IQRIPOAF28" localSheetId="3" hidden="1">#REF!</definedName>
    <definedName name="IQRIPOAF28" localSheetId="5" hidden="1">#REF!</definedName>
    <definedName name="IQRIPOAF28" localSheetId="25" hidden="1">#REF!</definedName>
    <definedName name="IQRIPOAF28" localSheetId="20" hidden="1">#REF!</definedName>
    <definedName name="IQRIPOAF28" localSheetId="7" hidden="1">#REF!</definedName>
    <definedName name="IQRIPOAF28" localSheetId="8" hidden="1">#REF!</definedName>
    <definedName name="IQRIPOAF28" localSheetId="9" hidden="1">#REF!</definedName>
    <definedName name="IQRIPOAF28" localSheetId="10" hidden="1">#REF!</definedName>
    <definedName name="IQRIPOAF28" localSheetId="11" hidden="1">#REF!</definedName>
    <definedName name="IQRIPOAF28" localSheetId="12" hidden="1">#REF!</definedName>
    <definedName name="IQRIPOAF28" localSheetId="18" hidden="1">#REF!</definedName>
    <definedName name="IQRIPOAF28" localSheetId="17" hidden="1">#REF!</definedName>
    <definedName name="IQRIPOAF28" localSheetId="19" hidden="1">#REF!</definedName>
    <definedName name="IQRIPOAF28" hidden="1">#REF!</definedName>
    <definedName name="IQRIPOAF29" localSheetId="3" hidden="1">[11]IPO!#REF!</definedName>
    <definedName name="IQRIPOAF29" localSheetId="5" hidden="1">[11]IPO!#REF!</definedName>
    <definedName name="IQRIPOAF29" localSheetId="25" hidden="1">[12]IPO!#REF!</definedName>
    <definedName name="IQRIPOAF29" localSheetId="20" hidden="1">[11]IPO!#REF!</definedName>
    <definedName name="IQRIPOAF29" localSheetId="7" hidden="1">[11]IPO!#REF!</definedName>
    <definedName name="IQRIPOAF29" localSheetId="8" hidden="1">[11]IPO!#REF!</definedName>
    <definedName name="IQRIPOAF29" localSheetId="9" hidden="1">[11]IPO!#REF!</definedName>
    <definedName name="IQRIPOAF29" localSheetId="10" hidden="1">[11]IPO!#REF!</definedName>
    <definedName name="IQRIPOAF29" localSheetId="11" hidden="1">[11]IPO!#REF!</definedName>
    <definedName name="IQRIPOAF29" localSheetId="12" hidden="1">[11]IPO!#REF!</definedName>
    <definedName name="IQRIPOAF29" localSheetId="18" hidden="1">[11]IPO!#REF!</definedName>
    <definedName name="IQRIPOAF29" localSheetId="17" hidden="1">[11]IPO!#REF!</definedName>
    <definedName name="IQRIPOAF29" localSheetId="19" hidden="1">[11]IPO!#REF!</definedName>
    <definedName name="IQRIPOAF29" hidden="1">[11]IPO!#REF!</definedName>
    <definedName name="IQRK9" hidden="1">"$K$10:$K$1268"</definedName>
    <definedName name="IQRT22" hidden="1">"$T$23:$T$32"</definedName>
    <definedName name="IQRU14" hidden="1">"$U$15:$U$266"</definedName>
    <definedName name="IsColHidden" hidden="1">FALSE</definedName>
    <definedName name="IsLTMColHidden" hidden="1">FALSE</definedName>
    <definedName name="kin" localSheetId="5" hidden="1">#REF!</definedName>
    <definedName name="kin" localSheetId="25" hidden="1">#REF!</definedName>
    <definedName name="kin" localSheetId="20" hidden="1">#REF!</definedName>
    <definedName name="kin" localSheetId="8" hidden="1">#REF!</definedName>
    <definedName name="kin" localSheetId="11" hidden="1">#REF!</definedName>
    <definedName name="kin" localSheetId="18" hidden="1">#REF!</definedName>
    <definedName name="kin" localSheetId="17" hidden="1">#REF!</definedName>
    <definedName name="kin" localSheetId="19" hidden="1">#REF!</definedName>
    <definedName name="kin" hidden="1">#REF!</definedName>
    <definedName name="Knowcraft">'[13]List Data'!$D$5:$D$14</definedName>
    <definedName name="Ledger_Code" hidden="1">" "</definedName>
    <definedName name="Ledger_Selection" hidden="1">" "</definedName>
    <definedName name="limcount" hidden="1">2</definedName>
    <definedName name="lin" localSheetId="5" hidden="1">#REF!</definedName>
    <definedName name="lin" localSheetId="25" hidden="1">#REF!</definedName>
    <definedName name="lin" localSheetId="20" hidden="1">#REF!</definedName>
    <definedName name="lin" localSheetId="8" hidden="1">#REF!</definedName>
    <definedName name="lin" localSheetId="11" hidden="1">#REF!</definedName>
    <definedName name="lin" localSheetId="18" hidden="1">#REF!</definedName>
    <definedName name="lin" localSheetId="17" hidden="1">#REF!</definedName>
    <definedName name="lin" localSheetId="19" hidden="1">#REF!</definedName>
    <definedName name="lin" hidden="1">#REF!</definedName>
    <definedName name="ListOffset" hidden="1">1</definedName>
    <definedName name="MCareSeq" localSheetId="24">[5]A1!$P$10</definedName>
    <definedName name="MCareSeq">[4]A1_Assumptions!$P$10</definedName>
    <definedName name="medmult" localSheetId="5" hidden="1">#REF!</definedName>
    <definedName name="medmult" localSheetId="25" hidden="1">#REF!</definedName>
    <definedName name="medmult" localSheetId="20" hidden="1">#REF!</definedName>
    <definedName name="medmult" localSheetId="8" hidden="1">#REF!</definedName>
    <definedName name="medmult" localSheetId="11" hidden="1">#REF!</definedName>
    <definedName name="medmult" localSheetId="18" hidden="1">#REF!</definedName>
    <definedName name="medmult" localSheetId="17" hidden="1">#REF!</definedName>
    <definedName name="medmult" localSheetId="19" hidden="1">#REF!</definedName>
    <definedName name="medmult" hidden="1">#REF!</definedName>
    <definedName name="Month_ID" hidden="1">" "</definedName>
    <definedName name="Niche_Industry_1">'[13]List Data'!$J$5:$J$30</definedName>
    <definedName name="Niche_Industry_2">'[13]List Data'!$K$5:$K$30</definedName>
    <definedName name="NonAcute" localSheetId="24">[5]A1!$AK$9</definedName>
    <definedName name="NonAcute">[4]A1_Assumptions!$AK$9</definedName>
    <definedName name="o" localSheetId="3" hidden="1">{#N/A,#N/A,FALSE,"New Depr Sch-150% DB";#N/A,#N/A,FALSE,"Cash Flows RLP";#N/A,#N/A,FALSE,"IRR";#N/A,#N/A,FALSE,"Proforma IS";#N/A,#N/A,FALSE,"Assumptions"}</definedName>
    <definedName name="o" localSheetId="25" hidden="1">{#N/A,#N/A,FALSE,"New Depr Sch-150% DB";#N/A,#N/A,FALSE,"Cash Flows RLP";#N/A,#N/A,FALSE,"IRR";#N/A,#N/A,FALSE,"Proforma IS";#N/A,#N/A,FALSE,"Assumptions"}</definedName>
    <definedName name="o" localSheetId="8" hidden="1">{#N/A,#N/A,FALSE,"New Depr Sch-150% DB";#N/A,#N/A,FALSE,"Cash Flows RLP";#N/A,#N/A,FALSE,"IRR";#N/A,#N/A,FALSE,"Proforma IS";#N/A,#N/A,FALSE,"Assumptions"}</definedName>
    <definedName name="o" localSheetId="9" hidden="1">{#N/A,#N/A,FALSE,"New Depr Sch-150% DB";#N/A,#N/A,FALSE,"Cash Flows RLP";#N/A,#N/A,FALSE,"IRR";#N/A,#N/A,FALSE,"Proforma IS";#N/A,#N/A,FALSE,"Assumptions"}</definedName>
    <definedName name="o" localSheetId="11" hidden="1">{#N/A,#N/A,FALSE,"New Depr Sch-150% DB";#N/A,#N/A,FALSE,"Cash Flows RLP";#N/A,#N/A,FALSE,"IRR";#N/A,#N/A,FALSE,"Proforma IS";#N/A,#N/A,FALSE,"Assumptions"}</definedName>
    <definedName name="o" localSheetId="12" hidden="1">{#N/A,#N/A,FALSE,"New Depr Sch-150% DB";#N/A,#N/A,FALSE,"Cash Flows RLP";#N/A,#N/A,FALSE,"IRR";#N/A,#N/A,FALSE,"Proforma IS";#N/A,#N/A,FALSE,"Assumptions"}</definedName>
    <definedName name="o" localSheetId="19" hidden="1">{#N/A,#N/A,FALSE,"New Depr Sch-150% DB";#N/A,#N/A,FALSE,"Cash Flows RLP";#N/A,#N/A,FALSE,"IRR";#N/A,#N/A,FALSE,"Proforma IS";#N/A,#N/A,FALSE,"Assumptions"}</definedName>
    <definedName name="o" hidden="1">{#N/A,#N/A,FALSE,"New Depr Sch-150% DB";#N/A,#N/A,FALSE,"Cash Flows RLP";#N/A,#N/A,FALSE,"IRR";#N/A,#N/A,FALSE,"Proforma IS";#N/A,#N/A,FALSE,"Assumptions"}</definedName>
    <definedName name="Ownership" localSheetId="3" hidden="1">OFFSET([9]!Data.Top.Left,1,0)</definedName>
    <definedName name="Ownership" localSheetId="5" hidden="1">OFFSET([9]!Data.Top.Left,1,0)</definedName>
    <definedName name="Ownership" localSheetId="25" hidden="1">OFFSET([10]!Data.Top.Left,1,0)</definedName>
    <definedName name="Ownership" localSheetId="20" hidden="1">OFFSET([9]!Data.Top.Left,1,0)</definedName>
    <definedName name="Ownership" localSheetId="7" hidden="1">OFFSET([9]!Data.Top.Left,1,0)</definedName>
    <definedName name="Ownership" localSheetId="8" hidden="1">OFFSET([10]!Data.Top.Left,1,0)</definedName>
    <definedName name="Ownership" localSheetId="9" hidden="1">OFFSET([0]!Data.Top.Left,1,0)</definedName>
    <definedName name="Ownership" localSheetId="10" hidden="1">OFFSET([9]!Data.Top.Left,1,0)</definedName>
    <definedName name="Ownership" localSheetId="11" hidden="1">OFFSET([10]!Data.Top.Left,1,0)</definedName>
    <definedName name="Ownership" localSheetId="12" hidden="1">OFFSET([9]!Data.Top.Left,1,0)</definedName>
    <definedName name="Ownership" localSheetId="18" hidden="1">OFFSET([9]!Data.Top.Left,1,0)</definedName>
    <definedName name="Ownership" localSheetId="17" hidden="1">OFFSET([9]!Data.Top.Left,1,0)</definedName>
    <definedName name="Ownership" localSheetId="19" hidden="1">OFFSET([9]!Data.Top.Left,1,0)</definedName>
    <definedName name="Ownership" hidden="1">OFFSET([9]!Data.Top.Left,1,0)</definedName>
    <definedName name="Partnering" localSheetId="24">[5]A1!$Q$2</definedName>
    <definedName name="Partnering">[4]A1_Assumptions!$Q$2</definedName>
    <definedName name="Primary_Industry">'[13]List Data'!$I$5:$I$14</definedName>
    <definedName name="_xlnm.Print_Area" localSheetId="3">'A1'!$A$1:$M$55</definedName>
    <definedName name="_xlnm.Print_Area" localSheetId="15">'Beta Calc'!$A$1:$S$40</definedName>
    <definedName name="_xlnm.Print_Area" localSheetId="4">'C1'!$A$1:$T$50</definedName>
    <definedName name="_xlnm.Print_Area" localSheetId="5">'C2'!$A$1:$N$38</definedName>
    <definedName name="_xlnm.Print_Area" localSheetId="26">'C2notUsed'!$A$1:$L$26</definedName>
    <definedName name="_xlnm.Print_Area" localSheetId="6">'C3'!$A$1:$U$65</definedName>
    <definedName name="_xlnm.Print_Area" localSheetId="25">'D1'!$A$1:$J$44</definedName>
    <definedName name="_xlnm.Print_Area" localSheetId="7">'E1'!$A$1:$AT$31</definedName>
    <definedName name="_xlnm.Print_Area" localSheetId="8">'E2'!$A$1:$N$33</definedName>
    <definedName name="_xlnm.Print_Area" localSheetId="9">'E3'!$A$1:$I$13</definedName>
    <definedName name="_xlnm.Print_Area" localSheetId="10">'F1'!$A$1:$N$32</definedName>
    <definedName name="_xlnm.Print_Area" localSheetId="11">'F2'!$A$1:$L$32</definedName>
    <definedName name="_xlnm.Print_Area" localSheetId="12">'F3'!$A$1:$J$24</definedName>
    <definedName name="_xlnm.Print_Area" localSheetId="1">Outline!$A$1:$K$31</definedName>
    <definedName name="_xlnm.Print_Area" localSheetId="0">Title!$A$1:$G$23</definedName>
    <definedName name="_xlnm.Print_Area" localSheetId="18">'Trends for Comparables_Forecast'!$A$1:$BN$32</definedName>
    <definedName name="_xlnm.Print_Area" localSheetId="17">'Trends for Comparables_Historic'!$A$1:$BS$32</definedName>
    <definedName name="_xlnm.Print_Area" localSheetId="19">'Trends for M&amp;A Targets'!$A$1:$M$32</definedName>
    <definedName name="_xlnm.Print_Area" localSheetId="16">WACC!$A$1:$P$80</definedName>
    <definedName name="_xlnm.Print_Area" localSheetId="14">'WACC CAPM'!$A$1:$K$42</definedName>
    <definedName name="Print_Area_Reset" localSheetId="3">OFFSET(Full_Print,0,0,'A1'!Last_Row)</definedName>
    <definedName name="Print_Area_Reset" localSheetId="5">OFFSET(Full_Print,0,0,'C2'!Last_Row)</definedName>
    <definedName name="Print_Area_Reset" localSheetId="25">OFFSET(Full_Print,0,0,'D1'!Last_Row)</definedName>
    <definedName name="Print_Area_Reset" localSheetId="20">OFFSET(Full_Print,0,0,Last_Row)</definedName>
    <definedName name="Print_Area_Reset" localSheetId="7">OFFSET(Full_Print,0,0,'E1'!Last_Row)</definedName>
    <definedName name="Print_Area_Reset" localSheetId="8">OFFSET(Full_Print,0,0,'E2'!Last_Row)</definedName>
    <definedName name="Print_Area_Reset" localSheetId="9">OFFSET(Full_Print,0,0,'E3'!Last_Row)</definedName>
    <definedName name="Print_Area_Reset" localSheetId="10">OFFSET(Full_Print,0,0,'F1'!Last_Row)</definedName>
    <definedName name="Print_Area_Reset" localSheetId="11">OFFSET(Full_Print,0,0,'F2'!Last_Row)</definedName>
    <definedName name="Print_Area_Reset" localSheetId="12">OFFSET(Full_Print,0,0,'F3'!Last_Row)</definedName>
    <definedName name="Print_Area_Reset" localSheetId="18">OFFSET(Full_Print,0,0,'Trends for Comparables_Forecast'!Last_Row)</definedName>
    <definedName name="Print_Area_Reset" localSheetId="17">OFFSET(Full_Print,0,0,'Trends for Comparables_Historic'!Last_Row)</definedName>
    <definedName name="Print_Area_Reset" localSheetId="19">OFFSET(Full_Print,0,0,'Trends for M&amp;A Targets'!Last_Row)</definedName>
    <definedName name="Print_Area_Reset">OFFSET(Full_Print,0,0,Last_Row)</definedName>
    <definedName name="_xlnm.Print_Titles" localSheetId="22">'2019 FY Budget'!$K:$M,'2019 FY Budget'!$35:$46</definedName>
    <definedName name="_xlnm.Print_Titles" localSheetId="15">'Beta Calc'!$B:$C</definedName>
    <definedName name="_xlnm.Print_Titles" localSheetId="4">'C1'!$A:$F</definedName>
    <definedName name="_xlnm.Print_Titles" localSheetId="6">'C3'!$A:$B,'C3'!$1:$9</definedName>
    <definedName name="_xlnm.Print_Titles" localSheetId="25">'D1'!$A:$B,'D1'!$1:$5</definedName>
    <definedName name="_xlnm.Print_Titles" localSheetId="7">'E1'!$A:$I</definedName>
    <definedName name="_xlnm.Print_Titles" localSheetId="8">'E2'!$A:$B,'E2'!$1:$6</definedName>
    <definedName name="_xlnm.Print_Titles" localSheetId="9">'E3'!$A:$C,'E3'!$1:$7</definedName>
    <definedName name="_xlnm.Print_Titles" localSheetId="10">'F1'!$A:$F,'F1'!$1:$8</definedName>
    <definedName name="_xlnm.Print_Titles" localSheetId="11">'F2'!$A:$B,'F2'!$1:$5</definedName>
    <definedName name="_xlnm.Print_Titles" localSheetId="12">'F3'!$A:$D,'F3'!$1:$7</definedName>
    <definedName name="_xlnm.Print_Titles" localSheetId="21">'Historical Actuals'!$K:$S,'Historical Actuals'!$36:$46</definedName>
    <definedName name="_xlnm.Print_Titles" localSheetId="1">Outline!$1:$6</definedName>
    <definedName name="_xlnm.Print_Titles" localSheetId="18">'Trends for Comparables_Forecast'!$A:$B,'Trends for Comparables_Forecast'!$1:$9</definedName>
    <definedName name="_xlnm.Print_Titles" localSheetId="17">'Trends for Comparables_Historic'!$A:$B,'Trends for Comparables_Historic'!$1:$9</definedName>
    <definedName name="_xlnm.Print_Titles" localSheetId="19">'Trends for M&amp;A Targets'!$A:$B,'Trends for M&amp;A Targets'!$1:$9</definedName>
    <definedName name="_xlnm.Print_Titles" localSheetId="23">'YTD 2018 Budget'!$K:$M,'YTD 2018 Budget'!$35:$46</definedName>
    <definedName name="regmult" localSheetId="5" hidden="1">#REF!</definedName>
    <definedName name="regmult" localSheetId="25" hidden="1">#REF!</definedName>
    <definedName name="regmult" localSheetId="20" hidden="1">#REF!</definedName>
    <definedName name="regmult" localSheetId="8" hidden="1">#REF!</definedName>
    <definedName name="regmult" localSheetId="11" hidden="1">#REF!</definedName>
    <definedName name="regmult" localSheetId="18" hidden="1">#REF!</definedName>
    <definedName name="regmult" localSheetId="17" hidden="1">#REF!</definedName>
    <definedName name="regmult" localSheetId="19" hidden="1">#REF!</definedName>
    <definedName name="regmult" hidden="1">#REF!</definedName>
    <definedName name="Report_Divisor" hidden="1">1000</definedName>
    <definedName name="Report_Divisor_000" hidden="1">1000000</definedName>
    <definedName name="Report_ID" hidden="1">"AL"</definedName>
    <definedName name="ReportMode" localSheetId="24">[5]MainOutline!$H$2</definedName>
    <definedName name="ReportMode">[4]MainOutline!$H$2</definedName>
    <definedName name="SAPBEXrevision" hidden="1">1</definedName>
    <definedName name="SAPBEXsysID" localSheetId="3" hidden="1">"PBL"</definedName>
    <definedName name="SAPBEXsysID" localSheetId="9" hidden="1">"PBL"</definedName>
    <definedName name="SAPBEXsysID" localSheetId="12" hidden="1">"PBL"</definedName>
    <definedName name="SAPBEXsysID" hidden="1">"WBP"</definedName>
    <definedName name="SAPBEXwbID" localSheetId="3" hidden="1">"3JWXP1JGVR0V27DB0INATEIH7"</definedName>
    <definedName name="SAPBEXwbID" localSheetId="9" hidden="1">"3JWXP1JGVR0V27DB0INATEIH7"</definedName>
    <definedName name="SAPBEXwbID" localSheetId="12" hidden="1">"3JWXP1JGVR0V27DB0INATEIH7"</definedName>
    <definedName name="SAPBEXwbID" hidden="1">"46FXCF2VEJGXTVSCM8SQ5T6I0"</definedName>
    <definedName name="SAPFuncF4Help" localSheetId="3" hidden="1">Main.SAPF4Help()</definedName>
    <definedName name="SAPFuncF4Help" localSheetId="5" hidden="1">Main.SAPF4Help()</definedName>
    <definedName name="SAPFuncF4Help" localSheetId="25" hidden="1">Main.SAPF4Help()</definedName>
    <definedName name="SAPFuncF4Help" localSheetId="20" hidden="1">Main.SAPF4Help()</definedName>
    <definedName name="SAPFuncF4Help" localSheetId="7" hidden="1">Main.SAPF4Help()</definedName>
    <definedName name="SAPFuncF4Help" localSheetId="8" hidden="1">Main.SAPF4Help()</definedName>
    <definedName name="SAPFuncF4Help" localSheetId="9" hidden="1">Main.SAPF4Help()</definedName>
    <definedName name="SAPFuncF4Help" localSheetId="10" hidden="1">Main.SAPF4Help()</definedName>
    <definedName name="SAPFuncF4Help" localSheetId="11" hidden="1">Main.SAPF4Help()</definedName>
    <definedName name="SAPFuncF4Help" localSheetId="12" hidden="1">Main.SAPF4Help()</definedName>
    <definedName name="SAPFuncF4Help" localSheetId="18" hidden="1">Main.SAPF4Help()</definedName>
    <definedName name="SAPFuncF4Help" localSheetId="17" hidden="1">Main.SAPF4Help()</definedName>
    <definedName name="SAPFuncF4Help" localSheetId="19" hidden="1">Main.SAPF4Help()</definedName>
    <definedName name="SAPFuncF4Help" hidden="1">Main.SAPF4Help()</definedName>
    <definedName name="sdf" localSheetId="25" hidden="1">{#N/A,"A",FALSE,"DCF"}</definedName>
    <definedName name="sdf" localSheetId="8" hidden="1">{#N/A,"A",FALSE,"DCF"}</definedName>
    <definedName name="sdf" localSheetId="11" hidden="1">{#N/A,"A",FALSE,"DCF"}</definedName>
    <definedName name="sdf" localSheetId="19" hidden="1">{#N/A,"A",FALSE,"DCF"}</definedName>
    <definedName name="sdf" hidden="1">{#N/A,"A",FALSE,"DCF"}</definedName>
    <definedName name="sencount" hidden="1">2</definedName>
    <definedName name="Sheeet1" localSheetId="25" hidden="1">{#N/A,#N/A,FALSE,"Summary";#N/A,#N/A,FALSE,"Proforma";#N/A,#N/A,FALSE,"Tx"}</definedName>
    <definedName name="Sheeet1" localSheetId="8" hidden="1">{#N/A,#N/A,FALSE,"Summary";#N/A,#N/A,FALSE,"Proforma";#N/A,#N/A,FALSE,"Tx"}</definedName>
    <definedName name="Sheeet1" localSheetId="11" hidden="1">{#N/A,#N/A,FALSE,"Summary";#N/A,#N/A,FALSE,"Proforma";#N/A,#N/A,FALSE,"Tx"}</definedName>
    <definedName name="Sheeet1" localSheetId="19" hidden="1">{#N/A,#N/A,FALSE,"Summary";#N/A,#N/A,FALSE,"Proforma";#N/A,#N/A,FALSE,"Tx"}</definedName>
    <definedName name="Sheeet1" hidden="1">{#N/A,#N/A,FALSE,"Summary";#N/A,#N/A,FALSE,"Proforma";#N/A,#N/A,FALSE,"Tx"}</definedName>
    <definedName name="sheet" localSheetId="25" hidden="1">{#N/A,#N/A,FALSE,"Summary";#N/A,#N/A,FALSE,"Proforma";#N/A,#N/A,FALSE,"Tx"}</definedName>
    <definedName name="sheet" localSheetId="8" hidden="1">{#N/A,#N/A,FALSE,"Summary";#N/A,#N/A,FALSE,"Proforma";#N/A,#N/A,FALSE,"Tx"}</definedName>
    <definedName name="sheet" localSheetId="11" hidden="1">{#N/A,#N/A,FALSE,"Summary";#N/A,#N/A,FALSE,"Proforma";#N/A,#N/A,FALSE,"Tx"}</definedName>
    <definedName name="sheet" localSheetId="19" hidden="1">{#N/A,#N/A,FALSE,"Summary";#N/A,#N/A,FALSE,"Proforma";#N/A,#N/A,FALSE,"Tx"}</definedName>
    <definedName name="sheet" hidden="1">{#N/A,#N/A,FALSE,"Summary";#N/A,#N/A,FALSE,"Proforma";#N/A,#N/A,FALSE,"Tx"}</definedName>
    <definedName name="sheet1" localSheetId="25" hidden="1">{#N/A,#N/A,FALSE,"Summary";#N/A,#N/A,FALSE,"Proforma";#N/A,#N/A,FALSE,"Tx"}</definedName>
    <definedName name="sheet1" localSheetId="8" hidden="1">{#N/A,#N/A,FALSE,"Summary";#N/A,#N/A,FALSE,"Proforma";#N/A,#N/A,FALSE,"Tx"}</definedName>
    <definedName name="sheet1" localSheetId="11" hidden="1">{#N/A,#N/A,FALSE,"Summary";#N/A,#N/A,FALSE,"Proforma";#N/A,#N/A,FALSE,"Tx"}</definedName>
    <definedName name="sheet1" localSheetId="19" hidden="1">{#N/A,#N/A,FALSE,"Summary";#N/A,#N/A,FALSE,"Proforma";#N/A,#N/A,FALSE,"Tx"}</definedName>
    <definedName name="sheet1" hidden="1">{#N/A,#N/A,FALSE,"Summary";#N/A,#N/A,FALSE,"Proforma";#N/A,#N/A,FALSE,"Tx"}</definedName>
    <definedName name="solver_lin" hidden="1">0</definedName>
    <definedName name="solver_num" hidden="1">0</definedName>
    <definedName name="solver_typ" hidden="1">3</definedName>
    <definedName name="solver_val" hidden="1">0</definedName>
    <definedName name="t" localSheetId="25" hidden="1">{"bs",#N/A,FALSE,"SCF"}</definedName>
    <definedName name="t" localSheetId="8" hidden="1">{"bs",#N/A,FALSE,"SCF"}</definedName>
    <definedName name="t" localSheetId="11" hidden="1">{"bs",#N/A,FALSE,"SCF"}</definedName>
    <definedName name="t" localSheetId="19" hidden="1">{"bs",#N/A,FALSE,"SCF"}</definedName>
    <definedName name="t" hidden="1">{"bs",#N/A,FALSE,"SCF"}</definedName>
    <definedName name="TM1Live" localSheetId="24">[5]A1!$Q$3</definedName>
    <definedName name="TM1Live">[14]A1!$Q$3</definedName>
    <definedName name="TM1REBUILDOPTION">0</definedName>
    <definedName name="Toggle_DB_Location" hidden="1">2</definedName>
    <definedName name="Toggle_Freeze_View" hidden="1">0</definedName>
    <definedName name="totcap" localSheetId="5" hidden="1">#REF!,#REF!,#REF!,#REF!</definedName>
    <definedName name="totcap" localSheetId="25" hidden="1">#REF!,#REF!,#REF!,#REF!</definedName>
    <definedName name="totcap" localSheetId="20" hidden="1">#REF!,#REF!,#REF!,#REF!</definedName>
    <definedName name="totcap" localSheetId="8" hidden="1">#REF!,#REF!,#REF!,#REF!</definedName>
    <definedName name="totcap" localSheetId="11" hidden="1">#REF!,#REF!,#REF!,#REF!</definedName>
    <definedName name="totcap" localSheetId="18" hidden="1">#REF!,#REF!,#REF!,#REF!</definedName>
    <definedName name="totcap" localSheetId="17" hidden="1">#REF!,#REF!,#REF!,#REF!</definedName>
    <definedName name="totcap" localSheetId="19" hidden="1">#REF!,#REF!,#REF!,#REF!</definedName>
    <definedName name="totcap" hidden="1">#REF!,#REF!,#REF!,#REF!</definedName>
    <definedName name="US_Analyst">'[13]List Data'!$C$5:$C$14</definedName>
    <definedName name="Valuation_Lead">'[13]List Data'!$B$5:$B$14</definedName>
    <definedName name="Version_Nbr" hidden="1">1</definedName>
    <definedName name="wrn.balance._.sheet." localSheetId="25" hidden="1">{"bs",#N/A,FALSE,"SCF"}</definedName>
    <definedName name="wrn.balance._.sheet." localSheetId="8" hidden="1">{"bs",#N/A,FALSE,"SCF"}</definedName>
    <definedName name="wrn.balance._.sheet." localSheetId="11" hidden="1">{"bs",#N/A,FALSE,"SCF"}</definedName>
    <definedName name="wrn.balance._.sheet." localSheetId="19" hidden="1">{"bs",#N/A,FALSE,"SCF"}</definedName>
    <definedName name="wrn.balance._.sheet." hidden="1">{"bs",#N/A,FALSE,"SCF"}</definedName>
    <definedName name="wrn.Basic._.Report." localSheetId="3" hidden="1">{#N/A,#N/A,FALSE,"New Depr Sch-150% DB";#N/A,#N/A,FALSE,"Cash Flows RLP";#N/A,#N/A,FALSE,"IRR";#N/A,#N/A,FALSE,"Proforma IS";#N/A,#N/A,FALSE,"Assumptions"}</definedName>
    <definedName name="wrn.Basic._.Report." localSheetId="25" hidden="1">{#N/A,#N/A,FALSE,"New Depr Sch-150% DB";#N/A,#N/A,FALSE,"Cash Flows RLP";#N/A,#N/A,FALSE,"IRR";#N/A,#N/A,FALSE,"Proforma IS";#N/A,#N/A,FALSE,"Assumptions"}</definedName>
    <definedName name="wrn.Basic._.Report." localSheetId="8" hidden="1">{#N/A,#N/A,FALSE,"New Depr Sch-150% DB";#N/A,#N/A,FALSE,"Cash Flows RLP";#N/A,#N/A,FALSE,"IRR";#N/A,#N/A,FALSE,"Proforma IS";#N/A,#N/A,FALSE,"Assumptions"}</definedName>
    <definedName name="wrn.Basic._.Report." localSheetId="9" hidden="1">{#N/A,#N/A,FALSE,"New Depr Sch-150% DB";#N/A,#N/A,FALSE,"Cash Flows RLP";#N/A,#N/A,FALSE,"IRR";#N/A,#N/A,FALSE,"Proforma IS";#N/A,#N/A,FALSE,"Assumptions"}</definedName>
    <definedName name="wrn.Basic._.Report." localSheetId="11" hidden="1">{#N/A,#N/A,FALSE,"New Depr Sch-150% DB";#N/A,#N/A,FALSE,"Cash Flows RLP";#N/A,#N/A,FALSE,"IRR";#N/A,#N/A,FALSE,"Proforma IS";#N/A,#N/A,FALSE,"Assumptions"}</definedName>
    <definedName name="wrn.Basic._.Report." localSheetId="12" hidden="1">{#N/A,#N/A,FALSE,"New Depr Sch-150% DB";#N/A,#N/A,FALSE,"Cash Flows RLP";#N/A,#N/A,FALSE,"IRR";#N/A,#N/A,FALSE,"Proforma IS";#N/A,#N/A,FALSE,"Assumptions"}</definedName>
    <definedName name="wrn.Basic._.Report." localSheetId="19"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25"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8"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9"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9"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plete._.Report." localSheetId="3" hidden="1">{#N/A,#N/A,FALSE,"Assumptions";#N/A,#N/A,FALSE,"Proforma IS";#N/A,#N/A,FALSE,"Cash Flows RLP";#N/A,#N/A,FALSE,"IRR";#N/A,#N/A,FALSE,"New Depr Sch-150% DB";#N/A,#N/A,FALSE,"Comments"}</definedName>
    <definedName name="wrn.Complete._.Report." localSheetId="25" hidden="1">{#N/A,#N/A,FALSE,"Assumptions";#N/A,#N/A,FALSE,"Proforma IS";#N/A,#N/A,FALSE,"Cash Flows RLP";#N/A,#N/A,FALSE,"IRR";#N/A,#N/A,FALSE,"New Depr Sch-150% DB";#N/A,#N/A,FALSE,"Comments"}</definedName>
    <definedName name="wrn.Complete._.Report." localSheetId="8" hidden="1">{#N/A,#N/A,FALSE,"Assumptions";#N/A,#N/A,FALSE,"Proforma IS";#N/A,#N/A,FALSE,"Cash Flows RLP";#N/A,#N/A,FALSE,"IRR";#N/A,#N/A,FALSE,"New Depr Sch-150% DB";#N/A,#N/A,FALSE,"Comments"}</definedName>
    <definedName name="wrn.Complete._.Report." localSheetId="9" hidden="1">{#N/A,#N/A,FALSE,"Assumptions";#N/A,#N/A,FALSE,"Proforma IS";#N/A,#N/A,FALSE,"Cash Flows RLP";#N/A,#N/A,FALSE,"IRR";#N/A,#N/A,FALSE,"New Depr Sch-150% DB";#N/A,#N/A,FALSE,"Comments"}</definedName>
    <definedName name="wrn.Complete._.Report." localSheetId="11" hidden="1">{#N/A,#N/A,FALSE,"Assumptions";#N/A,#N/A,FALSE,"Proforma IS";#N/A,#N/A,FALSE,"Cash Flows RLP";#N/A,#N/A,FALSE,"IRR";#N/A,#N/A,FALSE,"New Depr Sch-150% DB";#N/A,#N/A,FALSE,"Comments"}</definedName>
    <definedName name="wrn.Complete._.Report." localSheetId="12" hidden="1">{#N/A,#N/A,FALSE,"Assumptions";#N/A,#N/A,FALSE,"Proforma IS";#N/A,#N/A,FALSE,"Cash Flows RLP";#N/A,#N/A,FALSE,"IRR";#N/A,#N/A,FALSE,"New Depr Sch-150% DB";#N/A,#N/A,FALSE,"Comments"}</definedName>
    <definedName name="wrn.Complete._.Report." localSheetId="19" hidden="1">{#N/A,#N/A,FALSE,"Assumptions";#N/A,#N/A,FALSE,"Proforma IS";#N/A,#N/A,FALSE,"Cash Flows RLP";#N/A,#N/A,FALSE,"IRR";#N/A,#N/A,FALSE,"New Depr Sch-150% DB";#N/A,#N/A,FALSE,"Comments"}</definedName>
    <definedName name="wrn.Complete._.Report." hidden="1">{#N/A,#N/A,FALSE,"Assumptions";#N/A,#N/A,FALSE,"Proforma IS";#N/A,#N/A,FALSE,"Cash Flows RLP";#N/A,#N/A,FALSE,"IRR";#N/A,#N/A,FALSE,"New Depr Sch-150% DB";#N/A,#N/A,FALSE,"Comments"}</definedName>
    <definedName name="wrn.dcf." localSheetId="25" hidden="1">{#N/A,"A",FALSE,"DCF"}</definedName>
    <definedName name="wrn.dcf." localSheetId="8" hidden="1">{#N/A,"A",FALSE,"DCF"}</definedName>
    <definedName name="wrn.dcf." localSheetId="11" hidden="1">{#N/A,"A",FALSE,"DCF"}</definedName>
    <definedName name="wrn.dcf." localSheetId="19" hidden="1">{#N/A,"A",FALSE,"DCF"}</definedName>
    <definedName name="wrn.dcf." hidden="1">{#N/A,"A",FALSE,"DCF"}</definedName>
    <definedName name="wrn.exhibits." localSheetId="25" hidden="1">{#N/A,#N/A,FALSE,"IS";#N/A,#N/A,FALSE,"BS";#N/A,#N/A,FALSE,"RMA";#N/A,#N/A,FALSE,"INCOME";#N/A,#N/A,FALSE,"DCF";#N/A,#N/A,FALSE,"MARKET"}</definedName>
    <definedName name="wrn.exhibits." localSheetId="8" hidden="1">{#N/A,#N/A,FALSE,"IS";#N/A,#N/A,FALSE,"BS";#N/A,#N/A,FALSE,"RMA";#N/A,#N/A,FALSE,"INCOME";#N/A,#N/A,FALSE,"DCF";#N/A,#N/A,FALSE,"MARKET"}</definedName>
    <definedName name="wrn.exhibits." localSheetId="11" hidden="1">{#N/A,#N/A,FALSE,"IS";#N/A,#N/A,FALSE,"BS";#N/A,#N/A,FALSE,"RMA";#N/A,#N/A,FALSE,"INCOME";#N/A,#N/A,FALSE,"DCF";#N/A,#N/A,FALSE,"MARKET"}</definedName>
    <definedName name="wrn.exhibits." localSheetId="19" hidden="1">{#N/A,#N/A,FALSE,"IS";#N/A,#N/A,FALSE,"BS";#N/A,#N/A,FALSE,"RMA";#N/A,#N/A,FALSE,"INCOME";#N/A,#N/A,FALSE,"DCF";#N/A,#N/A,FALSE,"MARKET"}</definedName>
    <definedName name="wrn.exhibits." hidden="1">{#N/A,#N/A,FALSE,"IS";#N/A,#N/A,FALSE,"BS";#N/A,#N/A,FALSE,"RMA";#N/A,#N/A,FALSE,"INCOME";#N/A,#N/A,FALSE,"DCF";#N/A,#N/A,FALSE,"MARKET"}</definedName>
    <definedName name="wrn.File." localSheetId="25"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localSheetId="8"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localSheetId="11"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localSheetId="19"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25"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8"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9"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9"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ULL_ACQ." localSheetId="25" hidden="1">{#N/A,#N/A,FALSE,"Summary";#N/A,#N/A,FALSE,"Proforma";#N/A,#N/A,FALSE,"Tx"}</definedName>
    <definedName name="wrn.FULL_ACQ." localSheetId="8" hidden="1">{#N/A,#N/A,FALSE,"Summary";#N/A,#N/A,FALSE,"Proforma";#N/A,#N/A,FALSE,"Tx"}</definedName>
    <definedName name="wrn.FULL_ACQ." localSheetId="11" hidden="1">{#N/A,#N/A,FALSE,"Summary";#N/A,#N/A,FALSE,"Proforma";#N/A,#N/A,FALSE,"Tx"}</definedName>
    <definedName name="wrn.FULL_ACQ." localSheetId="19" hidden="1">{#N/A,#N/A,FALSE,"Summary";#N/A,#N/A,FALSE,"Proforma";#N/A,#N/A,FALSE,"Tx"}</definedName>
    <definedName name="wrn.FULL_ACQ." hidden="1">{#N/A,#N/A,FALSE,"Summary";#N/A,#N/A,FALSE,"Proforma";#N/A,#N/A,FALSE,"Tx"}</definedName>
    <definedName name="wrn.OUTPUT." localSheetId="3" hidden="1">{"DCF","UPSIDE CASE",FALSE,"Sheet1";"DCF","BASE CASE",FALSE,"Sheet1";"DCF","DOWNSIDE CASE",FALSE,"Sheet1"}</definedName>
    <definedName name="wrn.OUTPUT." localSheetId="25" hidden="1">{"DCF","UPSIDE CASE",FALSE,"Sheet1";"DCF","BASE CASE",FALSE,"Sheet1";"DCF","DOWNSIDE CASE",FALSE,"Sheet1"}</definedName>
    <definedName name="wrn.OUTPUT." localSheetId="8" hidden="1">{"DCF","UPSIDE CASE",FALSE,"Sheet1";"DCF","BASE CASE",FALSE,"Sheet1";"DCF","DOWNSIDE CASE",FALSE,"Sheet1"}</definedName>
    <definedName name="wrn.OUTPUT." localSheetId="9" hidden="1">{"DCF","UPSIDE CASE",FALSE,"Sheet1";"DCF","BASE CASE",FALSE,"Sheet1";"DCF","DOWNSIDE CASE",FALSE,"Sheet1"}</definedName>
    <definedName name="wrn.OUTPUT." localSheetId="11" hidden="1">{"DCF","UPSIDE CASE",FALSE,"Sheet1";"DCF","BASE CASE",FALSE,"Sheet1";"DCF","DOWNSIDE CASE",FALSE,"Sheet1"}</definedName>
    <definedName name="wrn.OUTPUT." localSheetId="12" hidden="1">{"DCF","UPSIDE CASE",FALSE,"Sheet1";"DCF","BASE CASE",FALSE,"Sheet1";"DCF","DOWNSIDE CASE",FALSE,"Sheet1"}</definedName>
    <definedName name="wrn.OUTPUT." localSheetId="19" hidden="1">{"DCF","UPSIDE CASE",FALSE,"Sheet1";"DCF","BASE CASE",FALSE,"Sheet1";"DCF","DOWNSIDE CASE",FALSE,"Sheet1"}</definedName>
    <definedName name="wrn.OUTPUT." hidden="1">{"DCF","UPSIDE CASE",FALSE,"Sheet1";"DCF","BASE CASE",FALSE,"Sheet1";"DCF","DOWNSIDE CASE",FALSE,"Sheet1"}</definedName>
    <definedName name="wrn.PaperPanel." localSheetId="25" hidden="1">{#N/A,#N/A,FALSE,"Control"}</definedName>
    <definedName name="wrn.PaperPanel." localSheetId="8" hidden="1">{#N/A,#N/A,FALSE,"Control"}</definedName>
    <definedName name="wrn.PaperPanel." localSheetId="11" hidden="1">{#N/A,#N/A,FALSE,"Control"}</definedName>
    <definedName name="wrn.PaperPanel." localSheetId="19" hidden="1">{#N/A,#N/A,FALSE,"Control"}</definedName>
    <definedName name="wrn.PaperPanel." hidden="1">{#N/A,#N/A,FALSE,"Control"}</definedName>
    <definedName name="wrn.PARTNERSHIP." localSheetId="25" hidden="1">{#N/A,#N/A,FALSE,"Ptnr Cash Flow";#N/A,#N/A,FALSE,"Pship Summary";#N/A,#N/A,FALSE,"Pship Proforma";#N/A,#N/A,FALSE,"Tx"}</definedName>
    <definedName name="wrn.PARTNERSHIP." localSheetId="8" hidden="1">{#N/A,#N/A,FALSE,"Ptnr Cash Flow";#N/A,#N/A,FALSE,"Pship Summary";#N/A,#N/A,FALSE,"Pship Proforma";#N/A,#N/A,FALSE,"Tx"}</definedName>
    <definedName name="wrn.PARTNERSHIP." localSheetId="11" hidden="1">{#N/A,#N/A,FALSE,"Ptnr Cash Flow";#N/A,#N/A,FALSE,"Pship Summary";#N/A,#N/A,FALSE,"Pship Proforma";#N/A,#N/A,FALSE,"Tx"}</definedName>
    <definedName name="wrn.PARTNERSHIP." localSheetId="19" hidden="1">{#N/A,#N/A,FALSE,"Ptnr Cash Flow";#N/A,#N/A,FALSE,"Pship Summary";#N/A,#N/A,FALSE,"Pship Proforma";#N/A,#N/A,FALSE,"Tx"}</definedName>
    <definedName name="wrn.PARTNERSHIP." hidden="1">{#N/A,#N/A,FALSE,"Ptnr Cash Flow";#N/A,#N/A,FALSE,"Pship Summary";#N/A,#N/A,FALSE,"Pship Proforma";#N/A,#N/A,FALSE,"Tx"}</definedName>
    <definedName name="wrn.print." localSheetId="3" hidden="1">{#N/A,#N/A,FALSE,"Japan 2003";#N/A,#N/A,FALSE,"Sheet2"}</definedName>
    <definedName name="wrn.print." localSheetId="25" hidden="1">{#N/A,#N/A,FALSE,"Japan 2003";#N/A,#N/A,FALSE,"Sheet2"}</definedName>
    <definedName name="wrn.print." localSheetId="8" hidden="1">{#N/A,#N/A,FALSE,"Japan 2003";#N/A,#N/A,FALSE,"Sheet2"}</definedName>
    <definedName name="wrn.print." localSheetId="9" hidden="1">{#N/A,#N/A,FALSE,"Japan 2003";#N/A,#N/A,FALSE,"Sheet2"}</definedName>
    <definedName name="wrn.print." localSheetId="11" hidden="1">{#N/A,#N/A,FALSE,"Japan 2003";#N/A,#N/A,FALSE,"Sheet2"}</definedName>
    <definedName name="wrn.print." localSheetId="12" hidden="1">{#N/A,#N/A,FALSE,"Japan 2003";#N/A,#N/A,FALSE,"Sheet2"}</definedName>
    <definedName name="wrn.print." localSheetId="19" hidden="1">{#N/A,#N/A,FALSE,"Japan 2003";#N/A,#N/A,FALSE,"Sheet2"}</definedName>
    <definedName name="wrn.print." hidden="1">{#N/A,#N/A,FALSE,"Japan 2003";#N/A,#N/A,FALSE,"Sheet2"}</definedName>
    <definedName name="wrn.print._.graphs." localSheetId="25" hidden="1">{"cap_structure",#N/A,FALSE,"Graph-Mkt Cap";"price",#N/A,FALSE,"Graph-Price";"ebit",#N/A,FALSE,"Graph-EBITDA";"ebitda",#N/A,FALSE,"Graph-EBITDA"}</definedName>
    <definedName name="wrn.print._.graphs." localSheetId="8" hidden="1">{"cap_structure",#N/A,FALSE,"Graph-Mkt Cap";"price",#N/A,FALSE,"Graph-Price";"ebit",#N/A,FALSE,"Graph-EBITDA";"ebitda",#N/A,FALSE,"Graph-EBITDA"}</definedName>
    <definedName name="wrn.print._.graphs." localSheetId="11" hidden="1">{"cap_structure",#N/A,FALSE,"Graph-Mkt Cap";"price",#N/A,FALSE,"Graph-Price";"ebit",#N/A,FALSE,"Graph-EBITDA";"ebitda",#N/A,FALSE,"Graph-EBITDA"}</definedName>
    <definedName name="wrn.print._.graphs." localSheetId="19"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25" hidden="1">{"inputs raw data",#N/A,TRUE,"INPUT"}</definedName>
    <definedName name="wrn.print._.raw._.data._.entry." localSheetId="8" hidden="1">{"inputs raw data",#N/A,TRUE,"INPUT"}</definedName>
    <definedName name="wrn.print._.raw._.data._.entry." localSheetId="11" hidden="1">{"inputs raw data",#N/A,TRUE,"INPUT"}</definedName>
    <definedName name="wrn.print._.raw._.data._.entry." localSheetId="19" hidden="1">{"inputs raw data",#N/A,TRUE,"INPUT"}</definedName>
    <definedName name="wrn.print._.raw._.data._.entry." hidden="1">{"inputs raw data",#N/A,TRUE,"INPUT"}</definedName>
    <definedName name="wrn.print._.summary._.sheets." localSheetId="25" hidden="1">{"summary1",#N/A,TRUE,"Comps";"summary2",#N/A,TRUE,"Comps";"summary3",#N/A,TRUE,"Comps"}</definedName>
    <definedName name="wrn.print._.summary._.sheets." localSheetId="8" hidden="1">{"summary1",#N/A,TRUE,"Comps";"summary2",#N/A,TRUE,"Comps";"summary3",#N/A,TRUE,"Comps"}</definedName>
    <definedName name="wrn.print._.summary._.sheets." localSheetId="11" hidden="1">{"summary1",#N/A,TRUE,"Comps";"summary2",#N/A,TRUE,"Comps";"summary3",#N/A,TRUE,"Comps"}</definedName>
    <definedName name="wrn.print._.summary._.sheets." localSheetId="19" hidden="1">{"summary1",#N/A,TRUE,"Comps";"summary2",#N/A,TRUE,"Comps";"summary3",#N/A,TRUE,"Comps"}</definedName>
    <definedName name="wrn.print._.summary._.sheets." hidden="1">{"summary1",#N/A,TRUE,"Comps";"summary2",#N/A,TRUE,"Comps";"summary3",#N/A,TRUE,"Comps"}</definedName>
    <definedName name="wrn.PrintSelected." localSheetId="25" hidden="1">{"ModelPage1",#N/A,TRUE,"Model";"ModelSum_Debt",#N/A,TRUE,"Model"}</definedName>
    <definedName name="wrn.PrintSelected." localSheetId="8" hidden="1">{"ModelPage1",#N/A,TRUE,"Model";"ModelSum_Debt",#N/A,TRUE,"Model"}</definedName>
    <definedName name="wrn.PrintSelected." localSheetId="11" hidden="1">{"ModelPage1",#N/A,TRUE,"Model";"ModelSum_Debt",#N/A,TRUE,"Model"}</definedName>
    <definedName name="wrn.PrintSelected." localSheetId="19" hidden="1">{"ModelPage1",#N/A,TRUE,"Model";"ModelSum_Debt",#N/A,TRUE,"Model"}</definedName>
    <definedName name="wrn.PrintSelected." hidden="1">{"ModelPage1",#N/A,TRUE,"Model";"ModelSum_Debt",#N/A,TRUE,"Model"}</definedName>
    <definedName name="wrn.REPORT." localSheetId="25"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localSheetId="8"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localSheetId="11"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localSheetId="19"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OUGH." localSheetId="25" hidden="1">{#N/A,#N/A,FALSE,"ROA";#N/A,#N/A,FALSE,"ROI";#N/A,#N/A,FALSE,"EBIT";#N/A,#N/A,FALSE,"MULT X"}</definedName>
    <definedName name="wrn.ROUGH." localSheetId="8" hidden="1">{#N/A,#N/A,FALSE,"ROA";#N/A,#N/A,FALSE,"ROI";#N/A,#N/A,FALSE,"EBIT";#N/A,#N/A,FALSE,"MULT X"}</definedName>
    <definedName name="wrn.ROUGH." localSheetId="11" hidden="1">{#N/A,#N/A,FALSE,"ROA";#N/A,#N/A,FALSE,"ROI";#N/A,#N/A,FALSE,"EBIT";#N/A,#N/A,FALSE,"MULT X"}</definedName>
    <definedName name="wrn.ROUGH." localSheetId="19" hidden="1">{#N/A,#N/A,FALSE,"ROA";#N/A,#N/A,FALSE,"ROI";#N/A,#N/A,FALSE,"EBIT";#N/A,#N/A,FALSE,"MULT X"}</definedName>
    <definedName name="wrn.ROUGH." hidden="1">{#N/A,#N/A,FALSE,"ROA";#N/A,#N/A,FALSE,"ROI";#N/A,#N/A,FALSE,"EBIT";#N/A,#N/A,FALSE,"MULT X"}</definedName>
    <definedName name="wrn.rptexhibits." localSheetId="25" hidden="1">{#N/A,#N/A,FALSE,"BS";#N/A,#N/A,FALSE,"IS";#N/A,#N/A,FALSE,"RMA ";#N/A,#N/A,FALSE,"ADJ IS";#N/A,#N/A,FALSE,"DCF"}</definedName>
    <definedName name="wrn.rptexhibits." localSheetId="8" hidden="1">{#N/A,#N/A,FALSE,"BS";#N/A,#N/A,FALSE,"IS";#N/A,#N/A,FALSE,"RMA ";#N/A,#N/A,FALSE,"ADJ IS";#N/A,#N/A,FALSE,"DCF"}</definedName>
    <definedName name="wrn.rptexhibits." localSheetId="11" hidden="1">{#N/A,#N/A,FALSE,"BS";#N/A,#N/A,FALSE,"IS";#N/A,#N/A,FALSE,"RMA ";#N/A,#N/A,FALSE,"ADJ IS";#N/A,#N/A,FALSE,"DCF"}</definedName>
    <definedName name="wrn.rptexhibits." localSheetId="19" hidden="1">{#N/A,#N/A,FALSE,"BS";#N/A,#N/A,FALSE,"IS";#N/A,#N/A,FALSE,"RMA ";#N/A,#N/A,FALSE,"ADJ IS";#N/A,#N/A,FALSE,"DCF"}</definedName>
    <definedName name="wrn.rptexhibits." hidden="1">{#N/A,#N/A,FALSE,"BS";#N/A,#N/A,FALSE,"IS";#N/A,#N/A,FALSE,"RMA ";#N/A,#N/A,FALSE,"ADJ IS";#N/A,#N/A,FALSE,"DCF"}</definedName>
    <definedName name="wrn.Whole._.Model." localSheetId="25" hidden="1">{#N/A,#N/A,FALSE,"Model";#N/A,#N/A,FALSE,"Gen Pts &amp; Rts 2000";#N/A,#N/A,FALSE,"AcqsAss";#N/A,#N/A,FALSE,"Acqs &amp; De Novos"}</definedName>
    <definedName name="wrn.Whole._.Model." localSheetId="8" hidden="1">{#N/A,#N/A,FALSE,"Model";#N/A,#N/A,FALSE,"Gen Pts &amp; Rts 2000";#N/A,#N/A,FALSE,"AcqsAss";#N/A,#N/A,FALSE,"Acqs &amp; De Novos"}</definedName>
    <definedName name="wrn.Whole._.Model." localSheetId="11" hidden="1">{#N/A,#N/A,FALSE,"Model";#N/A,#N/A,FALSE,"Gen Pts &amp; Rts 2000";#N/A,#N/A,FALSE,"AcqsAss";#N/A,#N/A,FALSE,"Acqs &amp; De Novos"}</definedName>
    <definedName name="wrn.Whole._.Model." localSheetId="19" hidden="1">{#N/A,#N/A,FALSE,"Model";#N/A,#N/A,FALSE,"Gen Pts &amp; Rts 2000";#N/A,#N/A,FALSE,"AcqsAss";#N/A,#N/A,FALSE,"Acqs &amp; De Novos"}</definedName>
    <definedName name="wrn.Whole._.Model." hidden="1">{#N/A,#N/A,FALSE,"Model";#N/A,#N/A,FALSE,"Gen Pts &amp; Rts 2000";#N/A,#N/A,FALSE,"AcqsAss";#N/A,#N/A,FALSE,"Acqs &amp; De Novos"}</definedName>
    <definedName name="wvu.inputs._.raw._.data." localSheetId="25"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8"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1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19"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2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8"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1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19"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25"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8"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1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19"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25"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1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19"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RefColumnsCount" hidden="1">4</definedName>
    <definedName name="XRefCopyRangeCount" hidden="1">2</definedName>
    <definedName name="XRefPasteRangeCount" hidden="1">11</definedName>
    <definedName name="xxxx" localSheetId="5" hidden="1">#REF!</definedName>
    <definedName name="xxxx" localSheetId="25" hidden="1">#REF!</definedName>
    <definedName name="xxxx" localSheetId="20" hidden="1">#REF!</definedName>
    <definedName name="xxxx" localSheetId="8" hidden="1">#REF!</definedName>
    <definedName name="xxxx" localSheetId="11" hidden="1">#REF!</definedName>
    <definedName name="xxxx" localSheetId="18" hidden="1">#REF!</definedName>
    <definedName name="xxxx" localSheetId="17" hidden="1">#REF!</definedName>
    <definedName name="xxxx" localSheetId="19" hidden="1">#REF!</definedName>
    <definedName name="xxxx" hidden="1">#REF!</definedName>
    <definedName name="Year_ID" hidden="1">" "</definedName>
  </definedNames>
  <calcPr calcId="152511" iterate="1"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5" i="61" l="1"/>
  <c r="L24" i="60" l="1"/>
  <c r="O7" i="60"/>
  <c r="BO13" i="126"/>
  <c r="BO10" i="126"/>
  <c r="BO12" i="126"/>
  <c r="BO11" i="126"/>
  <c r="BO14" i="126"/>
  <c r="BJ10" i="126"/>
  <c r="BP14" i="126"/>
  <c r="BJ13" i="126"/>
  <c r="BP13" i="126"/>
  <c r="BP12" i="126"/>
  <c r="BP11" i="126"/>
  <c r="BJ14" i="126"/>
  <c r="BJ11" i="126"/>
  <c r="BP10" i="126"/>
  <c r="BJ12" i="126"/>
  <c r="BQ10" i="126"/>
  <c r="BK12" i="126"/>
  <c r="BE13" i="126"/>
  <c r="BQ12" i="126"/>
  <c r="BE12" i="126"/>
  <c r="BE11" i="126"/>
  <c r="BK10" i="126"/>
  <c r="BK14" i="126"/>
  <c r="BE10" i="126"/>
  <c r="BQ14" i="126"/>
  <c r="BK11" i="126"/>
  <c r="BQ13" i="126"/>
  <c r="BQ11" i="126"/>
  <c r="BK13" i="126"/>
  <c r="BE14" i="126"/>
  <c r="AY14" i="126"/>
  <c r="BL12" i="126"/>
  <c r="AY10" i="126"/>
  <c r="BF13" i="126"/>
  <c r="BL14" i="126"/>
  <c r="AY11" i="126"/>
  <c r="BF11" i="126"/>
  <c r="BL10" i="126"/>
  <c r="AY12" i="126"/>
  <c r="BL11" i="126"/>
  <c r="BF12" i="126"/>
  <c r="BL13" i="126"/>
  <c r="AY13" i="126"/>
  <c r="BF10" i="126"/>
  <c r="BG14" i="126"/>
  <c r="BF14" i="126"/>
  <c r="AR12" i="126"/>
  <c r="AR11" i="126"/>
  <c r="BG10" i="126"/>
  <c r="AZ13" i="126"/>
  <c r="AR10" i="126"/>
  <c r="BG11" i="126"/>
  <c r="BG13" i="126"/>
  <c r="AZ12" i="126"/>
  <c r="AZ10" i="126"/>
  <c r="AR13" i="126"/>
  <c r="BG12" i="126"/>
  <c r="AZ11" i="126"/>
  <c r="AZ14" i="126"/>
  <c r="AR14" i="126"/>
  <c r="AL12" i="126"/>
  <c r="AS14" i="126"/>
  <c r="BA12" i="126"/>
  <c r="AL11" i="126"/>
  <c r="AS12" i="126"/>
  <c r="AS10" i="126"/>
  <c r="AL14" i="126"/>
  <c r="AL10" i="126"/>
  <c r="AL13" i="126"/>
  <c r="BA11" i="126"/>
  <c r="AS13" i="126"/>
  <c r="BA13" i="126"/>
  <c r="BA10" i="126"/>
  <c r="AS11" i="126"/>
  <c r="AT12" i="126"/>
  <c r="BA14" i="126"/>
  <c r="AE13" i="126"/>
  <c r="AE10" i="126"/>
  <c r="AM11" i="126"/>
  <c r="AM10" i="126"/>
  <c r="AE12" i="126"/>
  <c r="AT13" i="126"/>
  <c r="AT10" i="126"/>
  <c r="AM13" i="126"/>
  <c r="AE11" i="126"/>
  <c r="AT11" i="126"/>
  <c r="AT14" i="126"/>
  <c r="AM14" i="126"/>
  <c r="AM12" i="126"/>
  <c r="AE14" i="126"/>
  <c r="BB13" i="126"/>
  <c r="X14" i="126"/>
  <c r="BC10" i="126"/>
  <c r="BC11" i="126"/>
  <c r="AN11" i="126"/>
  <c r="AF13" i="126"/>
  <c r="X10" i="126"/>
  <c r="BB11" i="126"/>
  <c r="BB10" i="126"/>
  <c r="X13" i="126"/>
  <c r="BC14" i="126"/>
  <c r="BB14" i="126"/>
  <c r="AN10" i="126"/>
  <c r="AF12" i="126"/>
  <c r="BC12" i="126"/>
  <c r="AN13" i="126"/>
  <c r="AN12" i="126"/>
  <c r="AF14" i="126"/>
  <c r="X12" i="126"/>
  <c r="X11" i="126"/>
  <c r="BC13" i="126"/>
  <c r="BB12" i="126"/>
  <c r="AF11" i="126"/>
  <c r="AF10" i="126"/>
  <c r="AG12" i="126"/>
  <c r="AN14" i="126"/>
  <c r="AU13" i="126"/>
  <c r="Y13" i="126"/>
  <c r="AV10" i="126"/>
  <c r="AU14" i="126"/>
  <c r="AG13" i="126"/>
  <c r="AG10" i="126"/>
  <c r="Y10" i="126"/>
  <c r="Y11" i="126"/>
  <c r="AV11" i="126"/>
  <c r="AU10" i="126"/>
  <c r="Y14" i="126"/>
  <c r="AG11" i="126"/>
  <c r="AV14" i="126"/>
  <c r="AU12" i="126"/>
  <c r="Y12" i="126"/>
  <c r="AG14" i="126"/>
  <c r="AV13" i="126"/>
  <c r="AU11" i="126"/>
  <c r="AP13" i="126"/>
  <c r="AV12" i="126"/>
  <c r="AO12" i="126"/>
  <c r="Z14" i="126"/>
  <c r="AP12" i="126"/>
  <c r="AO13" i="126"/>
  <c r="Z12" i="126"/>
  <c r="AP10" i="126"/>
  <c r="AP11" i="126"/>
  <c r="AO10" i="126"/>
  <c r="AO14" i="126"/>
  <c r="Z11" i="126"/>
  <c r="Z10" i="126"/>
  <c r="AP14" i="126"/>
  <c r="AO11" i="126"/>
  <c r="Z13" i="126"/>
  <c r="AI14" i="126"/>
  <c r="AI13" i="126"/>
  <c r="AH10" i="126"/>
  <c r="AH13" i="126"/>
  <c r="AH14" i="126"/>
  <c r="AI12" i="126"/>
  <c r="AI10" i="126"/>
  <c r="AH11" i="126"/>
  <c r="AH12" i="126"/>
  <c r="AI11" i="126"/>
  <c r="AA11" i="126"/>
  <c r="AB13" i="126"/>
  <c r="AA10" i="126"/>
  <c r="AB12" i="126"/>
  <c r="AB14" i="126"/>
  <c r="AA12" i="126"/>
  <c r="AA13" i="126"/>
  <c r="AB10" i="126"/>
  <c r="AA14" i="126"/>
  <c r="AB11" i="126"/>
  <c r="J10" i="157"/>
  <c r="E14" i="157"/>
  <c r="E13" i="157"/>
  <c r="I13" i="157"/>
  <c r="J13" i="157"/>
  <c r="D13" i="157"/>
  <c r="F13" i="157"/>
  <c r="K13" i="157"/>
  <c r="F15" i="157"/>
  <c r="D15" i="157"/>
  <c r="I15" i="157"/>
  <c r="J15" i="157"/>
  <c r="K15" i="157"/>
  <c r="E17" i="157"/>
  <c r="F17" i="157"/>
  <c r="J17" i="157"/>
  <c r="I17" i="157"/>
  <c r="D17" i="157"/>
  <c r="K17" i="157"/>
  <c r="K16" i="157"/>
  <c r="F16" i="157"/>
  <c r="E12" i="157"/>
  <c r="F12" i="157"/>
  <c r="J12" i="157"/>
  <c r="I12" i="157"/>
  <c r="D12" i="157"/>
  <c r="K12" i="157"/>
  <c r="I11" i="157"/>
  <c r="E11" i="157"/>
  <c r="D11" i="157"/>
  <c r="K11" i="157"/>
  <c r="F19" i="157"/>
  <c r="D19" i="157"/>
  <c r="J19" i="157"/>
  <c r="E19" i="157"/>
  <c r="K19" i="157"/>
  <c r="I19" i="157"/>
  <c r="J14" i="157"/>
  <c r="K14" i="157"/>
  <c r="F14" i="157"/>
  <c r="D14" i="157"/>
  <c r="I14" i="157"/>
  <c r="D16" i="157"/>
  <c r="J16" i="157"/>
  <c r="E16" i="157"/>
  <c r="I16" i="157"/>
  <c r="D10" i="157"/>
  <c r="K10" i="157"/>
  <c r="F10" i="157"/>
  <c r="E10" i="157"/>
  <c r="I10" i="157"/>
  <c r="F18" i="157"/>
  <c r="E18" i="157"/>
  <c r="K18" i="157"/>
  <c r="D18" i="157"/>
  <c r="I18" i="157"/>
  <c r="J18" i="157"/>
  <c r="E15" i="157"/>
  <c r="F11" i="157"/>
  <c r="J11" i="157"/>
  <c r="G13" i="126"/>
  <c r="G11" i="126"/>
  <c r="H20" i="107"/>
  <c r="N11" i="107"/>
  <c r="N24" i="107"/>
  <c r="N28" i="107"/>
  <c r="Q21" i="107"/>
  <c r="B13" i="107"/>
  <c r="BU11" i="179"/>
  <c r="Q25" i="107"/>
  <c r="N16" i="107"/>
  <c r="B8" i="63"/>
  <c r="N20" i="107"/>
  <c r="K12" i="107"/>
  <c r="Q29" i="107"/>
  <c r="I13" i="179"/>
  <c r="B12" i="126"/>
  <c r="N25" i="107"/>
  <c r="H21" i="107"/>
  <c r="Y27" i="107"/>
  <c r="M16" i="107"/>
  <c r="L23" i="107"/>
  <c r="N12" i="107"/>
  <c r="Q18" i="107"/>
  <c r="Y10" i="107"/>
  <c r="L14" i="107"/>
  <c r="E21" i="53"/>
  <c r="D10" i="63"/>
  <c r="T11" i="157"/>
  <c r="B10" i="179"/>
  <c r="M29" i="107"/>
  <c r="K27" i="107"/>
  <c r="Y24" i="107"/>
  <c r="N22" i="107"/>
  <c r="L20" i="107"/>
  <c r="H18" i="107"/>
  <c r="Q15" i="107"/>
  <c r="N13" i="107"/>
  <c r="Y11" i="107"/>
  <c r="K10" i="107"/>
  <c r="E12" i="53"/>
  <c r="B11" i="63"/>
  <c r="B14" i="179"/>
  <c r="G10" i="126"/>
  <c r="Q17" i="107"/>
  <c r="K29" i="107"/>
  <c r="L22" i="107"/>
  <c r="E10" i="53"/>
  <c r="H24" i="107"/>
  <c r="AA14" i="107"/>
  <c r="E18" i="53"/>
  <c r="B10" i="126"/>
  <c r="Y18" i="107"/>
  <c r="AA10" i="107"/>
  <c r="T13" i="157"/>
  <c r="Y22" i="107"/>
  <c r="Y13" i="107"/>
  <c r="E16" i="53"/>
  <c r="BU14" i="179"/>
  <c r="B14" i="126"/>
  <c r="K26" i="107"/>
  <c r="N21" i="107"/>
  <c r="M28" i="107"/>
  <c r="H17" i="107"/>
  <c r="Y23" i="107"/>
  <c r="K13" i="107"/>
  <c r="L19" i="107"/>
  <c r="M11" i="107"/>
  <c r="Y14" i="107"/>
  <c r="E9" i="53"/>
  <c r="D9" i="63"/>
  <c r="T15" i="157"/>
  <c r="BU10" i="179"/>
  <c r="Y29" i="107"/>
  <c r="Q27" i="107"/>
  <c r="M25" i="107"/>
  <c r="K23" i="107"/>
  <c r="Y20" i="107"/>
  <c r="N18" i="107"/>
  <c r="L16" i="107"/>
  <c r="K14" i="107"/>
  <c r="M12" i="107"/>
  <c r="Q10" i="107"/>
  <c r="E22" i="53"/>
  <c r="G14" i="126"/>
  <c r="BZ13" i="126"/>
  <c r="Y26" i="107"/>
  <c r="I14" i="179"/>
  <c r="BU12" i="179"/>
  <c r="L26" i="107"/>
  <c r="K17" i="107"/>
  <c r="B10" i="63"/>
  <c r="K21" i="107"/>
  <c r="Q12" i="107"/>
  <c r="H28" i="107"/>
  <c r="I10" i="179"/>
  <c r="K25" i="107"/>
  <c r="H16" i="107"/>
  <c r="T12" i="157"/>
  <c r="B11" i="179"/>
  <c r="H29" i="107"/>
  <c r="Q26" i="107"/>
  <c r="M24" i="107"/>
  <c r="K22" i="107"/>
  <c r="Y19" i="107"/>
  <c r="N17" i="107"/>
  <c r="L15" i="107"/>
  <c r="Q13" i="107"/>
  <c r="AA11" i="107"/>
  <c r="B10" i="107"/>
  <c r="E19" i="53"/>
  <c r="D11" i="63"/>
  <c r="I12" i="179"/>
  <c r="BZ10" i="126"/>
  <c r="H26" i="107"/>
  <c r="M21" i="107"/>
  <c r="L28" i="107"/>
  <c r="Y16" i="107"/>
  <c r="Q23" i="107"/>
  <c r="AA12" i="107"/>
  <c r="K19" i="107"/>
  <c r="B11" i="107"/>
  <c r="Q14" i="107"/>
  <c r="E20" i="53"/>
  <c r="B9" i="63"/>
  <c r="T10" i="157"/>
  <c r="B13" i="179"/>
  <c r="M15" i="107"/>
  <c r="T17" i="157"/>
  <c r="M27" i="107"/>
  <c r="B12" i="179"/>
  <c r="Q22" i="107"/>
  <c r="B14" i="107"/>
  <c r="T19" i="157"/>
  <c r="N26" i="107"/>
  <c r="M17" i="107"/>
  <c r="E8" i="53"/>
  <c r="T14" i="157"/>
  <c r="B13" i="126"/>
  <c r="H27" i="107"/>
  <c r="Q24" i="107"/>
  <c r="M22" i="107"/>
  <c r="K20" i="107"/>
  <c r="Y17" i="107"/>
  <c r="N15" i="107"/>
  <c r="AA13" i="107"/>
  <c r="B12" i="107"/>
  <c r="H10" i="107"/>
  <c r="E13" i="53"/>
  <c r="D12" i="63"/>
  <c r="G12" i="126"/>
  <c r="BZ11" i="126"/>
  <c r="M23" i="107"/>
  <c r="L18" i="107"/>
  <c r="N29" i="107"/>
  <c r="M20" i="107"/>
  <c r="H12" i="107"/>
  <c r="BU13" i="179"/>
  <c r="L24" i="107"/>
  <c r="K15" i="107"/>
  <c r="B12" i="63"/>
  <c r="I11" i="179"/>
  <c r="N27" i="107"/>
  <c r="H23" i="107"/>
  <c r="L29" i="107"/>
  <c r="M18" i="107"/>
  <c r="L25" i="107"/>
  <c r="K16" i="107"/>
  <c r="Q20" i="107"/>
  <c r="H14" i="107"/>
  <c r="L12" i="107"/>
  <c r="N10" i="107"/>
  <c r="E11" i="53"/>
  <c r="M19" i="107"/>
  <c r="M10" i="107"/>
  <c r="L13" i="107"/>
  <c r="K18" i="107"/>
  <c r="M14" i="107"/>
  <c r="L10" i="107"/>
  <c r="L27" i="107"/>
  <c r="BZ12" i="126"/>
  <c r="H22" i="107"/>
  <c r="H13" i="107"/>
  <c r="BZ14" i="126"/>
  <c r="Y25" i="107"/>
  <c r="L21" i="107"/>
  <c r="K28" i="107"/>
  <c r="Q16" i="107"/>
  <c r="N23" i="107"/>
  <c r="Y12" i="107"/>
  <c r="H19" i="107"/>
  <c r="K11" i="107"/>
  <c r="N14" i="107"/>
  <c r="P32" i="110"/>
  <c r="E15" i="53"/>
  <c r="I10" i="50"/>
  <c r="D18" i="51"/>
  <c r="F23" i="51"/>
  <c r="AD21" i="51"/>
  <c r="I14" i="51"/>
  <c r="J19" i="51"/>
  <c r="H16" i="51"/>
  <c r="P12" i="51"/>
  <c r="P10" i="51"/>
  <c r="F9" i="51"/>
  <c r="C14" i="48"/>
  <c r="I12" i="50"/>
  <c r="H23" i="51"/>
  <c r="I21" i="51"/>
  <c r="P19" i="51"/>
  <c r="E18" i="51"/>
  <c r="C16" i="51"/>
  <c r="F14" i="51"/>
  <c r="T16" i="157"/>
  <c r="Y28" i="107"/>
  <c r="B11" i="126"/>
  <c r="Y21" i="107"/>
  <c r="M13" i="107"/>
  <c r="J23" i="51"/>
  <c r="C21" i="51"/>
  <c r="E19" i="51"/>
  <c r="P16" i="51"/>
  <c r="D14" i="51"/>
  <c r="J11" i="51"/>
  <c r="P9" i="51"/>
  <c r="L13" i="48"/>
  <c r="E22" i="51"/>
  <c r="H19" i="51"/>
  <c r="D17" i="51"/>
  <c r="C24" i="51"/>
  <c r="AD12" i="51"/>
  <c r="AD10" i="51"/>
  <c r="C9" i="51"/>
  <c r="J14" i="51"/>
  <c r="M11" i="48"/>
  <c r="B10" i="48"/>
  <c r="P13" i="48"/>
  <c r="O12" i="48"/>
  <c r="H22" i="51"/>
  <c r="I20" i="51"/>
  <c r="P18" i="51"/>
  <c r="D24" i="51"/>
  <c r="C15" i="51"/>
  <c r="F13" i="51"/>
  <c r="AD11" i="51"/>
  <c r="D10" i="51"/>
  <c r="E17" i="51"/>
  <c r="AX11" i="48"/>
  <c r="AV10" i="48"/>
  <c r="M14" i="48"/>
  <c r="B13" i="48"/>
  <c r="D23" i="51"/>
  <c r="E16" i="51"/>
  <c r="AV14" i="48"/>
  <c r="K11" i="48"/>
  <c r="L11" i="48"/>
  <c r="F20" i="51"/>
  <c r="F12" i="48"/>
  <c r="J20" i="51"/>
  <c r="P13" i="51"/>
  <c r="E13" i="48"/>
  <c r="D15" i="51"/>
  <c r="E11" i="48"/>
  <c r="E11" i="51"/>
  <c r="J9" i="51"/>
  <c r="I23" i="51"/>
  <c r="E9" i="51"/>
  <c r="Q14" i="179"/>
  <c r="M18" i="110"/>
  <c r="Q19" i="107"/>
  <c r="N19" i="107"/>
  <c r="H25" i="107"/>
  <c r="Y15" i="107"/>
  <c r="Q28" i="107"/>
  <c r="M26" i="107"/>
  <c r="Q11" i="107"/>
  <c r="E23" i="53"/>
  <c r="H20" i="51"/>
  <c r="AD13" i="51"/>
  <c r="E23" i="51"/>
  <c r="J10" i="51"/>
  <c r="C17" i="51"/>
  <c r="E14" i="48"/>
  <c r="P23" i="51"/>
  <c r="AD20" i="51"/>
  <c r="I17" i="51"/>
  <c r="E14" i="51"/>
  <c r="P11" i="51"/>
  <c r="H9" i="51"/>
  <c r="M13" i="48"/>
  <c r="AV11" i="48"/>
  <c r="O10" i="48"/>
  <c r="C19" i="51"/>
  <c r="I16" i="51"/>
  <c r="AD23" i="51"/>
  <c r="F21" i="51"/>
  <c r="H14" i="51"/>
  <c r="D12" i="51"/>
  <c r="I9" i="51"/>
  <c r="Q13" i="48"/>
  <c r="C12" i="48"/>
  <c r="E10" i="48"/>
  <c r="I19" i="51"/>
  <c r="I10" i="51"/>
  <c r="C11" i="48"/>
  <c r="K10" i="48"/>
  <c r="D14" i="48"/>
  <c r="AD18" i="51"/>
  <c r="P21" i="51"/>
  <c r="D19" i="51"/>
  <c r="F10" i="51"/>
  <c r="K12" i="48"/>
  <c r="AD42" i="50"/>
  <c r="D13" i="48"/>
  <c r="Q12" i="179"/>
  <c r="H11" i="107"/>
  <c r="T18" i="157"/>
  <c r="D8" i="63"/>
  <c r="H12" i="51"/>
  <c r="P24" i="51"/>
  <c r="P20" i="51"/>
  <c r="J15" i="51"/>
  <c r="K14" i="48"/>
  <c r="J22" i="51"/>
  <c r="J18" i="51"/>
  <c r="H15" i="51"/>
  <c r="H11" i="51"/>
  <c r="L14" i="48"/>
  <c r="L12" i="48"/>
  <c r="I18" i="50"/>
  <c r="P22" i="51"/>
  <c r="AD19" i="51"/>
  <c r="D16" i="51"/>
  <c r="E13" i="51"/>
  <c r="E10" i="51"/>
  <c r="O13" i="48"/>
  <c r="D11" i="48"/>
  <c r="H21" i="51"/>
  <c r="AV13" i="48"/>
  <c r="E12" i="48"/>
  <c r="H13" i="51"/>
  <c r="H17" i="51"/>
  <c r="M12" i="48"/>
  <c r="B12" i="48"/>
  <c r="F11" i="48"/>
  <c r="AD14" i="51"/>
  <c r="Q13" i="179"/>
  <c r="E14" i="53"/>
  <c r="L17" i="107"/>
  <c r="S62" i="50"/>
  <c r="F19" i="51"/>
  <c r="E15" i="51"/>
  <c r="AX14" i="48"/>
  <c r="F22" i="51"/>
  <c r="AD16" i="51"/>
  <c r="C12" i="51"/>
  <c r="F14" i="48"/>
  <c r="AX10" i="48"/>
  <c r="H18" i="51"/>
  <c r="P14" i="51"/>
  <c r="C11" i="51"/>
  <c r="C23" i="51"/>
  <c r="AV12" i="48"/>
  <c r="C10" i="48"/>
  <c r="F12" i="51"/>
  <c r="P10" i="48"/>
  <c r="F24" i="51"/>
  <c r="Q14" i="48"/>
  <c r="E20" i="51"/>
  <c r="D10" i="48"/>
  <c r="E17" i="53"/>
  <c r="H15" i="107"/>
  <c r="H24" i="51"/>
  <c r="I18" i="51"/>
  <c r="C13" i="51"/>
  <c r="F13" i="48"/>
  <c r="P15" i="51"/>
  <c r="H10" i="51"/>
  <c r="D21" i="51"/>
  <c r="K13" i="48"/>
  <c r="Q10" i="48"/>
  <c r="J21" i="51"/>
  <c r="J13" i="51"/>
  <c r="D9" i="51"/>
  <c r="J17" i="51"/>
  <c r="P12" i="48"/>
  <c r="J24" i="51"/>
  <c r="AX12" i="48"/>
  <c r="AD22" i="51"/>
  <c r="C22" i="51"/>
  <c r="F16" i="51"/>
  <c r="C18" i="51"/>
  <c r="E24" i="51"/>
  <c r="Q10" i="179"/>
  <c r="K24" i="107"/>
  <c r="F15" i="51"/>
  <c r="AD24" i="51"/>
  <c r="D13" i="51"/>
  <c r="P11" i="48"/>
  <c r="D20" i="51"/>
  <c r="D11" i="51"/>
  <c r="B11" i="48"/>
  <c r="F10" i="48"/>
  <c r="E12" i="51"/>
  <c r="L10" i="48"/>
  <c r="I22" i="51"/>
  <c r="F11" i="51"/>
  <c r="C20" i="51"/>
  <c r="C10" i="51"/>
  <c r="I14" i="50"/>
  <c r="F17" i="51"/>
  <c r="P14" i="48"/>
  <c r="J16" i="51"/>
  <c r="I11" i="51"/>
  <c r="P17" i="51"/>
  <c r="J12" i="51"/>
  <c r="Y12" i="179"/>
  <c r="D22" i="51"/>
  <c r="AD9" i="51"/>
  <c r="F18" i="51"/>
  <c r="O14" i="48"/>
  <c r="I24" i="51"/>
  <c r="AD15" i="51"/>
  <c r="AX13" i="48"/>
  <c r="C14" i="51"/>
  <c r="M10" i="48"/>
  <c r="C13" i="48"/>
  <c r="O11" i="48"/>
  <c r="Q11" i="179"/>
  <c r="I16" i="50"/>
  <c r="I12" i="51"/>
  <c r="B14" i="48"/>
  <c r="I13" i="51"/>
  <c r="Q11" i="48"/>
  <c r="Q12" i="48"/>
  <c r="D12" i="48"/>
  <c r="H14" i="179"/>
  <c r="L11" i="107"/>
  <c r="E21" i="51"/>
  <c r="I15" i="51"/>
  <c r="AD17" i="51"/>
  <c r="G10" i="179"/>
  <c r="G12" i="179"/>
  <c r="F14" i="126"/>
  <c r="F10" i="126"/>
  <c r="M11" i="126"/>
  <c r="Y14" i="179"/>
  <c r="H13" i="179"/>
  <c r="N12" i="126"/>
  <c r="G14" i="179"/>
  <c r="M13" i="126"/>
  <c r="F13" i="126"/>
  <c r="M14" i="126"/>
  <c r="Y10" i="179"/>
  <c r="H12" i="179"/>
  <c r="H10" i="179"/>
  <c r="N11" i="126"/>
  <c r="G11" i="179"/>
  <c r="M10" i="126"/>
  <c r="F12" i="126"/>
  <c r="Y11" i="179"/>
  <c r="H11" i="179"/>
  <c r="N14" i="126"/>
  <c r="G13" i="179"/>
  <c r="M12" i="126"/>
  <c r="F11" i="126"/>
  <c r="Y13" i="179"/>
  <c r="N13" i="126"/>
  <c r="N10" i="126"/>
  <c r="P11" i="179"/>
  <c r="P13" i="179"/>
  <c r="O12" i="179"/>
  <c r="E10" i="126"/>
  <c r="U14" i="126"/>
  <c r="T12" i="126"/>
  <c r="P12" i="179"/>
  <c r="O11" i="179"/>
  <c r="T14" i="126"/>
  <c r="E11" i="126"/>
  <c r="T13" i="126"/>
  <c r="F14" i="179"/>
  <c r="F11" i="179"/>
  <c r="U13" i="126"/>
  <c r="P14" i="179"/>
  <c r="O13" i="179"/>
  <c r="T10" i="126"/>
  <c r="E14" i="126"/>
  <c r="F12" i="179"/>
  <c r="F10" i="179"/>
  <c r="U12" i="126"/>
  <c r="P10" i="179"/>
  <c r="O10" i="179"/>
  <c r="O14" i="179"/>
  <c r="T11" i="126"/>
  <c r="E12" i="126"/>
  <c r="F13" i="179"/>
  <c r="E13" i="126"/>
  <c r="U10" i="126"/>
  <c r="U11" i="126"/>
  <c r="E13" i="179"/>
  <c r="E10" i="179"/>
  <c r="D13" i="126"/>
  <c r="X10" i="179"/>
  <c r="X11" i="179"/>
  <c r="L13" i="126"/>
  <c r="W14" i="179"/>
  <c r="W13" i="179"/>
  <c r="N12" i="179"/>
  <c r="N10" i="179"/>
  <c r="E12" i="179"/>
  <c r="L14" i="126"/>
  <c r="L11" i="126"/>
  <c r="D10" i="126"/>
  <c r="N13" i="179"/>
  <c r="N14" i="179"/>
  <c r="E14" i="179"/>
  <c r="D12" i="126"/>
  <c r="D11" i="126"/>
  <c r="X12" i="179"/>
  <c r="L12" i="126"/>
  <c r="W12" i="179"/>
  <c r="N11" i="179"/>
  <c r="E11" i="179"/>
  <c r="D14" i="126"/>
  <c r="X13" i="179"/>
  <c r="X14" i="179"/>
  <c r="L10" i="126"/>
  <c r="W11" i="179"/>
  <c r="W10" i="179"/>
  <c r="C14" i="126"/>
  <c r="D13" i="179"/>
  <c r="D14" i="179"/>
  <c r="S14" i="126"/>
  <c r="S11" i="126"/>
  <c r="M10" i="179"/>
  <c r="M12" i="179"/>
  <c r="K14" i="126"/>
  <c r="V12" i="179"/>
  <c r="C12" i="126"/>
  <c r="C11" i="126"/>
  <c r="D11" i="179"/>
  <c r="S13" i="126"/>
  <c r="M11" i="179"/>
  <c r="K13" i="126"/>
  <c r="V13" i="179"/>
  <c r="V10" i="179"/>
  <c r="S10" i="126"/>
  <c r="K10" i="126"/>
  <c r="C13" i="126"/>
  <c r="V11" i="179"/>
  <c r="V14" i="179"/>
  <c r="C10" i="126"/>
  <c r="D10" i="179"/>
  <c r="D12" i="179"/>
  <c r="S12" i="126"/>
  <c r="M14" i="179"/>
  <c r="M13" i="179"/>
  <c r="K11" i="126"/>
  <c r="K12" i="126"/>
  <c r="U13" i="179"/>
  <c r="C10" i="179"/>
  <c r="R13" i="126"/>
  <c r="R14" i="126"/>
  <c r="J14" i="126"/>
  <c r="U12" i="179"/>
  <c r="C13" i="179"/>
  <c r="C12" i="179"/>
  <c r="J11" i="126"/>
  <c r="L12" i="179"/>
  <c r="R12" i="126"/>
  <c r="U14" i="179"/>
  <c r="C11" i="179"/>
  <c r="J10" i="126"/>
  <c r="J12" i="126"/>
  <c r="L11" i="179"/>
  <c r="L10" i="179"/>
  <c r="R10" i="126"/>
  <c r="U11" i="179"/>
  <c r="U10" i="179"/>
  <c r="C14" i="179"/>
  <c r="J13" i="126"/>
  <c r="L13" i="179"/>
  <c r="L14" i="179"/>
  <c r="R11" i="126"/>
  <c r="Q12" i="126"/>
  <c r="T12" i="179"/>
  <c r="K13" i="179"/>
  <c r="Q11" i="126"/>
  <c r="Q10" i="126"/>
  <c r="T11" i="179"/>
  <c r="T13" i="179"/>
  <c r="Q14" i="126"/>
  <c r="T10" i="179"/>
  <c r="K12" i="179"/>
  <c r="Q13" i="126"/>
  <c r="T14" i="179"/>
  <c r="K14" i="179"/>
  <c r="K11" i="179"/>
  <c r="K10" i="179"/>
  <c r="S10" i="179"/>
  <c r="S14" i="179"/>
  <c r="S11" i="179"/>
  <c r="S13" i="179"/>
  <c r="S12" i="179"/>
  <c r="E33" i="60" l="1"/>
  <c r="K10" i="47" l="1"/>
  <c r="G10" i="61"/>
  <c r="R16" i="61" s="1"/>
  <c r="H17" i="61" s="1"/>
  <c r="D10" i="47"/>
  <c r="D14" i="47" s="1"/>
  <c r="D19" i="47"/>
  <c r="D20" i="47"/>
  <c r="D21" i="47"/>
  <c r="D22" i="47"/>
  <c r="D23" i="47"/>
  <c r="D24" i="47"/>
  <c r="D27" i="47"/>
  <c r="D28" i="47"/>
  <c r="D29" i="47"/>
  <c r="D35" i="47"/>
  <c r="D36" i="47"/>
  <c r="D37" i="47"/>
  <c r="D38" i="47"/>
  <c r="D39" i="47"/>
  <c r="D40" i="47"/>
  <c r="D41" i="47"/>
  <c r="D42" i="47"/>
  <c r="E10" i="47"/>
  <c r="E14" i="47" s="1"/>
  <c r="E19" i="47"/>
  <c r="E20" i="47"/>
  <c r="E21" i="47"/>
  <c r="E22" i="47"/>
  <c r="E23" i="47"/>
  <c r="E24" i="47"/>
  <c r="E27" i="47"/>
  <c r="E28" i="47"/>
  <c r="E29" i="47"/>
  <c r="E35" i="47"/>
  <c r="E36" i="47"/>
  <c r="E37" i="47"/>
  <c r="E38" i="47"/>
  <c r="E39" i="47"/>
  <c r="E40" i="47"/>
  <c r="E41" i="47"/>
  <c r="E42" i="47"/>
  <c r="F10" i="47"/>
  <c r="F14" i="47" s="1"/>
  <c r="F19" i="47"/>
  <c r="F20" i="47"/>
  <c r="F21" i="47"/>
  <c r="F22" i="47"/>
  <c r="F23" i="47"/>
  <c r="F24" i="47"/>
  <c r="F27" i="47"/>
  <c r="F28" i="47"/>
  <c r="F29" i="47"/>
  <c r="F35" i="47"/>
  <c r="F36" i="47"/>
  <c r="F37" i="47"/>
  <c r="F38" i="47"/>
  <c r="F39" i="47"/>
  <c r="F40" i="47"/>
  <c r="F41" i="47"/>
  <c r="F42" i="47"/>
  <c r="G10" i="47"/>
  <c r="G14" i="47" s="1"/>
  <c r="G19" i="47"/>
  <c r="G20" i="47"/>
  <c r="G21" i="47"/>
  <c r="G22" i="47"/>
  <c r="G23" i="47"/>
  <c r="G24" i="47"/>
  <c r="G27" i="47"/>
  <c r="G28" i="47"/>
  <c r="G29" i="47"/>
  <c r="G35" i="47"/>
  <c r="G36" i="47"/>
  <c r="G37" i="47"/>
  <c r="G38" i="47"/>
  <c r="G39" i="47"/>
  <c r="G40" i="47"/>
  <c r="G41" i="47"/>
  <c r="G42" i="47"/>
  <c r="H10" i="47"/>
  <c r="H14" i="47" s="1"/>
  <c r="H19" i="47"/>
  <c r="H20" i="47"/>
  <c r="H21" i="47"/>
  <c r="H22" i="47"/>
  <c r="H23" i="47"/>
  <c r="H24" i="47"/>
  <c r="H27" i="47"/>
  <c r="H28" i="47"/>
  <c r="H29" i="47"/>
  <c r="H35" i="47"/>
  <c r="H36" i="47"/>
  <c r="H37" i="47"/>
  <c r="H38" i="47"/>
  <c r="H39" i="47"/>
  <c r="H40" i="47"/>
  <c r="H41" i="47"/>
  <c r="H42" i="47"/>
  <c r="I10" i="47"/>
  <c r="I14" i="47" s="1"/>
  <c r="I19" i="47"/>
  <c r="I20" i="47"/>
  <c r="I21" i="47"/>
  <c r="I22" i="47"/>
  <c r="I23" i="47"/>
  <c r="I24" i="47"/>
  <c r="I27" i="47"/>
  <c r="I28" i="47"/>
  <c r="I29" i="47"/>
  <c r="I35" i="47"/>
  <c r="I36" i="47"/>
  <c r="I37" i="47"/>
  <c r="I38" i="47"/>
  <c r="I39" i="47"/>
  <c r="I40" i="47"/>
  <c r="I41" i="47"/>
  <c r="I42" i="47"/>
  <c r="J10" i="47"/>
  <c r="J14" i="47" s="1"/>
  <c r="J19" i="47"/>
  <c r="J20" i="47"/>
  <c r="J21" i="47"/>
  <c r="J22" i="47"/>
  <c r="J23" i="47"/>
  <c r="J24" i="47"/>
  <c r="J27" i="47"/>
  <c r="J28" i="47"/>
  <c r="J29" i="47"/>
  <c r="J35" i="47"/>
  <c r="J36" i="47"/>
  <c r="J37" i="47"/>
  <c r="J38" i="47"/>
  <c r="J39" i="47"/>
  <c r="J40" i="47"/>
  <c r="J41" i="47"/>
  <c r="J42" i="47"/>
  <c r="K19" i="47"/>
  <c r="K20" i="47"/>
  <c r="K21" i="47"/>
  <c r="K22" i="47"/>
  <c r="K23" i="47"/>
  <c r="K24" i="47"/>
  <c r="K25" i="47"/>
  <c r="K31" i="47" s="1"/>
  <c r="K33" i="47" s="1"/>
  <c r="K27" i="47"/>
  <c r="K28" i="47"/>
  <c r="K29" i="47" s="1"/>
  <c r="K35" i="47"/>
  <c r="K36" i="47"/>
  <c r="K37" i="47"/>
  <c r="K38" i="47"/>
  <c r="K39" i="47"/>
  <c r="K40" i="47"/>
  <c r="K41" i="47"/>
  <c r="K42" i="47"/>
  <c r="K14" i="47"/>
  <c r="F20" i="60"/>
  <c r="H20" i="60" s="1"/>
  <c r="J20" i="60" s="1"/>
  <c r="F24" i="60"/>
  <c r="H24" i="60" s="1"/>
  <c r="J24" i="60" s="1"/>
  <c r="K25" i="60"/>
  <c r="J31" i="60"/>
  <c r="J33" i="60"/>
  <c r="H13" i="60"/>
  <c r="O46" i="60" s="1"/>
  <c r="H31" i="60"/>
  <c r="H33" i="60"/>
  <c r="F13" i="60"/>
  <c r="O45" i="60" s="1"/>
  <c r="V20" i="61"/>
  <c r="V21" i="61" s="1"/>
  <c r="U20" i="61"/>
  <c r="U21" i="61" s="1"/>
  <c r="T20" i="61"/>
  <c r="T21" i="61" s="1"/>
  <c r="S20" i="61"/>
  <c r="S21" i="61" s="1"/>
  <c r="R20" i="61"/>
  <c r="R21" i="61"/>
  <c r="Q19" i="61"/>
  <c r="Q20" i="61"/>
  <c r="Q21" i="61" s="1"/>
  <c r="H8" i="25"/>
  <c r="I8" i="25"/>
  <c r="J8" i="25"/>
  <c r="G10" i="25"/>
  <c r="G11" i="25"/>
  <c r="H11" i="25"/>
  <c r="I11" i="25"/>
  <c r="J11" i="25"/>
  <c r="K11" i="25"/>
  <c r="L11" i="25"/>
  <c r="G13" i="25"/>
  <c r="H17" i="25"/>
  <c r="I17" i="25" s="1"/>
  <c r="J17" i="25" s="1"/>
  <c r="E18" i="25"/>
  <c r="D9" i="253"/>
  <c r="D23" i="253" s="1"/>
  <c r="D10" i="253"/>
  <c r="D24" i="253" s="1"/>
  <c r="F13" i="253"/>
  <c r="F14" i="253"/>
  <c r="I18" i="253"/>
  <c r="I20" i="253"/>
  <c r="F25" i="253"/>
  <c r="I47" i="268"/>
  <c r="C48" i="268"/>
  <c r="F9" i="253" s="1"/>
  <c r="E48" i="268"/>
  <c r="E50" i="268" s="1"/>
  <c r="C49" i="268"/>
  <c r="F10" i="253" s="1"/>
  <c r="F24" i="253"/>
  <c r="E49" i="268"/>
  <c r="M37" i="85"/>
  <c r="N37" i="85"/>
  <c r="O37" i="85"/>
  <c r="P37" i="85"/>
  <c r="Q37" i="85"/>
  <c r="R37" i="85"/>
  <c r="S37" i="85"/>
  <c r="M88" i="85"/>
  <c r="N88" i="85"/>
  <c r="O88" i="85"/>
  <c r="P88" i="85"/>
  <c r="Q88" i="85"/>
  <c r="R88" i="85"/>
  <c r="S88" i="85"/>
  <c r="T88" i="85"/>
  <c r="Q2" i="157"/>
  <c r="C50" i="268"/>
  <c r="I10" i="25"/>
  <c r="I13" i="25"/>
  <c r="H10" i="25"/>
  <c r="H13" i="25"/>
  <c r="K17" i="25"/>
  <c r="J10" i="25"/>
  <c r="J13" i="25"/>
  <c r="K8" i="25"/>
  <c r="L17" i="25"/>
  <c r="S10" i="157"/>
  <c r="S11" i="157"/>
  <c r="S12" i="157"/>
  <c r="S13" i="157"/>
  <c r="S14" i="157"/>
  <c r="S15" i="157"/>
  <c r="S16" i="157"/>
  <c r="S17" i="157"/>
  <c r="S18" i="157"/>
  <c r="S19" i="157"/>
  <c r="B29" i="157"/>
  <c r="BR2" i="179"/>
  <c r="I4" i="179"/>
  <c r="Y4" i="179"/>
  <c r="AO4" i="179"/>
  <c r="L4" i="157" s="1"/>
  <c r="BE4" i="179"/>
  <c r="H8" i="179"/>
  <c r="Q8" i="179"/>
  <c r="BT10" i="179"/>
  <c r="BT11" i="179"/>
  <c r="BT12" i="179"/>
  <c r="BT13" i="179"/>
  <c r="BT14" i="179"/>
  <c r="B31" i="179"/>
  <c r="BW2" i="126"/>
  <c r="H4" i="126"/>
  <c r="O4" i="126"/>
  <c r="V4" i="126"/>
  <c r="AC4" i="126"/>
  <c r="AJ4" i="126"/>
  <c r="AP4" i="126"/>
  <c r="AW4" i="126"/>
  <c r="BC4" i="126"/>
  <c r="BR4" i="126"/>
  <c r="F8" i="126"/>
  <c r="M8" i="126"/>
  <c r="N8" i="126"/>
  <c r="Q4" i="179"/>
  <c r="AW4" i="179"/>
  <c r="AG4" i="179"/>
  <c r="BM4" i="179"/>
  <c r="G8" i="179"/>
  <c r="Y8" i="179"/>
  <c r="BY10" i="126"/>
  <c r="BY11" i="126"/>
  <c r="BY12" i="126"/>
  <c r="BY13" i="126"/>
  <c r="BY14" i="126"/>
  <c r="B31" i="126"/>
  <c r="C31" i="126"/>
  <c r="D31" i="126"/>
  <c r="E31" i="126"/>
  <c r="F31" i="126"/>
  <c r="G31" i="126"/>
  <c r="J31" i="126"/>
  <c r="K31" i="126"/>
  <c r="L31" i="126"/>
  <c r="M31" i="126"/>
  <c r="N31" i="126"/>
  <c r="O31" i="126"/>
  <c r="Q31" i="126"/>
  <c r="R31" i="126"/>
  <c r="S31" i="126"/>
  <c r="T31" i="126"/>
  <c r="U31" i="126"/>
  <c r="X31" i="126"/>
  <c r="Y31" i="126"/>
  <c r="Z31" i="126"/>
  <c r="AA31" i="126"/>
  <c r="AC31" i="126"/>
  <c r="AE31" i="126"/>
  <c r="AF31" i="126"/>
  <c r="AG31" i="126"/>
  <c r="AH31" i="126"/>
  <c r="AL31" i="126"/>
  <c r="AM31" i="126"/>
  <c r="AN31" i="126"/>
  <c r="AO31" i="126"/>
  <c r="AP31" i="126"/>
  <c r="AR31" i="126"/>
  <c r="AS31" i="126"/>
  <c r="AT31" i="126"/>
  <c r="AU31" i="126"/>
  <c r="AY31" i="126"/>
  <c r="AZ31" i="126"/>
  <c r="BA31" i="126"/>
  <c r="BB31" i="126"/>
  <c r="BC31" i="126"/>
  <c r="N2" i="50"/>
  <c r="Q10" i="50"/>
  <c r="T10" i="50"/>
  <c r="Q12" i="50"/>
  <c r="T12" i="50"/>
  <c r="Q14" i="50"/>
  <c r="T14" i="50"/>
  <c r="Q16" i="50"/>
  <c r="T16" i="50"/>
  <c r="C18" i="50"/>
  <c r="L18" i="50"/>
  <c r="P18" i="50" s="1"/>
  <c r="R18" i="50" s="1"/>
  <c r="S18" i="50" s="1"/>
  <c r="M18" i="50"/>
  <c r="Q18" i="50"/>
  <c r="T18" i="50"/>
  <c r="W18" i="50"/>
  <c r="S26" i="50"/>
  <c r="L57" i="50" s="1"/>
  <c r="I37" i="50"/>
  <c r="Q37" i="50"/>
  <c r="L56" i="50"/>
  <c r="O57" i="50"/>
  <c r="O58" i="50"/>
  <c r="Y2" i="107"/>
  <c r="V7" i="107"/>
  <c r="V11" i="107" s="1"/>
  <c r="X10" i="107"/>
  <c r="X11" i="107"/>
  <c r="V12" i="107"/>
  <c r="X12" i="107"/>
  <c r="X13" i="107"/>
  <c r="X14" i="107"/>
  <c r="X15" i="107"/>
  <c r="X16" i="107"/>
  <c r="X17" i="107"/>
  <c r="X18" i="107"/>
  <c r="X19" i="107"/>
  <c r="X20" i="107"/>
  <c r="X21" i="107"/>
  <c r="X22" i="107"/>
  <c r="X23" i="107"/>
  <c r="X24" i="107"/>
  <c r="X25" i="107"/>
  <c r="X26" i="107"/>
  <c r="X27" i="107"/>
  <c r="X28" i="107"/>
  <c r="X29" i="107"/>
  <c r="E50" i="107"/>
  <c r="M7" i="110"/>
  <c r="F9" i="110"/>
  <c r="H27" i="110"/>
  <c r="H31" i="110"/>
  <c r="K8" i="53"/>
  <c r="K9" i="53"/>
  <c r="K10" i="53"/>
  <c r="K11" i="53"/>
  <c r="K12" i="53"/>
  <c r="K13" i="53"/>
  <c r="K14" i="53"/>
  <c r="K15" i="53"/>
  <c r="K16" i="53"/>
  <c r="K17" i="53"/>
  <c r="K18" i="53"/>
  <c r="K19" i="53"/>
  <c r="K20" i="53"/>
  <c r="K21" i="53"/>
  <c r="K22" i="53"/>
  <c r="K23" i="53"/>
  <c r="D9" i="77"/>
  <c r="D10" i="77"/>
  <c r="D11" i="77"/>
  <c r="D12" i="77"/>
  <c r="D13" i="77"/>
  <c r="D14" i="77"/>
  <c r="D19" i="77"/>
  <c r="D20" i="77"/>
  <c r="D21" i="77"/>
  <c r="D22" i="77"/>
  <c r="D23" i="77"/>
  <c r="D24" i="77"/>
  <c r="G26" i="77"/>
  <c r="H26" i="77"/>
  <c r="N4" i="51"/>
  <c r="L8" i="51"/>
  <c r="M8" i="51"/>
  <c r="N8" i="51"/>
  <c r="S8" i="51"/>
  <c r="T8" i="51"/>
  <c r="W8" i="51"/>
  <c r="W12" i="51" s="1"/>
  <c r="AA8" i="51"/>
  <c r="AB8" i="51" s="1"/>
  <c r="V9" i="51"/>
  <c r="Z9" i="51"/>
  <c r="V10" i="51"/>
  <c r="Z10" i="51"/>
  <c r="V11" i="51"/>
  <c r="Z11" i="51"/>
  <c r="V12" i="51"/>
  <c r="Z12" i="51"/>
  <c r="V13" i="51"/>
  <c r="Z13" i="51"/>
  <c r="V14" i="51"/>
  <c r="Z14" i="51"/>
  <c r="AA14" i="51"/>
  <c r="R15" i="51"/>
  <c r="S15" i="51"/>
  <c r="V15" i="51"/>
  <c r="W15" i="51"/>
  <c r="R16" i="51"/>
  <c r="S16" i="51"/>
  <c r="V16" i="51"/>
  <c r="R17" i="51"/>
  <c r="S17" i="51"/>
  <c r="V17" i="51"/>
  <c r="R18" i="51"/>
  <c r="S18" i="51"/>
  <c r="V18" i="51"/>
  <c r="W18" i="51"/>
  <c r="V19" i="51"/>
  <c r="Z19" i="51"/>
  <c r="V20" i="51"/>
  <c r="Z20" i="51"/>
  <c r="V21" i="51"/>
  <c r="Z21" i="51"/>
  <c r="R22" i="51"/>
  <c r="S22" i="51"/>
  <c r="V22" i="51"/>
  <c r="R23" i="51"/>
  <c r="S23" i="51"/>
  <c r="Z23" i="51"/>
  <c r="V24" i="51"/>
  <c r="Z24" i="51"/>
  <c r="AA24" i="51"/>
  <c r="C8" i="63"/>
  <c r="C9" i="63"/>
  <c r="C10" i="63"/>
  <c r="C11" i="63"/>
  <c r="C12" i="63"/>
  <c r="G4" i="76"/>
  <c r="H4" i="77"/>
  <c r="D10" i="76"/>
  <c r="D11" i="76"/>
  <c r="D12" i="76"/>
  <c r="D13" i="76"/>
  <c r="D14" i="76"/>
  <c r="D15" i="76"/>
  <c r="AA8" i="48"/>
  <c r="AE8" i="48"/>
  <c r="AB8" i="48"/>
  <c r="AF8" i="48" s="1"/>
  <c r="AC8" i="48"/>
  <c r="AG8" i="48"/>
  <c r="AI8" i="48"/>
  <c r="AJ8" i="48"/>
  <c r="AK8" i="48"/>
  <c r="AM8" i="48"/>
  <c r="AN8" i="48"/>
  <c r="AO8" i="48"/>
  <c r="AQ8" i="48"/>
  <c r="AR8" i="48"/>
  <c r="AS8" i="48"/>
  <c r="AU12" i="48"/>
  <c r="AU13" i="48" s="1"/>
  <c r="AU14" i="48" s="1"/>
  <c r="AQ34" i="48"/>
  <c r="AS34" i="48"/>
  <c r="AA36" i="48"/>
  <c r="AC36" i="48"/>
  <c r="AQ36" i="48"/>
  <c r="AS36" i="48"/>
  <c r="N43" i="48"/>
  <c r="R43" i="48"/>
  <c r="V43" i="48"/>
  <c r="N44" i="48"/>
  <c r="R44" i="48"/>
  <c r="V44" i="48"/>
  <c r="N45" i="48"/>
  <c r="R45" i="48"/>
  <c r="V45" i="48"/>
  <c r="N46" i="48"/>
  <c r="R46" i="48"/>
  <c r="V46" i="48"/>
  <c r="N47" i="48"/>
  <c r="R47" i="48"/>
  <c r="V47" i="48"/>
  <c r="N48" i="48"/>
  <c r="R48" i="48"/>
  <c r="V48" i="48"/>
  <c r="K4" i="47"/>
  <c r="T4" i="47"/>
  <c r="D7" i="47"/>
  <c r="E7" i="47"/>
  <c r="F7" i="47"/>
  <c r="G7" i="47"/>
  <c r="H7" i="47"/>
  <c r="I7" i="47"/>
  <c r="J7" i="47"/>
  <c r="K7" i="47"/>
  <c r="M7" i="47"/>
  <c r="N7" i="47"/>
  <c r="O7" i="47"/>
  <c r="P7" i="47"/>
  <c r="Q7" i="47"/>
  <c r="R7" i="47"/>
  <c r="S7" i="47"/>
  <c r="T7" i="47"/>
  <c r="S8" i="47"/>
  <c r="T8" i="47"/>
  <c r="I31" i="179"/>
  <c r="H31" i="179"/>
  <c r="M10" i="47"/>
  <c r="N10" i="47"/>
  <c r="O10" i="47"/>
  <c r="P10" i="47"/>
  <c r="Q10" i="47"/>
  <c r="R10" i="47"/>
  <c r="S10" i="47"/>
  <c r="T10" i="47"/>
  <c r="D11" i="47"/>
  <c r="E11" i="47"/>
  <c r="F11" i="47"/>
  <c r="G11" i="47"/>
  <c r="H11" i="47"/>
  <c r="I11" i="47"/>
  <c r="J11" i="47"/>
  <c r="K11" i="47"/>
  <c r="M11" i="47"/>
  <c r="N11" i="47"/>
  <c r="O11" i="47"/>
  <c r="P11" i="47"/>
  <c r="Q11" i="47"/>
  <c r="R11" i="47"/>
  <c r="S11" i="47"/>
  <c r="T11" i="47"/>
  <c r="D12" i="47"/>
  <c r="E12" i="47"/>
  <c r="F12" i="47"/>
  <c r="G12" i="47"/>
  <c r="H12" i="47"/>
  <c r="I12" i="47"/>
  <c r="J12" i="47"/>
  <c r="K12" i="47"/>
  <c r="M12" i="47"/>
  <c r="N12" i="47"/>
  <c r="O12" i="47"/>
  <c r="P12" i="47"/>
  <c r="Q12" i="47"/>
  <c r="R12" i="47"/>
  <c r="S12" i="47"/>
  <c r="T12" i="47"/>
  <c r="M14" i="47"/>
  <c r="N14" i="47"/>
  <c r="O14" i="47"/>
  <c r="P14" i="47"/>
  <c r="Q14" i="47"/>
  <c r="R14" i="47"/>
  <c r="S14" i="47"/>
  <c r="T14" i="47"/>
  <c r="M19" i="47"/>
  <c r="N19" i="47"/>
  <c r="O19" i="47"/>
  <c r="P19" i="47"/>
  <c r="Q19" i="47"/>
  <c r="R19" i="47"/>
  <c r="S19" i="47"/>
  <c r="T19" i="47"/>
  <c r="M20" i="47"/>
  <c r="N20" i="47"/>
  <c r="O20" i="47"/>
  <c r="P20" i="47"/>
  <c r="Q20" i="47"/>
  <c r="R20" i="47"/>
  <c r="S20" i="47"/>
  <c r="T20" i="47"/>
  <c r="M21" i="47"/>
  <c r="N21" i="47"/>
  <c r="O21" i="47"/>
  <c r="P21" i="47"/>
  <c r="Q21" i="47"/>
  <c r="R21" i="47"/>
  <c r="S21" i="47"/>
  <c r="T21" i="47"/>
  <c r="M22" i="47"/>
  <c r="N22" i="47"/>
  <c r="O22" i="47"/>
  <c r="P22" i="47"/>
  <c r="Q22" i="47"/>
  <c r="R22" i="47"/>
  <c r="S22" i="47"/>
  <c r="T22" i="47"/>
  <c r="M23" i="47"/>
  <c r="N23" i="47"/>
  <c r="O23" i="47"/>
  <c r="P23" i="47"/>
  <c r="Q23" i="47"/>
  <c r="R23" i="47"/>
  <c r="S23" i="47"/>
  <c r="T23" i="47"/>
  <c r="M24" i="47"/>
  <c r="O24" i="47"/>
  <c r="Q24" i="47"/>
  <c r="AB20" i="47"/>
  <c r="AB21" i="47" s="1"/>
  <c r="T25" i="47"/>
  <c r="M27" i="47"/>
  <c r="N27" i="47"/>
  <c r="O27" i="47"/>
  <c r="P27" i="47"/>
  <c r="Q27" i="47"/>
  <c r="R27" i="47"/>
  <c r="S27" i="47"/>
  <c r="T27" i="47"/>
  <c r="E79" i="47"/>
  <c r="F79" i="47"/>
  <c r="G79" i="47"/>
  <c r="I79" i="47"/>
  <c r="K79" i="47"/>
  <c r="M28" i="47"/>
  <c r="N28" i="47"/>
  <c r="O28" i="47"/>
  <c r="P28" i="47"/>
  <c r="Q28" i="47"/>
  <c r="R28" i="47"/>
  <c r="S28" i="47"/>
  <c r="T28" i="47"/>
  <c r="M29" i="47"/>
  <c r="N29" i="47"/>
  <c r="O29" i="47"/>
  <c r="P29" i="47"/>
  <c r="Q29" i="47"/>
  <c r="R29" i="47"/>
  <c r="S29" i="47"/>
  <c r="T29" i="47"/>
  <c r="T31" i="47"/>
  <c r="AD33" i="47"/>
  <c r="T33" i="47"/>
  <c r="S35" i="47"/>
  <c r="M35" i="47"/>
  <c r="O35" i="47"/>
  <c r="Q35" i="47"/>
  <c r="S36" i="47"/>
  <c r="M36" i="47"/>
  <c r="O36" i="47"/>
  <c r="Q36" i="47"/>
  <c r="S37" i="47"/>
  <c r="M37" i="47"/>
  <c r="O37" i="47"/>
  <c r="Q37" i="47"/>
  <c r="S38" i="47"/>
  <c r="M38" i="47"/>
  <c r="O38" i="47"/>
  <c r="Q38" i="47"/>
  <c r="S39" i="47"/>
  <c r="M39" i="47"/>
  <c r="O39" i="47"/>
  <c r="Q39" i="47"/>
  <c r="S40" i="47"/>
  <c r="M40" i="47"/>
  <c r="O40" i="47"/>
  <c r="Q40" i="47"/>
  <c r="S41" i="47"/>
  <c r="M41" i="47"/>
  <c r="O41" i="47"/>
  <c r="Q41" i="47"/>
  <c r="E81" i="47"/>
  <c r="I69" i="47"/>
  <c r="S42" i="47"/>
  <c r="M42" i="47"/>
  <c r="O42" i="47"/>
  <c r="Q42" i="47"/>
  <c r="D47" i="47"/>
  <c r="E47" i="47"/>
  <c r="F47" i="47"/>
  <c r="G47" i="47"/>
  <c r="H47" i="47"/>
  <c r="I47" i="47"/>
  <c r="J47" i="47"/>
  <c r="S47" i="47" s="1"/>
  <c r="K47" i="47"/>
  <c r="M47" i="47"/>
  <c r="O47" i="47"/>
  <c r="Q47" i="47"/>
  <c r="D48" i="47"/>
  <c r="E48" i="47"/>
  <c r="F48" i="47"/>
  <c r="G48" i="47"/>
  <c r="H48" i="47"/>
  <c r="I48" i="47"/>
  <c r="J48" i="47"/>
  <c r="S48" i="47" s="1"/>
  <c r="K48" i="47"/>
  <c r="M48" i="47"/>
  <c r="O48" i="47"/>
  <c r="Q48" i="47"/>
  <c r="J54" i="47"/>
  <c r="K54" i="47"/>
  <c r="J56" i="47"/>
  <c r="K56" i="47"/>
  <c r="M63" i="47"/>
  <c r="M64" i="47"/>
  <c r="M65" i="47"/>
  <c r="D66" i="47"/>
  <c r="M66" i="47"/>
  <c r="D68" i="47"/>
  <c r="E68" i="47"/>
  <c r="F68" i="47"/>
  <c r="G68" i="47"/>
  <c r="H68" i="47"/>
  <c r="I68" i="47"/>
  <c r="J68" i="47"/>
  <c r="K68" i="47"/>
  <c r="F69" i="47"/>
  <c r="G69" i="47"/>
  <c r="H69" i="47"/>
  <c r="J69" i="47"/>
  <c r="K69" i="47"/>
  <c r="D72" i="47"/>
  <c r="E72" i="47"/>
  <c r="F72" i="47"/>
  <c r="G72" i="47"/>
  <c r="H72" i="47"/>
  <c r="I72" i="47"/>
  <c r="J72" i="47"/>
  <c r="K72" i="47"/>
  <c r="D79" i="47"/>
  <c r="H79" i="47"/>
  <c r="J79" i="47"/>
  <c r="D81" i="47"/>
  <c r="F81" i="47"/>
  <c r="G81" i="47"/>
  <c r="H81" i="47"/>
  <c r="J81" i="47"/>
  <c r="K81" i="47"/>
  <c r="G7" i="61"/>
  <c r="H7" i="61"/>
  <c r="I7" i="61"/>
  <c r="F43" i="61"/>
  <c r="J7" i="61"/>
  <c r="G43" i="61"/>
  <c r="K7" i="61"/>
  <c r="L7" i="61"/>
  <c r="I43" i="61" s="1"/>
  <c r="H15" i="61"/>
  <c r="I15" i="61"/>
  <c r="B46" i="61" s="1"/>
  <c r="D46" i="61" s="1"/>
  <c r="J15" i="61"/>
  <c r="K15" i="61"/>
  <c r="L15" i="61"/>
  <c r="M16" i="61"/>
  <c r="I17" i="61"/>
  <c r="J17" i="61"/>
  <c r="K17" i="61"/>
  <c r="L17" i="61"/>
  <c r="M17" i="61"/>
  <c r="M18" i="61" s="1"/>
  <c r="J23" i="61"/>
  <c r="K23" i="61" s="1"/>
  <c r="L23" i="61" s="1"/>
  <c r="M23" i="61" s="1"/>
  <c r="H24" i="61"/>
  <c r="I24" i="61" s="1"/>
  <c r="J24" i="61" s="1"/>
  <c r="K24" i="61" s="1"/>
  <c r="L24" i="61" s="1"/>
  <c r="M24" i="61" s="1"/>
  <c r="H28" i="61"/>
  <c r="J32" i="61"/>
  <c r="L32" i="61"/>
  <c r="E43" i="61"/>
  <c r="H43" i="61"/>
  <c r="D45" i="61"/>
  <c r="E45" i="61"/>
  <c r="E47" i="61" s="1"/>
  <c r="E49" i="61" s="1"/>
  <c r="F45" i="61"/>
  <c r="G45" i="61"/>
  <c r="H45" i="61"/>
  <c r="V5" i="55"/>
  <c r="O7" i="55"/>
  <c r="P7" i="55"/>
  <c r="Q7" i="55"/>
  <c r="R7" i="55"/>
  <c r="S7" i="55"/>
  <c r="H10" i="55"/>
  <c r="I10" i="55"/>
  <c r="P10" i="55" s="1"/>
  <c r="W10" i="55" s="1"/>
  <c r="AC10" i="55" s="1"/>
  <c r="J10" i="55"/>
  <c r="K10" i="55"/>
  <c r="L10" i="55"/>
  <c r="S10" i="55" s="1"/>
  <c r="Z10" i="55" s="1"/>
  <c r="AF10" i="55" s="1"/>
  <c r="H11" i="55"/>
  <c r="I11" i="55"/>
  <c r="P11" i="55" s="1"/>
  <c r="W11" i="55" s="1"/>
  <c r="AC11" i="55" s="1"/>
  <c r="J11" i="55"/>
  <c r="Q11" i="55" s="1"/>
  <c r="X11" i="55" s="1"/>
  <c r="AD11" i="55" s="1"/>
  <c r="K11" i="55"/>
  <c r="R11" i="55" s="1"/>
  <c r="Y11" i="55" s="1"/>
  <c r="AE11" i="55" s="1"/>
  <c r="L11" i="55"/>
  <c r="S11" i="55" s="1"/>
  <c r="Z11" i="55" s="1"/>
  <c r="AF11" i="55" s="1"/>
  <c r="H12" i="55"/>
  <c r="O12" i="55" s="1"/>
  <c r="V12" i="55" s="1"/>
  <c r="AB12" i="55" s="1"/>
  <c r="I12" i="55"/>
  <c r="P12" i="55" s="1"/>
  <c r="W12" i="55" s="1"/>
  <c r="AC12" i="55" s="1"/>
  <c r="J12" i="55"/>
  <c r="Q12" i="55" s="1"/>
  <c r="X12" i="55" s="1"/>
  <c r="AD12" i="55" s="1"/>
  <c r="K12" i="55"/>
  <c r="R12" i="55"/>
  <c r="Y12" i="55" s="1"/>
  <c r="AE12" i="55" s="1"/>
  <c r="L12" i="55"/>
  <c r="S12" i="55" s="1"/>
  <c r="Z12" i="55" s="1"/>
  <c r="AF12" i="55" s="1"/>
  <c r="H13" i="55"/>
  <c r="O13" i="55" s="1"/>
  <c r="I13" i="55"/>
  <c r="P13" i="55" s="1"/>
  <c r="J13" i="55"/>
  <c r="Q13" i="55" s="1"/>
  <c r="K13" i="55"/>
  <c r="R13" i="55" s="1"/>
  <c r="L13" i="55"/>
  <c r="H16" i="55"/>
  <c r="O16" i="55" s="1"/>
  <c r="V16" i="55" s="1"/>
  <c r="AB16" i="55" s="1"/>
  <c r="I16" i="55"/>
  <c r="P16" i="55" s="1"/>
  <c r="W16" i="55" s="1"/>
  <c r="AC16" i="55" s="1"/>
  <c r="J16" i="55"/>
  <c r="Q16" i="55" s="1"/>
  <c r="X16" i="55" s="1"/>
  <c r="AD16" i="55" s="1"/>
  <c r="K16" i="55"/>
  <c r="R16" i="55" s="1"/>
  <c r="Y16" i="55" s="1"/>
  <c r="AE16" i="55" s="1"/>
  <c r="L16" i="55"/>
  <c r="S16" i="55" s="1"/>
  <c r="Z16" i="55" s="1"/>
  <c r="AF16" i="55" s="1"/>
  <c r="H17" i="55"/>
  <c r="O17" i="55" s="1"/>
  <c r="I17" i="55"/>
  <c r="P17" i="55" s="1"/>
  <c r="J17" i="55"/>
  <c r="Q17" i="55" s="1"/>
  <c r="K17" i="55"/>
  <c r="R17" i="55" s="1"/>
  <c r="Y28" i="55" s="1"/>
  <c r="AE28" i="55" s="1"/>
  <c r="L17" i="55"/>
  <c r="S17" i="55" s="1"/>
  <c r="AB18" i="55"/>
  <c r="AC18" i="55"/>
  <c r="AD18" i="55"/>
  <c r="AE18" i="55"/>
  <c r="AF18" i="55"/>
  <c r="AB19" i="55"/>
  <c r="AC19" i="55"/>
  <c r="AD19" i="55"/>
  <c r="AE19" i="55"/>
  <c r="AF19" i="55"/>
  <c r="H20" i="55"/>
  <c r="H23" i="55" s="1"/>
  <c r="I20" i="55"/>
  <c r="J20" i="55"/>
  <c r="K20" i="55"/>
  <c r="L20" i="55"/>
  <c r="H21" i="55"/>
  <c r="I21" i="55"/>
  <c r="J21" i="55"/>
  <c r="K21" i="55"/>
  <c r="L21" i="55"/>
  <c r="H22" i="55"/>
  <c r="I22" i="55"/>
  <c r="P22" i="55" s="1"/>
  <c r="W22" i="55" s="1"/>
  <c r="AC22" i="55" s="1"/>
  <c r="J22" i="55"/>
  <c r="K22" i="55"/>
  <c r="L22" i="55"/>
  <c r="H25" i="55"/>
  <c r="I25" i="55"/>
  <c r="J25" i="55"/>
  <c r="K25" i="55"/>
  <c r="L25" i="55"/>
  <c r="H29" i="55"/>
  <c r="I29" i="55"/>
  <c r="J29" i="55"/>
  <c r="K29" i="55"/>
  <c r="L29" i="55"/>
  <c r="L33" i="55" s="1"/>
  <c r="S33" i="55" s="1"/>
  <c r="H30" i="55"/>
  <c r="I30" i="55"/>
  <c r="J30" i="55"/>
  <c r="K30" i="55"/>
  <c r="K65" i="55" s="1"/>
  <c r="L30" i="55"/>
  <c r="H31" i="55"/>
  <c r="I31" i="55"/>
  <c r="P31" i="55" s="1"/>
  <c r="W31" i="55" s="1"/>
  <c r="AC31" i="55" s="1"/>
  <c r="I38" i="55"/>
  <c r="P38" i="55" s="1"/>
  <c r="W38" i="55" s="1"/>
  <c r="AC38" i="55" s="1"/>
  <c r="I39" i="55"/>
  <c r="J31" i="55"/>
  <c r="K31" i="55"/>
  <c r="L31" i="55"/>
  <c r="H32" i="55"/>
  <c r="I32" i="55"/>
  <c r="P32" i="55" s="1"/>
  <c r="J32" i="55"/>
  <c r="K32" i="55"/>
  <c r="L32" i="55"/>
  <c r="H38" i="55"/>
  <c r="H39" i="55"/>
  <c r="H58" i="55" s="1"/>
  <c r="H40" i="55"/>
  <c r="H41" i="55"/>
  <c r="H42" i="55"/>
  <c r="H16" i="61" s="1"/>
  <c r="J38" i="55"/>
  <c r="K38" i="55"/>
  <c r="R38" i="55" s="1"/>
  <c r="Y38" i="55" s="1"/>
  <c r="AE38" i="55" s="1"/>
  <c r="L38" i="55"/>
  <c r="J39" i="55"/>
  <c r="K39" i="55"/>
  <c r="L39" i="55"/>
  <c r="I40" i="55"/>
  <c r="J40" i="55"/>
  <c r="K40" i="55"/>
  <c r="L40" i="55"/>
  <c r="I41" i="55"/>
  <c r="J41" i="55"/>
  <c r="K41" i="55"/>
  <c r="L41" i="55"/>
  <c r="I42" i="55"/>
  <c r="J42" i="55"/>
  <c r="J16" i="61" s="1"/>
  <c r="K42" i="55"/>
  <c r="L42" i="55"/>
  <c r="L16" i="61" s="1"/>
  <c r="H47" i="55"/>
  <c r="I47" i="55"/>
  <c r="P47" i="55" s="1"/>
  <c r="W47" i="55" s="1"/>
  <c r="AC47" i="55" s="1"/>
  <c r="J47" i="55"/>
  <c r="K47" i="55"/>
  <c r="L47" i="55"/>
  <c r="C62" i="55"/>
  <c r="C63" i="55"/>
  <c r="O43" i="60"/>
  <c r="B2" i="17"/>
  <c r="B2" i="60" s="1"/>
  <c r="B7" i="17"/>
  <c r="E8" i="17"/>
  <c r="P8" i="17"/>
  <c r="C8" i="17" s="1"/>
  <c r="B3" i="60" s="1"/>
  <c r="B10" i="17"/>
  <c r="B11" i="17"/>
  <c r="P11" i="17"/>
  <c r="C11" i="17" s="1"/>
  <c r="B12" i="17"/>
  <c r="P12" i="17"/>
  <c r="P13" i="17" s="1"/>
  <c r="Q12" i="17"/>
  <c r="Q13" i="17"/>
  <c r="Q14" i="17"/>
  <c r="B13" i="17"/>
  <c r="A3" i="25" s="1"/>
  <c r="L2" i="25" s="1"/>
  <c r="B14" i="17"/>
  <c r="B16" i="17"/>
  <c r="B17" i="17"/>
  <c r="A3" i="61"/>
  <c r="E17" i="17"/>
  <c r="P17" i="17"/>
  <c r="C17" i="17" s="1"/>
  <c r="B3" i="55" s="1"/>
  <c r="E18" i="17"/>
  <c r="Q18" i="17"/>
  <c r="Q19" i="17" s="1"/>
  <c r="E19" i="17"/>
  <c r="B3" i="253"/>
  <c r="B21" i="17"/>
  <c r="B22" i="17"/>
  <c r="A3" i="47"/>
  <c r="E22" i="17"/>
  <c r="P22" i="17"/>
  <c r="C22" i="17" s="1"/>
  <c r="B3" i="48" s="1"/>
  <c r="B23" i="17"/>
  <c r="E23" i="17"/>
  <c r="Q23" i="17"/>
  <c r="Q24" i="17"/>
  <c r="B24" i="17"/>
  <c r="E24" i="17"/>
  <c r="B26" i="17"/>
  <c r="B27" i="17"/>
  <c r="P27" i="17"/>
  <c r="C27" i="17" s="1"/>
  <c r="C3" i="51" s="1"/>
  <c r="E27" i="17"/>
  <c r="B28" i="17"/>
  <c r="Q28" i="17"/>
  <c r="Q29" i="17" s="1"/>
  <c r="E28" i="17"/>
  <c r="B29" i="17"/>
  <c r="E29" i="17"/>
  <c r="C40" i="17"/>
  <c r="E40" i="17"/>
  <c r="E41" i="17"/>
  <c r="P41" i="17"/>
  <c r="C41" i="17"/>
  <c r="B3" i="107" s="1"/>
  <c r="E42" i="17"/>
  <c r="P42" i="17"/>
  <c r="C42" i="17"/>
  <c r="B3" i="126" s="1"/>
  <c r="E43" i="17"/>
  <c r="E44" i="17"/>
  <c r="D11" i="16"/>
  <c r="D20" i="16"/>
  <c r="I45" i="61"/>
  <c r="I81" i="47"/>
  <c r="C12" i="17"/>
  <c r="S24" i="47"/>
  <c r="AD20" i="47"/>
  <c r="AD21" i="47" s="1"/>
  <c r="P24" i="47"/>
  <c r="AA20" i="47" s="1"/>
  <c r="AA21" i="47" s="1"/>
  <c r="T24" i="47"/>
  <c r="T15" i="51"/>
  <c r="T18" i="51"/>
  <c r="T22" i="51"/>
  <c r="T17" i="51"/>
  <c r="T16" i="51"/>
  <c r="T23" i="51"/>
  <c r="V13" i="107"/>
  <c r="N18" i="50"/>
  <c r="R24" i="47"/>
  <c r="AC20" i="47"/>
  <c r="N24" i="47"/>
  <c r="H31" i="126"/>
  <c r="W11" i="51"/>
  <c r="AW31" i="126"/>
  <c r="V31" i="126"/>
  <c r="P20" i="55"/>
  <c r="W20" i="55" s="1"/>
  <c r="AC20" i="55" s="1"/>
  <c r="L65" i="55"/>
  <c r="O11" i="55"/>
  <c r="V11" i="55" s="1"/>
  <c r="AB11" i="55" s="1"/>
  <c r="W24" i="55"/>
  <c r="AC24" i="55"/>
  <c r="W27" i="55"/>
  <c r="AC27" i="55" s="1"/>
  <c r="W34" i="55"/>
  <c r="AC34" i="55" s="1"/>
  <c r="W44" i="55"/>
  <c r="AC44" i="55" s="1"/>
  <c r="W46" i="55"/>
  <c r="AC46" i="55" s="1"/>
  <c r="W48" i="55"/>
  <c r="AC48" i="55" s="1"/>
  <c r="W17" i="55"/>
  <c r="AC17" i="55"/>
  <c r="W28" i="55"/>
  <c r="AC28" i="55" s="1"/>
  <c r="W36" i="55"/>
  <c r="AC36" i="55" s="1"/>
  <c r="W37" i="55"/>
  <c r="AC37" i="55" s="1"/>
  <c r="P29" i="55"/>
  <c r="W29" i="55" s="1"/>
  <c r="AC29" i="55" s="1"/>
  <c r="P42" i="55"/>
  <c r="W42" i="55" s="1"/>
  <c r="AC42" i="55" s="1"/>
  <c r="P39" i="55"/>
  <c r="W32" i="55"/>
  <c r="AC32" i="55" s="1"/>
  <c r="P43" i="17"/>
  <c r="I16" i="61"/>
  <c r="B3" i="50"/>
  <c r="B3" i="110"/>
  <c r="D34" i="77" s="1"/>
  <c r="P18" i="17"/>
  <c r="B2" i="25"/>
  <c r="B2" i="157"/>
  <c r="B2" i="253"/>
  <c r="B2" i="179"/>
  <c r="B2" i="126"/>
  <c r="B2" i="50"/>
  <c r="B2" i="107"/>
  <c r="B2" i="53"/>
  <c r="B2" i="110"/>
  <c r="C2" i="51"/>
  <c r="B2" i="77"/>
  <c r="B2" i="76"/>
  <c r="B2" i="63"/>
  <c r="B2" i="48"/>
  <c r="B2" i="47"/>
  <c r="B2" i="61"/>
  <c r="B2" i="55"/>
  <c r="AC23" i="47"/>
  <c r="AC24" i="47" s="1"/>
  <c r="AC21" i="47"/>
  <c r="I23" i="55"/>
  <c r="P23" i="55" s="1"/>
  <c r="W23" i="55" s="1"/>
  <c r="AC23" i="55" s="1"/>
  <c r="R48" i="47"/>
  <c r="N48" i="47"/>
  <c r="R47" i="47"/>
  <c r="N47" i="47"/>
  <c r="R42" i="47"/>
  <c r="N42" i="47"/>
  <c r="R41" i="47"/>
  <c r="N41" i="47"/>
  <c r="R40" i="47"/>
  <c r="N40" i="47"/>
  <c r="R39" i="47"/>
  <c r="N39" i="47"/>
  <c r="R38" i="47"/>
  <c r="N38" i="47"/>
  <c r="R37" i="47"/>
  <c r="N37" i="47"/>
  <c r="R36" i="47"/>
  <c r="N36" i="47"/>
  <c r="R35" i="47"/>
  <c r="N35" i="47"/>
  <c r="AV31" i="179"/>
  <c r="T48" i="47"/>
  <c r="P48" i="47"/>
  <c r="T47" i="47"/>
  <c r="P47" i="47"/>
  <c r="T42" i="47"/>
  <c r="P42" i="47"/>
  <c r="T41" i="47"/>
  <c r="P41" i="47"/>
  <c r="T40" i="47"/>
  <c r="P40" i="47"/>
  <c r="T39" i="47"/>
  <c r="P39" i="47"/>
  <c r="T38" i="47"/>
  <c r="P38" i="47"/>
  <c r="T37" i="47"/>
  <c r="P37" i="47"/>
  <c r="T36" i="47"/>
  <c r="P36" i="47"/>
  <c r="T35" i="47"/>
  <c r="P35" i="47"/>
  <c r="G31" i="179"/>
  <c r="AU31" i="179" s="1"/>
  <c r="I23" i="76"/>
  <c r="L58" i="50"/>
  <c r="J21" i="77"/>
  <c r="J29" i="77"/>
  <c r="I29" i="76"/>
  <c r="P19" i="17"/>
  <c r="C19" i="17"/>
  <c r="B3" i="47"/>
  <c r="C18" i="17"/>
  <c r="B3" i="61" s="1"/>
  <c r="C43" i="17"/>
  <c r="B3" i="179"/>
  <c r="P44" i="17"/>
  <c r="C44" i="17" s="1"/>
  <c r="B3" i="157" s="1"/>
  <c r="C39" i="253"/>
  <c r="C42" i="253"/>
  <c r="Z36" i="55" l="1"/>
  <c r="AF36" i="55" s="1"/>
  <c r="S30" i="55"/>
  <c r="Z30" i="55" s="1"/>
  <c r="AF30" i="55" s="1"/>
  <c r="Z24" i="55"/>
  <c r="AF24" i="55" s="1"/>
  <c r="S42" i="55"/>
  <c r="Z42" i="55" s="1"/>
  <c r="AF42" i="55" s="1"/>
  <c r="S22" i="55"/>
  <c r="Z22" i="55" s="1"/>
  <c r="AF22" i="55" s="1"/>
  <c r="Z44" i="55"/>
  <c r="AF44" i="55" s="1"/>
  <c r="Z28" i="55"/>
  <c r="AF28" i="55" s="1"/>
  <c r="Z46" i="55"/>
  <c r="AF46" i="55" s="1"/>
  <c r="S20" i="55"/>
  <c r="Z20" i="55" s="1"/>
  <c r="AF20" i="55" s="1"/>
  <c r="Z17" i="55"/>
  <c r="AF17" i="55" s="1"/>
  <c r="Z27" i="55"/>
  <c r="AF27" i="55" s="1"/>
  <c r="S39" i="55"/>
  <c r="Z39" i="55" s="1"/>
  <c r="AF39" i="55" s="1"/>
  <c r="S31" i="55"/>
  <c r="Z31" i="55" s="1"/>
  <c r="AF31" i="55" s="1"/>
  <c r="Z33" i="55"/>
  <c r="AF33" i="55" s="1"/>
  <c r="S40" i="55"/>
  <c r="Z40" i="55" s="1"/>
  <c r="AF40" i="55" s="1"/>
  <c r="S29" i="55"/>
  <c r="Z29" i="55" s="1"/>
  <c r="AF29" i="55" s="1"/>
  <c r="K33" i="55"/>
  <c r="R33" i="55" s="1"/>
  <c r="Y33" i="55" s="1"/>
  <c r="AE33" i="55" s="1"/>
  <c r="S25" i="55"/>
  <c r="Z25" i="55" s="1"/>
  <c r="AF25" i="55" s="1"/>
  <c r="I26" i="55"/>
  <c r="I10" i="61" s="1"/>
  <c r="S47" i="55"/>
  <c r="Z47" i="55" s="1"/>
  <c r="AF47" i="55" s="1"/>
  <c r="H33" i="55"/>
  <c r="M15" i="51"/>
  <c r="U18" i="157"/>
  <c r="D20" i="53"/>
  <c r="O11" i="107"/>
  <c r="AV14" i="179"/>
  <c r="Q39" i="48"/>
  <c r="Q38" i="48"/>
  <c r="Q21" i="48"/>
  <c r="Q20" i="48"/>
  <c r="M13" i="51"/>
  <c r="S13" i="51" s="1"/>
  <c r="C16" i="50"/>
  <c r="M12" i="51"/>
  <c r="S12" i="51" s="1"/>
  <c r="O21" i="48"/>
  <c r="O20" i="48"/>
  <c r="O38" i="48"/>
  <c r="L14" i="50"/>
  <c r="H13" i="48"/>
  <c r="I13" i="48" s="1"/>
  <c r="W14" i="50" s="1"/>
  <c r="M17" i="48"/>
  <c r="M16" i="48"/>
  <c r="M37" i="48"/>
  <c r="M18" i="48"/>
  <c r="M19" i="48"/>
  <c r="C13" i="53"/>
  <c r="M24" i="51"/>
  <c r="S24" i="51" s="1"/>
  <c r="O41" i="48"/>
  <c r="B21" i="53"/>
  <c r="N12" i="51"/>
  <c r="T12" i="51" s="1"/>
  <c r="M11" i="51"/>
  <c r="S11" i="51" s="1"/>
  <c r="N16" i="51"/>
  <c r="P41" i="48"/>
  <c r="C9" i="53"/>
  <c r="C19" i="53"/>
  <c r="M22" i="51"/>
  <c r="AA22" i="51" s="1"/>
  <c r="L17" i="48"/>
  <c r="L16" i="48"/>
  <c r="L37" i="48"/>
  <c r="L18" i="48"/>
  <c r="L19" i="48"/>
  <c r="U13" i="157"/>
  <c r="D11" i="53"/>
  <c r="F17" i="48"/>
  <c r="F16" i="48"/>
  <c r="F18" i="48"/>
  <c r="F19" i="48"/>
  <c r="C10" i="50"/>
  <c r="B12" i="157"/>
  <c r="B10" i="53"/>
  <c r="B17" i="157"/>
  <c r="B19" i="53"/>
  <c r="P21" i="48"/>
  <c r="P20" i="48"/>
  <c r="P38" i="48"/>
  <c r="B14" i="157"/>
  <c r="B12" i="53"/>
  <c r="P24" i="107"/>
  <c r="R24" i="107" s="1"/>
  <c r="Q18" i="179"/>
  <c r="Q16" i="179"/>
  <c r="Q21" i="179"/>
  <c r="Q17" i="179"/>
  <c r="Q19" i="179"/>
  <c r="Q20" i="179"/>
  <c r="C17" i="53"/>
  <c r="C21" i="53"/>
  <c r="U19" i="157"/>
  <c r="D23" i="53"/>
  <c r="N24" i="51"/>
  <c r="T24" i="51" s="1"/>
  <c r="P39" i="48"/>
  <c r="B10" i="157"/>
  <c r="B8" i="53"/>
  <c r="N13" i="51"/>
  <c r="T13" i="51" s="1"/>
  <c r="N17" i="51"/>
  <c r="N21" i="51"/>
  <c r="T21" i="51" s="1"/>
  <c r="Q17" i="48"/>
  <c r="Q16" i="48"/>
  <c r="Q37" i="48"/>
  <c r="Q18" i="48"/>
  <c r="Q19" i="48"/>
  <c r="AE13" i="48"/>
  <c r="L10" i="51"/>
  <c r="R10" i="51" s="1"/>
  <c r="B18" i="157"/>
  <c r="B20" i="53"/>
  <c r="C12" i="53"/>
  <c r="M18" i="51"/>
  <c r="L24" i="51"/>
  <c r="R24" i="51" s="1"/>
  <c r="I15" i="107"/>
  <c r="U17" i="157"/>
  <c r="D19" i="53"/>
  <c r="Q41" i="48"/>
  <c r="P16" i="48"/>
  <c r="P37" i="48"/>
  <c r="P18" i="48"/>
  <c r="P19" i="48"/>
  <c r="P17" i="48"/>
  <c r="H10" i="48"/>
  <c r="C10" i="53"/>
  <c r="L18" i="51"/>
  <c r="Z18" i="51" s="1"/>
  <c r="C22" i="53"/>
  <c r="AX16" i="48"/>
  <c r="AX17" i="48"/>
  <c r="AX18" i="48"/>
  <c r="AX19" i="48"/>
  <c r="C11" i="53"/>
  <c r="D14" i="53"/>
  <c r="N62" i="50"/>
  <c r="N65" i="50" s="1"/>
  <c r="I56" i="50" s="1"/>
  <c r="N56" i="50" s="1"/>
  <c r="O17" i="107"/>
  <c r="F20" i="48"/>
  <c r="F21" i="48"/>
  <c r="C12" i="50"/>
  <c r="B23" i="48"/>
  <c r="M39" i="48"/>
  <c r="L17" i="51"/>
  <c r="Z17" i="51" s="1"/>
  <c r="L13" i="51"/>
  <c r="R13" i="51" s="1"/>
  <c r="M12" i="50"/>
  <c r="E25" i="48"/>
  <c r="E27" i="48"/>
  <c r="E24" i="48"/>
  <c r="E26" i="48"/>
  <c r="L21" i="51"/>
  <c r="R21" i="51" s="1"/>
  <c r="O40" i="48"/>
  <c r="AI13" i="48"/>
  <c r="U11" i="157"/>
  <c r="D9" i="53"/>
  <c r="U14" i="157"/>
  <c r="D12" i="53"/>
  <c r="B15" i="53"/>
  <c r="J18" i="50"/>
  <c r="L39" i="48"/>
  <c r="L41" i="48"/>
  <c r="L11" i="51"/>
  <c r="R11" i="51" s="1"/>
  <c r="L15" i="51"/>
  <c r="Z15" i="51" s="1"/>
  <c r="N18" i="51"/>
  <c r="N22" i="51"/>
  <c r="L12" i="51"/>
  <c r="R12" i="51" s="1"/>
  <c r="N15" i="51"/>
  <c r="Q24" i="179"/>
  <c r="Q27" i="179"/>
  <c r="Q25" i="179"/>
  <c r="Q26" i="179"/>
  <c r="Q28" i="179"/>
  <c r="Q29" i="179"/>
  <c r="I33" i="50"/>
  <c r="Q33" i="50" s="1"/>
  <c r="B16" i="157"/>
  <c r="B18" i="53"/>
  <c r="K16" i="48"/>
  <c r="K18" i="48"/>
  <c r="K19" i="48"/>
  <c r="K17" i="48"/>
  <c r="L10" i="50"/>
  <c r="H11" i="48"/>
  <c r="M10" i="51"/>
  <c r="S10" i="51" s="1"/>
  <c r="M19" i="51"/>
  <c r="S19" i="51" s="1"/>
  <c r="E17" i="48"/>
  <c r="E16" i="48"/>
  <c r="E18" i="48"/>
  <c r="E19" i="48"/>
  <c r="L12" i="50"/>
  <c r="P12" i="50" s="1"/>
  <c r="R12" i="50" s="1"/>
  <c r="S12" i="50" s="1"/>
  <c r="H12" i="48"/>
  <c r="Q40" i="48"/>
  <c r="AK13" i="48"/>
  <c r="M9" i="51"/>
  <c r="I26" i="51"/>
  <c r="I27" i="51"/>
  <c r="I28" i="51"/>
  <c r="I31" i="51"/>
  <c r="I30" i="51"/>
  <c r="I29" i="51"/>
  <c r="B13" i="157"/>
  <c r="B11" i="53"/>
  <c r="L14" i="51"/>
  <c r="R14" i="51" s="1"/>
  <c r="M16" i="51"/>
  <c r="C18" i="53"/>
  <c r="O18" i="48"/>
  <c r="O19" i="48"/>
  <c r="O17" i="48"/>
  <c r="O16" i="48"/>
  <c r="O37" i="48"/>
  <c r="M40" i="48"/>
  <c r="AG13" i="48"/>
  <c r="L9" i="51"/>
  <c r="H26" i="51"/>
  <c r="H27" i="51"/>
  <c r="H28" i="51"/>
  <c r="H31" i="51"/>
  <c r="H30" i="51"/>
  <c r="H29" i="51"/>
  <c r="P26" i="51"/>
  <c r="P31" i="51"/>
  <c r="P30" i="51"/>
  <c r="P27" i="51"/>
  <c r="P29" i="51"/>
  <c r="P28" i="51"/>
  <c r="D13" i="53"/>
  <c r="U15" i="157"/>
  <c r="M17" i="51"/>
  <c r="M16" i="50"/>
  <c r="N10" i="51"/>
  <c r="T10" i="51" s="1"/>
  <c r="C16" i="53"/>
  <c r="L20" i="51"/>
  <c r="R20" i="51" s="1"/>
  <c r="D22" i="53"/>
  <c r="I25" i="107"/>
  <c r="H18" i="110"/>
  <c r="H21" i="110" s="1"/>
  <c r="D9" i="110" s="1"/>
  <c r="H9" i="110" s="1"/>
  <c r="U10" i="157"/>
  <c r="D8" i="53"/>
  <c r="M23" i="51"/>
  <c r="J29" i="51"/>
  <c r="J28" i="51"/>
  <c r="J31" i="51"/>
  <c r="N9" i="51"/>
  <c r="J26" i="51"/>
  <c r="J27" i="51"/>
  <c r="J30" i="51"/>
  <c r="U12" i="157"/>
  <c r="D10" i="53"/>
  <c r="M10" i="50"/>
  <c r="E21" i="48"/>
  <c r="E20" i="48"/>
  <c r="B14" i="53"/>
  <c r="M14" i="50"/>
  <c r="N14" i="50" s="1"/>
  <c r="N20" i="51"/>
  <c r="T20" i="51" s="1"/>
  <c r="F25" i="48"/>
  <c r="F27" i="48"/>
  <c r="F24" i="48"/>
  <c r="F26" i="48"/>
  <c r="L21" i="48"/>
  <c r="L38" i="48"/>
  <c r="L20" i="48"/>
  <c r="K21" i="48"/>
  <c r="K20" i="48"/>
  <c r="D15" i="53"/>
  <c r="B22" i="53"/>
  <c r="AV17" i="48"/>
  <c r="AV18" i="48"/>
  <c r="AV19" i="48"/>
  <c r="AV16" i="48"/>
  <c r="C14" i="50"/>
  <c r="M41" i="48"/>
  <c r="B11" i="157"/>
  <c r="B9" i="53"/>
  <c r="C14" i="53"/>
  <c r="D16" i="53"/>
  <c r="M20" i="51"/>
  <c r="S20" i="51" s="1"/>
  <c r="L22" i="51"/>
  <c r="Z22" i="51" s="1"/>
  <c r="B19" i="157"/>
  <c r="B23" i="53"/>
  <c r="M20" i="48"/>
  <c r="M21" i="48"/>
  <c r="M38" i="48"/>
  <c r="O39" i="48"/>
  <c r="AJ13" i="48"/>
  <c r="P40" i="48"/>
  <c r="C8" i="53"/>
  <c r="N14" i="51"/>
  <c r="T14" i="51" s="1"/>
  <c r="B16" i="53"/>
  <c r="L19" i="51"/>
  <c r="R19" i="51" s="1"/>
  <c r="D21" i="53"/>
  <c r="C23" i="53"/>
  <c r="AF13" i="48"/>
  <c r="L40" i="48"/>
  <c r="N11" i="51"/>
  <c r="T11" i="51" s="1"/>
  <c r="B15" i="157"/>
  <c r="B13" i="53"/>
  <c r="U16" i="157"/>
  <c r="D18" i="53"/>
  <c r="C20" i="53"/>
  <c r="N23" i="51"/>
  <c r="C15" i="53"/>
  <c r="D17" i="53"/>
  <c r="M21" i="51"/>
  <c r="S21" i="51" s="1"/>
  <c r="L23" i="51"/>
  <c r="V23" i="51" s="1"/>
  <c r="J12" i="50"/>
  <c r="L16" i="50"/>
  <c r="P16" i="50" s="1"/>
  <c r="R16" i="50" s="1"/>
  <c r="S16" i="50" s="1"/>
  <c r="H14" i="48"/>
  <c r="I14" i="48" s="1"/>
  <c r="W16" i="50" s="1"/>
  <c r="F30" i="51"/>
  <c r="F29" i="51"/>
  <c r="F26" i="51"/>
  <c r="F27" i="51"/>
  <c r="F28" i="51"/>
  <c r="F31" i="51"/>
  <c r="M14" i="51"/>
  <c r="S14" i="51" s="1"/>
  <c r="L16" i="51"/>
  <c r="Z16" i="51" s="1"/>
  <c r="B17" i="53"/>
  <c r="N19" i="51"/>
  <c r="T19" i="51" s="1"/>
  <c r="I23" i="50"/>
  <c r="I21" i="50"/>
  <c r="I26" i="50"/>
  <c r="I22" i="50"/>
  <c r="I25" i="50"/>
  <c r="H30" i="110"/>
  <c r="P11" i="107"/>
  <c r="I19" i="107"/>
  <c r="O21" i="107"/>
  <c r="P28" i="107"/>
  <c r="R28" i="107" s="1"/>
  <c r="I22" i="107"/>
  <c r="L32" i="107"/>
  <c r="L36" i="107"/>
  <c r="L33" i="107"/>
  <c r="L37" i="107"/>
  <c r="L34" i="107"/>
  <c r="O10" i="107"/>
  <c r="L35" i="107"/>
  <c r="P18" i="107"/>
  <c r="R18" i="107" s="1"/>
  <c r="O27" i="107"/>
  <c r="M34" i="107"/>
  <c r="M35" i="107"/>
  <c r="M32" i="107"/>
  <c r="M36" i="107"/>
  <c r="M33" i="107"/>
  <c r="M37" i="107"/>
  <c r="O13" i="107"/>
  <c r="N33" i="107"/>
  <c r="N37" i="107"/>
  <c r="N34" i="107"/>
  <c r="N35" i="107"/>
  <c r="N36" i="107"/>
  <c r="N32" i="107"/>
  <c r="O12" i="107"/>
  <c r="P16" i="107"/>
  <c r="R16" i="107" s="1"/>
  <c r="I23" i="107"/>
  <c r="O25" i="107"/>
  <c r="O29" i="107"/>
  <c r="P15" i="107"/>
  <c r="R15" i="107" s="1"/>
  <c r="O24" i="107"/>
  <c r="O18" i="107"/>
  <c r="G24" i="126"/>
  <c r="G28" i="126"/>
  <c r="G25" i="126"/>
  <c r="G26" i="126"/>
  <c r="G29" i="126"/>
  <c r="G27" i="126"/>
  <c r="H32" i="107"/>
  <c r="H36" i="107"/>
  <c r="H33" i="107"/>
  <c r="H37" i="107"/>
  <c r="H34" i="107"/>
  <c r="H35" i="107"/>
  <c r="P20" i="107"/>
  <c r="R20" i="107" s="1"/>
  <c r="I27" i="107"/>
  <c r="B23" i="179"/>
  <c r="P19" i="107"/>
  <c r="R19" i="107" s="1"/>
  <c r="I26" i="107"/>
  <c r="O28" i="107"/>
  <c r="I26" i="179"/>
  <c r="I27" i="179"/>
  <c r="I24" i="179"/>
  <c r="I25" i="179"/>
  <c r="I29" i="179"/>
  <c r="I28" i="179"/>
  <c r="O15" i="107"/>
  <c r="P22" i="107"/>
  <c r="R22" i="107" s="1"/>
  <c r="I29" i="107"/>
  <c r="I16" i="107"/>
  <c r="P25" i="107"/>
  <c r="R25" i="107" s="1"/>
  <c r="I17" i="179"/>
  <c r="I20" i="179"/>
  <c r="I19" i="179"/>
  <c r="I18" i="179"/>
  <c r="I16" i="179"/>
  <c r="I21" i="179"/>
  <c r="P21" i="107"/>
  <c r="R21" i="107" s="1"/>
  <c r="I28" i="107"/>
  <c r="P17" i="107"/>
  <c r="R17" i="107" s="1"/>
  <c r="O26" i="107"/>
  <c r="Q35" i="107"/>
  <c r="Q32" i="107"/>
  <c r="Q36" i="107"/>
  <c r="Q33" i="107"/>
  <c r="Q37" i="107"/>
  <c r="Q34" i="107"/>
  <c r="P14" i="107"/>
  <c r="O16" i="107"/>
  <c r="P23" i="107"/>
  <c r="R23" i="107" s="1"/>
  <c r="P13" i="107"/>
  <c r="I17" i="107"/>
  <c r="O19" i="107"/>
  <c r="P26" i="107"/>
  <c r="R26" i="107" s="1"/>
  <c r="I24" i="107"/>
  <c r="P29" i="107"/>
  <c r="R29" i="107" s="1"/>
  <c r="O22" i="107"/>
  <c r="G20" i="126"/>
  <c r="G17" i="126"/>
  <c r="G16" i="126"/>
  <c r="G19" i="126"/>
  <c r="G18" i="126"/>
  <c r="G21" i="126"/>
  <c r="K32" i="107"/>
  <c r="K36" i="107"/>
  <c r="K33" i="107"/>
  <c r="K37" i="107"/>
  <c r="P10" i="107"/>
  <c r="K34" i="107"/>
  <c r="K35" i="107"/>
  <c r="I18" i="107"/>
  <c r="O20" i="107"/>
  <c r="P27" i="107"/>
  <c r="R27" i="107" s="1"/>
  <c r="O14" i="107"/>
  <c r="I21" i="107"/>
  <c r="O23" i="107"/>
  <c r="B23" i="126"/>
  <c r="P12" i="107"/>
  <c r="I20" i="107"/>
  <c r="V48" i="55"/>
  <c r="AB48" i="55" s="1"/>
  <c r="O42" i="55"/>
  <c r="V42" i="55" s="1"/>
  <c r="AB42" i="55" s="1"/>
  <c r="V27" i="51"/>
  <c r="AB13" i="51"/>
  <c r="AB19" i="51"/>
  <c r="AB18" i="51"/>
  <c r="AB23" i="51"/>
  <c r="AB16" i="51"/>
  <c r="AB10" i="51"/>
  <c r="AB24" i="51"/>
  <c r="AB9" i="51"/>
  <c r="AB20" i="51"/>
  <c r="AB12" i="51"/>
  <c r="AB17" i="51"/>
  <c r="AB22" i="51"/>
  <c r="AB11" i="51"/>
  <c r="AB15" i="51"/>
  <c r="AB14" i="51"/>
  <c r="AB21" i="51"/>
  <c r="P14" i="17"/>
  <c r="C14" i="17" s="1"/>
  <c r="C13" i="17"/>
  <c r="B3" i="25" s="1"/>
  <c r="P28" i="17"/>
  <c r="I33" i="55"/>
  <c r="J18" i="61"/>
  <c r="V29" i="51"/>
  <c r="W24" i="51"/>
  <c r="AA18" i="51"/>
  <c r="W16" i="51"/>
  <c r="AA13" i="51"/>
  <c r="P23" i="17"/>
  <c r="I43" i="55"/>
  <c r="L58" i="55"/>
  <c r="V30" i="51"/>
  <c r="W21" i="51"/>
  <c r="AA17" i="51"/>
  <c r="AA10" i="51"/>
  <c r="AA16" i="51"/>
  <c r="AA12" i="51"/>
  <c r="AA19" i="51"/>
  <c r="AA20" i="51"/>
  <c r="AA21" i="51"/>
  <c r="AA23" i="51"/>
  <c r="AA9" i="51"/>
  <c r="AA11" i="51"/>
  <c r="AA15" i="51"/>
  <c r="O44" i="60"/>
  <c r="X8" i="51"/>
  <c r="W10" i="51"/>
  <c r="W13" i="51"/>
  <c r="W17" i="51"/>
  <c r="W20" i="51"/>
  <c r="W9" i="51"/>
  <c r="W22" i="51"/>
  <c r="W23" i="51"/>
  <c r="W14" i="51"/>
  <c r="W19" i="51"/>
  <c r="V10" i="107"/>
  <c r="V14" i="107"/>
  <c r="O8" i="179"/>
  <c r="F8" i="179"/>
  <c r="L18" i="25"/>
  <c r="H18" i="25"/>
  <c r="H19" i="25" s="1"/>
  <c r="K18" i="25"/>
  <c r="I18" i="25"/>
  <c r="G18" i="25"/>
  <c r="G19" i="25" s="1"/>
  <c r="I23" i="25" s="1"/>
  <c r="J18" i="25"/>
  <c r="J19" i="25" s="1"/>
  <c r="T8" i="126"/>
  <c r="E8" i="126"/>
  <c r="F43" i="47"/>
  <c r="O43" i="47" s="1"/>
  <c r="I19" i="25"/>
  <c r="AJ31" i="126"/>
  <c r="P8" i="179"/>
  <c r="G43" i="47"/>
  <c r="P43" i="47" s="1"/>
  <c r="U8" i="126"/>
  <c r="L8" i="25"/>
  <c r="L10" i="25" s="1"/>
  <c r="L13" i="25" s="1"/>
  <c r="E23" i="25" s="1"/>
  <c r="E24" i="25" s="1"/>
  <c r="E25" i="25" s="1"/>
  <c r="I24" i="25" s="1"/>
  <c r="K10" i="25"/>
  <c r="K13" i="25" s="1"/>
  <c r="J43" i="47"/>
  <c r="S43" i="47" s="1"/>
  <c r="K45" i="47"/>
  <c r="H43" i="47"/>
  <c r="Q43" i="47" s="1"/>
  <c r="D43" i="47"/>
  <c r="M43" i="47" s="1"/>
  <c r="F11" i="253"/>
  <c r="I43" i="47"/>
  <c r="R43" i="47" s="1"/>
  <c r="E43" i="47"/>
  <c r="N43" i="47" s="1"/>
  <c r="K16" i="47"/>
  <c r="T16" i="47" s="1"/>
  <c r="J25" i="47"/>
  <c r="I25" i="47"/>
  <c r="H25" i="47"/>
  <c r="G25" i="47"/>
  <c r="F25" i="47"/>
  <c r="E25" i="47"/>
  <c r="D25" i="47"/>
  <c r="K43" i="47"/>
  <c r="J16" i="47"/>
  <c r="S16" i="47" s="1"/>
  <c r="I16" i="47"/>
  <c r="R16" i="47" s="1"/>
  <c r="H16" i="47"/>
  <c r="Q16" i="47" s="1"/>
  <c r="G16" i="47"/>
  <c r="P16" i="47" s="1"/>
  <c r="F16" i="47"/>
  <c r="O16" i="47" s="1"/>
  <c r="E16" i="47"/>
  <c r="N16" i="47" s="1"/>
  <c r="D16" i="47"/>
  <c r="M16" i="47" s="1"/>
  <c r="G46" i="61"/>
  <c r="G47" i="61" s="1"/>
  <c r="G49" i="61" s="1"/>
  <c r="I46" i="61"/>
  <c r="I47" i="61" s="1"/>
  <c r="I49" i="61" s="1"/>
  <c r="H46" i="61"/>
  <c r="H47" i="61" s="1"/>
  <c r="H49" i="61" s="1"/>
  <c r="F46" i="61"/>
  <c r="F47" i="61" s="1"/>
  <c r="F49" i="61" s="1"/>
  <c r="Q47" i="55"/>
  <c r="X47" i="55" s="1"/>
  <c r="AD47" i="55" s="1"/>
  <c r="Q21" i="55"/>
  <c r="X21" i="55" s="1"/>
  <c r="AD21" i="55" s="1"/>
  <c r="P30" i="55"/>
  <c r="P58" i="55" s="1"/>
  <c r="P40" i="55"/>
  <c r="W40" i="55" s="1"/>
  <c r="AC40" i="55" s="1"/>
  <c r="H65" i="55"/>
  <c r="J23" i="55"/>
  <c r="Q23" i="55" s="1"/>
  <c r="O33" i="55"/>
  <c r="V33" i="55" s="1"/>
  <c r="AB33" i="55" s="1"/>
  <c r="K43" i="55"/>
  <c r="R39" i="55"/>
  <c r="Y39" i="55" s="1"/>
  <c r="AE39" i="55" s="1"/>
  <c r="Q25" i="55"/>
  <c r="X25" i="55" s="1"/>
  <c r="AD25" i="55" s="1"/>
  <c r="Q29" i="55"/>
  <c r="X29" i="55" s="1"/>
  <c r="AD29" i="55" s="1"/>
  <c r="I18" i="61"/>
  <c r="H18" i="61"/>
  <c r="R20" i="55"/>
  <c r="Y20" i="55" s="1"/>
  <c r="AE20" i="55" s="1"/>
  <c r="K23" i="55"/>
  <c r="Y17" i="55"/>
  <c r="AE17" i="55" s="1"/>
  <c r="Y27" i="55"/>
  <c r="AE27" i="55" s="1"/>
  <c r="Y34" i="55"/>
  <c r="AE34" i="55" s="1"/>
  <c r="Y37" i="55"/>
  <c r="AE37" i="55" s="1"/>
  <c r="Y46" i="55"/>
  <c r="AE46" i="55" s="1"/>
  <c r="Y44" i="55"/>
  <c r="AE44" i="55" s="1"/>
  <c r="Y48" i="55"/>
  <c r="AE48" i="55" s="1"/>
  <c r="Y24" i="55"/>
  <c r="AE24" i="55" s="1"/>
  <c r="Y36" i="55"/>
  <c r="AE36" i="55" s="1"/>
  <c r="R29" i="55"/>
  <c r="Y29" i="55" s="1"/>
  <c r="AE29" i="55" s="1"/>
  <c r="O22" i="55"/>
  <c r="V22" i="55" s="1"/>
  <c r="AB22" i="55" s="1"/>
  <c r="O25" i="55"/>
  <c r="V25" i="55" s="1"/>
  <c r="AB25" i="55" s="1"/>
  <c r="O20" i="55"/>
  <c r="V20" i="55" s="1"/>
  <c r="AB20" i="55" s="1"/>
  <c r="O21" i="55"/>
  <c r="V21" i="55" s="1"/>
  <c r="AB21" i="55" s="1"/>
  <c r="O32" i="55"/>
  <c r="V32" i="55" s="1"/>
  <c r="AB32" i="55" s="1"/>
  <c r="O40" i="55"/>
  <c r="V40" i="55" s="1"/>
  <c r="AB40" i="55" s="1"/>
  <c r="V36" i="55"/>
  <c r="AB36" i="55" s="1"/>
  <c r="V44" i="55"/>
  <c r="AB44" i="55" s="1"/>
  <c r="V17" i="55"/>
  <c r="AB17" i="55" s="1"/>
  <c r="V34" i="55"/>
  <c r="AB34" i="55" s="1"/>
  <c r="O41" i="55"/>
  <c r="V41" i="55" s="1"/>
  <c r="AB41" i="55" s="1"/>
  <c r="O29" i="55"/>
  <c r="V29" i="55" s="1"/>
  <c r="AB29" i="55" s="1"/>
  <c r="V37" i="55"/>
  <c r="AB37" i="55" s="1"/>
  <c r="V28" i="55"/>
  <c r="AB28" i="55" s="1"/>
  <c r="O30" i="55"/>
  <c r="V46" i="55"/>
  <c r="AB46" i="55" s="1"/>
  <c r="P33" i="55"/>
  <c r="W33" i="55" s="1"/>
  <c r="AC33" i="55" s="1"/>
  <c r="I57" i="55"/>
  <c r="K57" i="55"/>
  <c r="Q31" i="55"/>
  <c r="X31" i="55" s="1"/>
  <c r="AD31" i="55" s="1"/>
  <c r="J65" i="55"/>
  <c r="I65" i="55"/>
  <c r="I58" i="55"/>
  <c r="Q26" i="55"/>
  <c r="X34" i="55"/>
  <c r="AD34" i="55" s="1"/>
  <c r="X48" i="55"/>
  <c r="AD48" i="55" s="1"/>
  <c r="X37" i="55"/>
  <c r="AD37" i="55" s="1"/>
  <c r="X36" i="55"/>
  <c r="AD36" i="55" s="1"/>
  <c r="Q41" i="55"/>
  <c r="X41" i="55" s="1"/>
  <c r="AD41" i="55" s="1"/>
  <c r="Q42" i="55"/>
  <c r="X42" i="55" s="1"/>
  <c r="AD42" i="55" s="1"/>
  <c r="X46" i="55"/>
  <c r="AD46" i="55" s="1"/>
  <c r="Q38" i="55"/>
  <c r="X24" i="55"/>
  <c r="AD24" i="55" s="1"/>
  <c r="Q40" i="55"/>
  <c r="X40" i="55" s="1"/>
  <c r="AD40" i="55" s="1"/>
  <c r="X27" i="55"/>
  <c r="AD27" i="55" s="1"/>
  <c r="X28" i="55"/>
  <c r="AD28" i="55" s="1"/>
  <c r="W30" i="55"/>
  <c r="AC30" i="55" s="1"/>
  <c r="O47" i="55"/>
  <c r="V47" i="55" s="1"/>
  <c r="AB47" i="55" s="1"/>
  <c r="J58" i="55"/>
  <c r="R41" i="55"/>
  <c r="Y41" i="55" s="1"/>
  <c r="AE41" i="55" s="1"/>
  <c r="R32" i="55"/>
  <c r="Y32" i="55" s="1"/>
  <c r="AE32" i="55" s="1"/>
  <c r="Q10" i="55"/>
  <c r="X10" i="55" s="1"/>
  <c r="AD10" i="55" s="1"/>
  <c r="J14" i="55"/>
  <c r="Q14" i="55" s="1"/>
  <c r="V24" i="55"/>
  <c r="AB24" i="55" s="1"/>
  <c r="W39" i="55"/>
  <c r="AC39" i="55" s="1"/>
  <c r="J33" i="55"/>
  <c r="I35" i="55"/>
  <c r="I45" i="55" s="1"/>
  <c r="V27" i="55"/>
  <c r="AB27" i="55" s="1"/>
  <c r="Q20" i="55"/>
  <c r="X20" i="55" s="1"/>
  <c r="AD20" i="55" s="1"/>
  <c r="X17" i="55"/>
  <c r="AD17" i="55" s="1"/>
  <c r="O39" i="55"/>
  <c r="V39" i="55" s="1"/>
  <c r="AB39" i="55" s="1"/>
  <c r="O38" i="55"/>
  <c r="X23" i="55"/>
  <c r="AD23" i="55" s="1"/>
  <c r="X44" i="55"/>
  <c r="AD44" i="55" s="1"/>
  <c r="Q22" i="55"/>
  <c r="X22" i="55" s="1"/>
  <c r="AD22" i="55" s="1"/>
  <c r="O23" i="55"/>
  <c r="H26" i="55"/>
  <c r="H14" i="55"/>
  <c r="O14" i="55" s="1"/>
  <c r="O10" i="55"/>
  <c r="V10" i="55" s="1"/>
  <c r="AB10" i="55" s="1"/>
  <c r="R47" i="55"/>
  <c r="Y47" i="55" s="1"/>
  <c r="AE47" i="55" s="1"/>
  <c r="Q39" i="55"/>
  <c r="X39" i="55" s="1"/>
  <c r="AD39" i="55" s="1"/>
  <c r="J43" i="55"/>
  <c r="R30" i="55"/>
  <c r="K58" i="55"/>
  <c r="R21" i="55"/>
  <c r="Y21" i="55" s="1"/>
  <c r="AE21" i="55" s="1"/>
  <c r="L23" i="55"/>
  <c r="S13" i="55"/>
  <c r="L14" i="55"/>
  <c r="S14" i="55" s="1"/>
  <c r="R10" i="55"/>
  <c r="Y10" i="55" s="1"/>
  <c r="AE10" i="55" s="1"/>
  <c r="K14" i="55"/>
  <c r="R14" i="55" s="1"/>
  <c r="L18" i="61"/>
  <c r="L66" i="55"/>
  <c r="K16" i="61"/>
  <c r="K18" i="61" s="1"/>
  <c r="R42" i="55"/>
  <c r="Y42" i="55" s="1"/>
  <c r="AE42" i="55" s="1"/>
  <c r="R40" i="55"/>
  <c r="Y40" i="55" s="1"/>
  <c r="AE40" i="55" s="1"/>
  <c r="H43" i="55"/>
  <c r="R31" i="55"/>
  <c r="Y31" i="55" s="1"/>
  <c r="AE31" i="55" s="1"/>
  <c r="Z48" i="55"/>
  <c r="AF48" i="55" s="1"/>
  <c r="Z37" i="55"/>
  <c r="AF37" i="55" s="1"/>
  <c r="S32" i="55"/>
  <c r="Z32" i="55" s="1"/>
  <c r="AF32" i="55" s="1"/>
  <c r="S41" i="55"/>
  <c r="Z41" i="55" s="1"/>
  <c r="AF41" i="55" s="1"/>
  <c r="Z34" i="55"/>
  <c r="AF34" i="55" s="1"/>
  <c r="S21" i="55"/>
  <c r="Z21" i="55" s="1"/>
  <c r="AF21" i="55" s="1"/>
  <c r="S38" i="55"/>
  <c r="L43" i="55"/>
  <c r="L11" i="61" s="1"/>
  <c r="Q32" i="55"/>
  <c r="X32" i="55" s="1"/>
  <c r="AD32" i="55" s="1"/>
  <c r="O31" i="55"/>
  <c r="V31" i="55" s="1"/>
  <c r="AB31" i="55" s="1"/>
  <c r="Q30" i="55"/>
  <c r="R25" i="55"/>
  <c r="Y25" i="55" s="1"/>
  <c r="AE25" i="55" s="1"/>
  <c r="R22" i="55"/>
  <c r="Y22" i="55" s="1"/>
  <c r="AE22" i="55" s="1"/>
  <c r="P21" i="55"/>
  <c r="W21" i="55" s="1"/>
  <c r="AC21" i="55" s="1"/>
  <c r="P41" i="55"/>
  <c r="W41" i="55" s="1"/>
  <c r="AC41" i="55" s="1"/>
  <c r="P25" i="55"/>
  <c r="I14" i="55"/>
  <c r="P14" i="55" s="1"/>
  <c r="E31" i="179" l="1"/>
  <c r="J26" i="55"/>
  <c r="J35" i="55" s="1"/>
  <c r="J45" i="55" s="1"/>
  <c r="I66" i="55"/>
  <c r="K11" i="61"/>
  <c r="P14" i="50"/>
  <c r="W30" i="51"/>
  <c r="W26" i="51"/>
  <c r="N21" i="126"/>
  <c r="N16" i="126"/>
  <c r="N17" i="126"/>
  <c r="N18" i="126"/>
  <c r="N19" i="126"/>
  <c r="N20" i="126"/>
  <c r="Y26" i="179"/>
  <c r="Y25" i="179"/>
  <c r="Y28" i="179"/>
  <c r="Y29" i="179"/>
  <c r="Y24" i="179"/>
  <c r="Y27" i="179"/>
  <c r="M24" i="126"/>
  <c r="M28" i="126"/>
  <c r="M26" i="126"/>
  <c r="M27" i="126"/>
  <c r="M29" i="126"/>
  <c r="M25" i="126"/>
  <c r="AU13" i="179"/>
  <c r="I24" i="157"/>
  <c r="I26" i="157"/>
  <c r="L10" i="157"/>
  <c r="I23" i="157"/>
  <c r="I22" i="157"/>
  <c r="I21" i="157"/>
  <c r="I25" i="157"/>
  <c r="E23" i="157"/>
  <c r="E26" i="157"/>
  <c r="E22" i="157"/>
  <c r="E25" i="157"/>
  <c r="E24" i="157"/>
  <c r="E21" i="157"/>
  <c r="F21" i="157"/>
  <c r="F26" i="157"/>
  <c r="F23" i="157"/>
  <c r="F22" i="157"/>
  <c r="F24" i="157"/>
  <c r="F25" i="157"/>
  <c r="K22" i="157"/>
  <c r="K24" i="157"/>
  <c r="K23" i="157"/>
  <c r="K21" i="157"/>
  <c r="K25" i="157"/>
  <c r="K26" i="157"/>
  <c r="D23" i="157"/>
  <c r="D26" i="157"/>
  <c r="G10" i="157"/>
  <c r="D24" i="157"/>
  <c r="D21" i="157"/>
  <c r="D25" i="157"/>
  <c r="D22" i="157"/>
  <c r="J22" i="157"/>
  <c r="J21" i="157"/>
  <c r="J26" i="157"/>
  <c r="J25" i="157"/>
  <c r="J24" i="157"/>
  <c r="J23" i="157"/>
  <c r="L14" i="157"/>
  <c r="G14" i="157"/>
  <c r="L13" i="157"/>
  <c r="G13" i="157"/>
  <c r="AV11" i="179"/>
  <c r="F27" i="126"/>
  <c r="F26" i="126"/>
  <c r="F29" i="126"/>
  <c r="F24" i="126"/>
  <c r="F25" i="126"/>
  <c r="F28" i="126"/>
  <c r="M16" i="126"/>
  <c r="M19" i="126"/>
  <c r="M18" i="126"/>
  <c r="M21" i="126"/>
  <c r="M20" i="126"/>
  <c r="M17" i="126"/>
  <c r="AU11" i="179"/>
  <c r="G15" i="157"/>
  <c r="L15" i="157"/>
  <c r="L17" i="157"/>
  <c r="G17" i="157"/>
  <c r="H18" i="179"/>
  <c r="H16" i="179"/>
  <c r="H21" i="179"/>
  <c r="H20" i="179"/>
  <c r="AV10" i="179"/>
  <c r="H17" i="179"/>
  <c r="H19" i="179"/>
  <c r="H26" i="179"/>
  <c r="H29" i="179"/>
  <c r="AV12" i="179"/>
  <c r="H28" i="179"/>
  <c r="H24" i="179"/>
  <c r="H27" i="179"/>
  <c r="H25" i="179"/>
  <c r="Y18" i="179"/>
  <c r="Y20" i="179"/>
  <c r="Y19" i="179"/>
  <c r="Y16" i="179"/>
  <c r="Y21" i="179"/>
  <c r="Y17" i="179"/>
  <c r="AU14" i="179"/>
  <c r="L16" i="157"/>
  <c r="G16" i="157"/>
  <c r="L12" i="157"/>
  <c r="G12" i="157"/>
  <c r="L11" i="157"/>
  <c r="G11" i="157"/>
  <c r="L19" i="157"/>
  <c r="G19" i="157"/>
  <c r="L18" i="157"/>
  <c r="G18" i="157"/>
  <c r="N24" i="126"/>
  <c r="N25" i="126"/>
  <c r="N26" i="126"/>
  <c r="N27" i="126"/>
  <c r="N28" i="126"/>
  <c r="N29" i="126"/>
  <c r="AV13" i="179"/>
  <c r="F21" i="126"/>
  <c r="F16" i="126"/>
  <c r="F17" i="126"/>
  <c r="F18" i="126"/>
  <c r="F20" i="126"/>
  <c r="F19" i="126"/>
  <c r="G24" i="179"/>
  <c r="G28" i="179"/>
  <c r="AU12" i="179"/>
  <c r="G29" i="179"/>
  <c r="G25" i="179"/>
  <c r="G26" i="179"/>
  <c r="G27" i="179"/>
  <c r="G16" i="179"/>
  <c r="G20" i="179"/>
  <c r="G18" i="179"/>
  <c r="AU10" i="179"/>
  <c r="G17" i="179"/>
  <c r="G21" i="179"/>
  <c r="G19" i="179"/>
  <c r="E17" i="47"/>
  <c r="G17" i="47"/>
  <c r="I17" i="47"/>
  <c r="G11" i="61"/>
  <c r="G12" i="61" s="1"/>
  <c r="T43" i="47"/>
  <c r="G31" i="47"/>
  <c r="P25" i="47"/>
  <c r="K17" i="47"/>
  <c r="F23" i="253"/>
  <c r="F26" i="253" s="1"/>
  <c r="F16" i="253"/>
  <c r="X8" i="179"/>
  <c r="I25" i="25"/>
  <c r="W8" i="179"/>
  <c r="X15" i="51"/>
  <c r="X21" i="51"/>
  <c r="X18" i="51"/>
  <c r="X24" i="51"/>
  <c r="X9" i="51"/>
  <c r="X22" i="51"/>
  <c r="X16" i="51"/>
  <c r="X19" i="51"/>
  <c r="X12" i="51"/>
  <c r="X10" i="51"/>
  <c r="X20" i="51"/>
  <c r="X17" i="51"/>
  <c r="X23" i="51"/>
  <c r="X11" i="51"/>
  <c r="X14" i="51"/>
  <c r="X13" i="51"/>
  <c r="I11" i="61"/>
  <c r="I12" i="61" s="1"/>
  <c r="I20" i="61" s="1"/>
  <c r="W27" i="51"/>
  <c r="R12" i="107"/>
  <c r="Z12" i="107" s="1"/>
  <c r="T12" i="107"/>
  <c r="M26" i="50"/>
  <c r="N10" i="50"/>
  <c r="M25" i="50"/>
  <c r="M22" i="50"/>
  <c r="M21" i="50"/>
  <c r="O45" i="48"/>
  <c r="O43" i="48"/>
  <c r="O46" i="48"/>
  <c r="O44" i="48"/>
  <c r="M26" i="51"/>
  <c r="G9" i="77" s="1"/>
  <c r="M27" i="51"/>
  <c r="G10" i="77" s="1"/>
  <c r="M28" i="51"/>
  <c r="G11" i="77" s="1"/>
  <c r="M31" i="51"/>
  <c r="G14" i="77" s="1"/>
  <c r="M30" i="51"/>
  <c r="G13" i="77" s="1"/>
  <c r="M29" i="51"/>
  <c r="G12" i="77" s="1"/>
  <c r="S9" i="51"/>
  <c r="P10" i="50"/>
  <c r="L25" i="50"/>
  <c r="L21" i="50"/>
  <c r="L26" i="50"/>
  <c r="L22" i="50"/>
  <c r="P45" i="48"/>
  <c r="P46" i="48"/>
  <c r="P44" i="48"/>
  <c r="P43" i="48"/>
  <c r="M43" i="48"/>
  <c r="M44" i="48"/>
  <c r="M46" i="48"/>
  <c r="M45" i="48"/>
  <c r="R14" i="50"/>
  <c r="Q48" i="48"/>
  <c r="Q47" i="48"/>
  <c r="D31" i="47"/>
  <c r="M25" i="47"/>
  <c r="H31" i="47"/>
  <c r="Q25" i="47"/>
  <c r="N13" i="25"/>
  <c r="K19" i="25"/>
  <c r="AA8" i="126"/>
  <c r="C23" i="17"/>
  <c r="B3" i="76" s="1"/>
  <c r="P24" i="17"/>
  <c r="C24" i="17" s="1"/>
  <c r="B3" i="63" s="1"/>
  <c r="P29" i="17"/>
  <c r="C29" i="17" s="1"/>
  <c r="B3" i="53" s="1"/>
  <c r="C28" i="17"/>
  <c r="B3" i="77" s="1"/>
  <c r="T29" i="51"/>
  <c r="T27" i="51"/>
  <c r="T30" i="51"/>
  <c r="T28" i="51"/>
  <c r="T31" i="51"/>
  <c r="T26" i="51"/>
  <c r="AE14" i="48"/>
  <c r="Z27" i="51"/>
  <c r="Z30" i="51"/>
  <c r="Z26" i="51"/>
  <c r="Z31" i="51"/>
  <c r="Z28" i="51"/>
  <c r="Z29" i="51"/>
  <c r="AF14" i="48"/>
  <c r="L46" i="48"/>
  <c r="L44" i="48"/>
  <c r="L43" i="48"/>
  <c r="L45" i="48"/>
  <c r="AJ14" i="48"/>
  <c r="AI14" i="48"/>
  <c r="J16" i="50"/>
  <c r="D17" i="47"/>
  <c r="F17" i="47"/>
  <c r="H17" i="47"/>
  <c r="J17" i="47"/>
  <c r="E31" i="47"/>
  <c r="N25" i="47"/>
  <c r="I31" i="47"/>
  <c r="R25" i="47"/>
  <c r="L8" i="126"/>
  <c r="D8" i="126"/>
  <c r="N8" i="179"/>
  <c r="E8" i="179"/>
  <c r="W29" i="51"/>
  <c r="W28" i="51"/>
  <c r="W31" i="51"/>
  <c r="P33" i="107"/>
  <c r="P37" i="107"/>
  <c r="P34" i="107"/>
  <c r="R10" i="107"/>
  <c r="P35" i="107"/>
  <c r="P36" i="107"/>
  <c r="T10" i="107"/>
  <c r="P32" i="107"/>
  <c r="R14" i="107"/>
  <c r="Z14" i="107" s="1"/>
  <c r="T14" i="107"/>
  <c r="U14" i="107" s="1"/>
  <c r="R11" i="107"/>
  <c r="Z11" i="107" s="1"/>
  <c r="T11" i="107"/>
  <c r="AG14" i="48"/>
  <c r="N26" i="51"/>
  <c r="N27" i="51"/>
  <c r="N30" i="51"/>
  <c r="T9" i="51"/>
  <c r="N29" i="51"/>
  <c r="N28" i="51"/>
  <c r="N31" i="51"/>
  <c r="R28" i="51"/>
  <c r="R29" i="51"/>
  <c r="R27" i="51"/>
  <c r="R26" i="51"/>
  <c r="R30" i="51"/>
  <c r="R31" i="51"/>
  <c r="N12" i="50"/>
  <c r="AK14" i="48"/>
  <c r="Q44" i="48"/>
  <c r="Q43" i="48"/>
  <c r="Q46" i="48"/>
  <c r="Q45" i="48"/>
  <c r="P48" i="48"/>
  <c r="P47" i="48"/>
  <c r="O47" i="48"/>
  <c r="O48" i="48"/>
  <c r="F31" i="47"/>
  <c r="O25" i="47"/>
  <c r="J31" i="47"/>
  <c r="S25" i="47"/>
  <c r="K50" i="47"/>
  <c r="O31" i="179"/>
  <c r="T45" i="47"/>
  <c r="AB8" i="126"/>
  <c r="AA30" i="51"/>
  <c r="AA29" i="51"/>
  <c r="AA27" i="51"/>
  <c r="AA31" i="51"/>
  <c r="AA26" i="51"/>
  <c r="AA28" i="51"/>
  <c r="AB30" i="51"/>
  <c r="AB27" i="51"/>
  <c r="AB26" i="51"/>
  <c r="AB29" i="51"/>
  <c r="AB31" i="51"/>
  <c r="AB28" i="51"/>
  <c r="R13" i="107"/>
  <c r="Z13" i="107" s="1"/>
  <c r="T13" i="107"/>
  <c r="O35" i="107"/>
  <c r="O33" i="107"/>
  <c r="O37" i="107"/>
  <c r="O32" i="107"/>
  <c r="O34" i="107"/>
  <c r="O36" i="107"/>
  <c r="V28" i="51"/>
  <c r="V26" i="51"/>
  <c r="V31" i="51"/>
  <c r="M47" i="48"/>
  <c r="M48" i="48"/>
  <c r="L48" i="48"/>
  <c r="L47" i="48"/>
  <c r="N16" i="50"/>
  <c r="R9" i="51"/>
  <c r="L30" i="51"/>
  <c r="J13" i="77" s="1"/>
  <c r="L26" i="51"/>
  <c r="J9" i="77" s="1"/>
  <c r="L27" i="51"/>
  <c r="J10" i="77" s="1"/>
  <c r="L29" i="51"/>
  <c r="J12" i="77" s="1"/>
  <c r="L28" i="51"/>
  <c r="J11" i="77" s="1"/>
  <c r="L31" i="51"/>
  <c r="J14" i="77" s="1"/>
  <c r="H24" i="48"/>
  <c r="H26" i="48"/>
  <c r="H25" i="48"/>
  <c r="H27" i="48"/>
  <c r="I12" i="48"/>
  <c r="I11" i="48"/>
  <c r="H21" i="48"/>
  <c r="H20" i="48"/>
  <c r="H18" i="48"/>
  <c r="H19" i="48"/>
  <c r="H16" i="48"/>
  <c r="I10" i="48"/>
  <c r="H17" i="48"/>
  <c r="S29" i="51"/>
  <c r="S31" i="51"/>
  <c r="S26" i="51"/>
  <c r="S30" i="51"/>
  <c r="S27" i="51"/>
  <c r="S28" i="51"/>
  <c r="M11" i="61"/>
  <c r="V11" i="61" s="1"/>
  <c r="U11" i="61"/>
  <c r="X30" i="55"/>
  <c r="AD30" i="55" s="1"/>
  <c r="Q58" i="55"/>
  <c r="AW31" i="179"/>
  <c r="O43" i="55"/>
  <c r="V43" i="55" s="1"/>
  <c r="AB43" i="55" s="1"/>
  <c r="V38" i="55"/>
  <c r="AB38" i="55" s="1"/>
  <c r="I49" i="55"/>
  <c r="I55" i="55"/>
  <c r="S23" i="55"/>
  <c r="L26" i="55"/>
  <c r="R43" i="55"/>
  <c r="Y43" i="55" s="1"/>
  <c r="AE43" i="55" s="1"/>
  <c r="Q33" i="55"/>
  <c r="X33" i="55" s="1"/>
  <c r="AD33" i="55" s="1"/>
  <c r="J57" i="55"/>
  <c r="J11" i="61"/>
  <c r="L57" i="55"/>
  <c r="J66" i="55"/>
  <c r="V30" i="55"/>
  <c r="AB30" i="55" s="1"/>
  <c r="O58" i="55"/>
  <c r="Z38" i="55"/>
  <c r="AF38" i="55" s="1"/>
  <c r="S43" i="55"/>
  <c r="Z43" i="55" s="1"/>
  <c r="AF43" i="55" s="1"/>
  <c r="S58" i="55"/>
  <c r="H57" i="55"/>
  <c r="H11" i="61"/>
  <c r="F31" i="179"/>
  <c r="AT31" i="179" s="1"/>
  <c r="J24" i="76"/>
  <c r="H10" i="61"/>
  <c r="H35" i="55"/>
  <c r="H45" i="55" s="1"/>
  <c r="R58" i="55"/>
  <c r="Y30" i="55"/>
  <c r="AE30" i="55" s="1"/>
  <c r="V23" i="55"/>
  <c r="AB23" i="55" s="1"/>
  <c r="O26" i="55"/>
  <c r="P43" i="55"/>
  <c r="W43" i="55" s="1"/>
  <c r="AC43" i="55" s="1"/>
  <c r="W25" i="55"/>
  <c r="AC25" i="55" s="1"/>
  <c r="P26" i="55"/>
  <c r="D31" i="179"/>
  <c r="AR31" i="179" s="1"/>
  <c r="J10" i="61"/>
  <c r="X38" i="55"/>
  <c r="AD38" i="55" s="1"/>
  <c r="Q43" i="55"/>
  <c r="X43" i="55" s="1"/>
  <c r="AD43" i="55" s="1"/>
  <c r="X26" i="55"/>
  <c r="AD26" i="55" s="1"/>
  <c r="R23" i="55"/>
  <c r="K26" i="55"/>
  <c r="K66" i="55"/>
  <c r="Q35" i="55" l="1"/>
  <c r="X35" i="55" s="1"/>
  <c r="AD35" i="55" s="1"/>
  <c r="U16" i="126"/>
  <c r="U19" i="126"/>
  <c r="U18" i="126"/>
  <c r="U21" i="126"/>
  <c r="U20" i="126"/>
  <c r="U17" i="126"/>
  <c r="AT13" i="179"/>
  <c r="S13" i="48"/>
  <c r="E24" i="126"/>
  <c r="E25" i="126"/>
  <c r="E26" i="126"/>
  <c r="E27" i="126"/>
  <c r="E28" i="126"/>
  <c r="E29" i="126"/>
  <c r="BC14" i="179"/>
  <c r="AE14" i="179"/>
  <c r="O16" i="179"/>
  <c r="O20" i="179"/>
  <c r="AE10" i="179"/>
  <c r="O19" i="179"/>
  <c r="O21" i="179"/>
  <c r="BC10" i="179"/>
  <c r="O18" i="179"/>
  <c r="O17" i="179"/>
  <c r="AF10" i="179"/>
  <c r="P18" i="179"/>
  <c r="P17" i="179"/>
  <c r="BD10" i="179"/>
  <c r="P21" i="179"/>
  <c r="P16" i="179"/>
  <c r="P19" i="179"/>
  <c r="P20" i="179"/>
  <c r="U25" i="126"/>
  <c r="U26" i="126"/>
  <c r="U24" i="126"/>
  <c r="U27" i="126"/>
  <c r="U29" i="126"/>
  <c r="U28" i="126"/>
  <c r="F18" i="179"/>
  <c r="AT10" i="179"/>
  <c r="F20" i="179"/>
  <c r="F21" i="179"/>
  <c r="F16" i="179"/>
  <c r="F17" i="179"/>
  <c r="F19" i="179"/>
  <c r="S10" i="48"/>
  <c r="F26" i="179"/>
  <c r="F25" i="179"/>
  <c r="AT12" i="179"/>
  <c r="F29" i="179"/>
  <c r="F24" i="179"/>
  <c r="F28" i="179"/>
  <c r="F27" i="179"/>
  <c r="S12" i="48"/>
  <c r="T17" i="126"/>
  <c r="T18" i="126"/>
  <c r="T19" i="126"/>
  <c r="T20" i="126"/>
  <c r="T21" i="126"/>
  <c r="T16" i="126"/>
  <c r="BC13" i="179"/>
  <c r="AE13" i="179"/>
  <c r="BD14" i="179"/>
  <c r="AF14" i="179"/>
  <c r="AT11" i="179"/>
  <c r="S11" i="48"/>
  <c r="AT14" i="179"/>
  <c r="S14" i="48"/>
  <c r="BC11" i="179"/>
  <c r="AE11" i="179"/>
  <c r="P24" i="179"/>
  <c r="P28" i="179"/>
  <c r="P25" i="179"/>
  <c r="P26" i="179"/>
  <c r="P27" i="179"/>
  <c r="AF12" i="179"/>
  <c r="BD12" i="179"/>
  <c r="P29" i="179"/>
  <c r="E21" i="126"/>
  <c r="E16" i="126"/>
  <c r="E17" i="126"/>
  <c r="E18" i="126"/>
  <c r="E19" i="126"/>
  <c r="E20" i="126"/>
  <c r="T24" i="126"/>
  <c r="T27" i="126"/>
  <c r="T29" i="126"/>
  <c r="T25" i="126"/>
  <c r="T28" i="126"/>
  <c r="T26" i="126"/>
  <c r="AE12" i="179"/>
  <c r="O26" i="179"/>
  <c r="O27" i="179"/>
  <c r="O24" i="179"/>
  <c r="O25" i="179"/>
  <c r="BC12" i="179"/>
  <c r="O28" i="179"/>
  <c r="O29" i="179"/>
  <c r="AF13" i="179"/>
  <c r="BD13" i="179"/>
  <c r="AF11" i="179"/>
  <c r="BD11" i="179"/>
  <c r="H52" i="47"/>
  <c r="AA52" i="47" s="1"/>
  <c r="Q17" i="47"/>
  <c r="U13" i="107"/>
  <c r="I13" i="107" s="1"/>
  <c r="M8" i="179"/>
  <c r="D8" i="179"/>
  <c r="C8" i="126"/>
  <c r="K8" i="126"/>
  <c r="F52" i="47"/>
  <c r="Y52" i="47" s="1"/>
  <c r="O17" i="47"/>
  <c r="D33" i="47"/>
  <c r="M31" i="47"/>
  <c r="U12" i="107"/>
  <c r="I12" i="107" s="1"/>
  <c r="AF8" i="179"/>
  <c r="AN8" i="179" s="1"/>
  <c r="AV8" i="179" s="1"/>
  <c r="I52" i="47"/>
  <c r="AB52" i="47" s="1"/>
  <c r="R17" i="47"/>
  <c r="AV17" i="179"/>
  <c r="AV21" i="179"/>
  <c r="AV18" i="179"/>
  <c r="AV19" i="179"/>
  <c r="AV20" i="179"/>
  <c r="AV16" i="179"/>
  <c r="I16" i="48"/>
  <c r="I18" i="48"/>
  <c r="I17" i="48"/>
  <c r="I19" i="48"/>
  <c r="AG10" i="48"/>
  <c r="AK10" i="48"/>
  <c r="AI10" i="48"/>
  <c r="AJ10" i="48"/>
  <c r="AE10" i="48"/>
  <c r="AF10" i="48"/>
  <c r="I21" i="48"/>
  <c r="W10" i="50"/>
  <c r="I20" i="48"/>
  <c r="AK11" i="48"/>
  <c r="AE11" i="48"/>
  <c r="AG11" i="48"/>
  <c r="AI11" i="48"/>
  <c r="AJ11" i="48"/>
  <c r="AF11" i="48"/>
  <c r="AE31" i="179"/>
  <c r="J33" i="47"/>
  <c r="S31" i="47"/>
  <c r="U11" i="107"/>
  <c r="I11" i="107" s="1"/>
  <c r="R34" i="107"/>
  <c r="R32" i="107"/>
  <c r="R36" i="107"/>
  <c r="Z10" i="107"/>
  <c r="R35" i="107"/>
  <c r="R33" i="107"/>
  <c r="R37" i="107"/>
  <c r="S8" i="126"/>
  <c r="E33" i="47"/>
  <c r="N31" i="47"/>
  <c r="D52" i="47"/>
  <c r="X52" i="47" s="1"/>
  <c r="M17" i="47"/>
  <c r="AH8" i="126"/>
  <c r="N26" i="50"/>
  <c r="N22" i="50"/>
  <c r="N25" i="50"/>
  <c r="N21" i="50"/>
  <c r="AE8" i="179"/>
  <c r="AM8" i="179" s="1"/>
  <c r="AU8" i="179" s="1"/>
  <c r="G33" i="47"/>
  <c r="P31" i="47"/>
  <c r="G52" i="47"/>
  <c r="Z52" i="47" s="1"/>
  <c r="P17" i="47"/>
  <c r="I14" i="107"/>
  <c r="G22" i="157"/>
  <c r="G26" i="157"/>
  <c r="G25" i="157"/>
  <c r="G21" i="157"/>
  <c r="G23" i="157"/>
  <c r="G24" i="157"/>
  <c r="AI8" i="126"/>
  <c r="T50" i="47"/>
  <c r="K70" i="47"/>
  <c r="I29" i="157"/>
  <c r="W31" i="179"/>
  <c r="U10" i="107"/>
  <c r="T35" i="107"/>
  <c r="T37" i="107"/>
  <c r="T36" i="107"/>
  <c r="T34" i="107"/>
  <c r="T33" i="107"/>
  <c r="T32" i="107"/>
  <c r="J52" i="47"/>
  <c r="AC52" i="47" s="1"/>
  <c r="S17" i="47"/>
  <c r="H33" i="47"/>
  <c r="Q31" i="47"/>
  <c r="R10" i="50"/>
  <c r="P21" i="50"/>
  <c r="P22" i="50"/>
  <c r="P25" i="50"/>
  <c r="P26" i="50"/>
  <c r="X28" i="51"/>
  <c r="X27" i="51"/>
  <c r="X29" i="51"/>
  <c r="X31" i="51"/>
  <c r="X26" i="51"/>
  <c r="X30" i="51"/>
  <c r="E52" i="47"/>
  <c r="N17" i="47"/>
  <c r="AU18" i="179"/>
  <c r="AU16" i="179"/>
  <c r="AU21" i="179"/>
  <c r="AU19" i="179"/>
  <c r="AU20" i="179"/>
  <c r="AU17" i="179"/>
  <c r="AU24" i="179"/>
  <c r="AU28" i="179"/>
  <c r="AU29" i="179"/>
  <c r="AU27" i="179"/>
  <c r="AU25" i="179"/>
  <c r="AU26" i="179"/>
  <c r="L22" i="157"/>
  <c r="L26" i="157"/>
  <c r="L21" i="157"/>
  <c r="L25" i="157"/>
  <c r="L23" i="157"/>
  <c r="L24" i="157"/>
  <c r="I26" i="48"/>
  <c r="I27" i="48"/>
  <c r="W12" i="50"/>
  <c r="I25" i="48"/>
  <c r="I24" i="48"/>
  <c r="AK12" i="48"/>
  <c r="AJ12" i="48"/>
  <c r="AF12" i="48"/>
  <c r="AI12" i="48"/>
  <c r="AG12" i="48"/>
  <c r="AE12" i="48"/>
  <c r="F33" i="47"/>
  <c r="O31" i="47"/>
  <c r="V8" i="179"/>
  <c r="I33" i="47"/>
  <c r="R31" i="47"/>
  <c r="S14" i="50"/>
  <c r="J14" i="50" s="1"/>
  <c r="K52" i="47"/>
  <c r="T17" i="47"/>
  <c r="AV27" i="179"/>
  <c r="AV25" i="179"/>
  <c r="AV28" i="179"/>
  <c r="AV29" i="179"/>
  <c r="AV26" i="179"/>
  <c r="AV24" i="179"/>
  <c r="AS31" i="179"/>
  <c r="C31" i="179"/>
  <c r="AQ31" i="179" s="1"/>
  <c r="K10" i="61"/>
  <c r="K35" i="55"/>
  <c r="K45" i="55" s="1"/>
  <c r="L10" i="61"/>
  <c r="L35" i="55"/>
  <c r="L45" i="55" s="1"/>
  <c r="R26" i="55"/>
  <c r="Y23" i="55"/>
  <c r="AE23" i="55" s="1"/>
  <c r="H55" i="55"/>
  <c r="H49" i="55"/>
  <c r="Q11" i="61"/>
  <c r="R11" i="61"/>
  <c r="Z23" i="55"/>
  <c r="AF23" i="55" s="1"/>
  <c r="S26" i="55"/>
  <c r="Q45" i="55"/>
  <c r="J55" i="55"/>
  <c r="J49" i="55"/>
  <c r="W26" i="55"/>
  <c r="AC26" i="55" s="1"/>
  <c r="P35" i="55"/>
  <c r="R10" i="61"/>
  <c r="Q10" i="61"/>
  <c r="H12" i="61"/>
  <c r="S11" i="61"/>
  <c r="T11" i="61"/>
  <c r="M31" i="179"/>
  <c r="P55" i="55"/>
  <c r="S10" i="61"/>
  <c r="J12" i="61"/>
  <c r="O35" i="55"/>
  <c r="V26" i="55"/>
  <c r="AB26" i="55" s="1"/>
  <c r="J29" i="76"/>
  <c r="K22" i="77"/>
  <c r="K29" i="77" s="1"/>
  <c r="I53" i="55"/>
  <c r="U31" i="179"/>
  <c r="BK10" i="179" l="1"/>
  <c r="W16" i="179"/>
  <c r="W18" i="179"/>
  <c r="W17" i="179"/>
  <c r="W19" i="179"/>
  <c r="W21" i="179"/>
  <c r="AM10" i="179"/>
  <c r="W20" i="179"/>
  <c r="AM11" i="179"/>
  <c r="BK11" i="179"/>
  <c r="L16" i="126"/>
  <c r="L19" i="126"/>
  <c r="L18" i="126"/>
  <c r="L21" i="126"/>
  <c r="L20" i="126"/>
  <c r="L17" i="126"/>
  <c r="AN14" i="179"/>
  <c r="BL14" i="179"/>
  <c r="AN13" i="179"/>
  <c r="BL13" i="179"/>
  <c r="AW11" i="179"/>
  <c r="AS11" i="179"/>
  <c r="W11" i="48"/>
  <c r="BB11" i="179"/>
  <c r="AD11" i="179"/>
  <c r="T11" i="48"/>
  <c r="AB24" i="126"/>
  <c r="AB25" i="126"/>
  <c r="AB26" i="126"/>
  <c r="AB27" i="126"/>
  <c r="AB28" i="126"/>
  <c r="AB29" i="126"/>
  <c r="W25" i="179"/>
  <c r="W29" i="179"/>
  <c r="W24" i="179"/>
  <c r="W27" i="179"/>
  <c r="AM12" i="179"/>
  <c r="W28" i="179"/>
  <c r="W26" i="179"/>
  <c r="BK12" i="179"/>
  <c r="AA21" i="126"/>
  <c r="AA16" i="126"/>
  <c r="AA17" i="126"/>
  <c r="AA18" i="126"/>
  <c r="AA19" i="126"/>
  <c r="AA20" i="126"/>
  <c r="AA25" i="126"/>
  <c r="AA24" i="126"/>
  <c r="AA27" i="126"/>
  <c r="AA29" i="126"/>
  <c r="AA28" i="126"/>
  <c r="AA26" i="126"/>
  <c r="L27" i="126"/>
  <c r="L29" i="126"/>
  <c r="L24" i="126"/>
  <c r="L25" i="126"/>
  <c r="L28" i="126"/>
  <c r="L26" i="126"/>
  <c r="X24" i="179"/>
  <c r="X28" i="179"/>
  <c r="X26" i="179"/>
  <c r="X27" i="179"/>
  <c r="AN12" i="179"/>
  <c r="X29" i="179"/>
  <c r="BL12" i="179"/>
  <c r="X25" i="179"/>
  <c r="D26" i="126"/>
  <c r="D24" i="126"/>
  <c r="D27" i="126"/>
  <c r="D25" i="126"/>
  <c r="D28" i="126"/>
  <c r="D29" i="126"/>
  <c r="AS14" i="179"/>
  <c r="AW14" i="179"/>
  <c r="W14" i="48"/>
  <c r="AD14" i="179"/>
  <c r="BB14" i="179"/>
  <c r="T14" i="48"/>
  <c r="AD13" i="179"/>
  <c r="BB13" i="179"/>
  <c r="T13" i="48"/>
  <c r="AB20" i="126"/>
  <c r="AB17" i="126"/>
  <c r="AB16" i="126"/>
  <c r="AB19" i="126"/>
  <c r="AB18" i="126"/>
  <c r="AB21" i="126"/>
  <c r="D20" i="126"/>
  <c r="D17" i="126"/>
  <c r="D16" i="126"/>
  <c r="D19" i="126"/>
  <c r="D18" i="126"/>
  <c r="D21" i="126"/>
  <c r="E25" i="179"/>
  <c r="E29" i="179"/>
  <c r="E26" i="179"/>
  <c r="AS12" i="179"/>
  <c r="E28" i="179"/>
  <c r="AW12" i="179"/>
  <c r="E27" i="179"/>
  <c r="E24" i="179"/>
  <c r="W12" i="48"/>
  <c r="N18" i="179"/>
  <c r="N21" i="179"/>
  <c r="N19" i="179"/>
  <c r="N17" i="179"/>
  <c r="N16" i="179"/>
  <c r="BB10" i="179"/>
  <c r="N20" i="179"/>
  <c r="AD10" i="179"/>
  <c r="T10" i="48"/>
  <c r="BB12" i="179"/>
  <c r="N27" i="179"/>
  <c r="N25" i="179"/>
  <c r="N28" i="179"/>
  <c r="AD12" i="179"/>
  <c r="N29" i="179"/>
  <c r="N24" i="179"/>
  <c r="N26" i="179"/>
  <c r="T12" i="48"/>
  <c r="BK13" i="179"/>
  <c r="AM13" i="179"/>
  <c r="AM14" i="179"/>
  <c r="BK14" i="179"/>
  <c r="BL11" i="179"/>
  <c r="AN11" i="179"/>
  <c r="BL10" i="179"/>
  <c r="X19" i="179"/>
  <c r="AN10" i="179"/>
  <c r="X20" i="179"/>
  <c r="X17" i="179"/>
  <c r="X18" i="179"/>
  <c r="X16" i="179"/>
  <c r="X21" i="179"/>
  <c r="AW10" i="179"/>
  <c r="E16" i="179"/>
  <c r="E19" i="179"/>
  <c r="E18" i="179"/>
  <c r="E20" i="179"/>
  <c r="AS10" i="179"/>
  <c r="E17" i="179"/>
  <c r="E21" i="179"/>
  <c r="W10" i="48"/>
  <c r="AW13" i="179"/>
  <c r="AS13" i="179"/>
  <c r="W13" i="48"/>
  <c r="AD8" i="179"/>
  <c r="AL8" i="179" s="1"/>
  <c r="AT8" i="179" s="1"/>
  <c r="E45" i="47"/>
  <c r="N33" i="47"/>
  <c r="AF21" i="48"/>
  <c r="F15" i="76" s="1"/>
  <c r="AF20" i="48"/>
  <c r="F14" i="76" s="1"/>
  <c r="AE21" i="48"/>
  <c r="I15" i="76" s="1"/>
  <c r="AE20" i="48"/>
  <c r="I14" i="76" s="1"/>
  <c r="AI17" i="48"/>
  <c r="J11" i="76" s="1"/>
  <c r="AI16" i="48"/>
  <c r="J10" i="76" s="1"/>
  <c r="AI19" i="48"/>
  <c r="J13" i="76" s="1"/>
  <c r="AI18" i="48"/>
  <c r="J12" i="76" s="1"/>
  <c r="D45" i="47"/>
  <c r="M33" i="47"/>
  <c r="X33" i="47"/>
  <c r="X54" i="47" s="1"/>
  <c r="X55" i="47" s="1"/>
  <c r="J8" i="126"/>
  <c r="C8" i="179"/>
  <c r="L8" i="179"/>
  <c r="BC27" i="179"/>
  <c r="BC25" i="179"/>
  <c r="BC29" i="179"/>
  <c r="BC24" i="179"/>
  <c r="BC28" i="179"/>
  <c r="BC26" i="179"/>
  <c r="AF25" i="179"/>
  <c r="AF29" i="179"/>
  <c r="AF24" i="179"/>
  <c r="AF26" i="179"/>
  <c r="AF27" i="179"/>
  <c r="AF28" i="179"/>
  <c r="S41" i="48"/>
  <c r="AM14" i="48"/>
  <c r="AT18" i="179"/>
  <c r="AT21" i="179"/>
  <c r="AT17" i="179"/>
  <c r="AT19" i="179"/>
  <c r="AT16" i="179"/>
  <c r="AT20" i="179"/>
  <c r="BD19" i="179"/>
  <c r="BD16" i="179"/>
  <c r="BD21" i="179"/>
  <c r="BD17" i="179"/>
  <c r="BD20" i="179"/>
  <c r="BD18" i="179"/>
  <c r="AM13" i="48"/>
  <c r="S40" i="48"/>
  <c r="AD52" i="47"/>
  <c r="AD54" i="47" s="1"/>
  <c r="AD55" i="47" s="1"/>
  <c r="K58" i="47"/>
  <c r="I45" i="47"/>
  <c r="R33" i="47"/>
  <c r="AB33" i="47"/>
  <c r="AB54" i="47" s="1"/>
  <c r="AB55" i="47" s="1"/>
  <c r="F45" i="47"/>
  <c r="O33" i="47"/>
  <c r="Y33" i="47"/>
  <c r="H45" i="47"/>
  <c r="Q33" i="47"/>
  <c r="AA33" i="47"/>
  <c r="AA54" i="47" s="1"/>
  <c r="AA55" i="47" s="1"/>
  <c r="U34" i="107"/>
  <c r="U36" i="107"/>
  <c r="U35" i="107"/>
  <c r="U37" i="107"/>
  <c r="U33" i="107"/>
  <c r="U32" i="107"/>
  <c r="I10" i="107"/>
  <c r="Z8" i="126"/>
  <c r="J45" i="47"/>
  <c r="S33" i="47"/>
  <c r="AC33" i="47"/>
  <c r="AC54" i="47" s="1"/>
  <c r="AC55" i="47" s="1"/>
  <c r="AJ20" i="48"/>
  <c r="AJ21" i="48"/>
  <c r="AK21" i="48"/>
  <c r="AK20" i="48"/>
  <c r="AF18" i="48"/>
  <c r="F12" i="76" s="1"/>
  <c r="AF19" i="48"/>
  <c r="F13" i="76" s="1"/>
  <c r="AF16" i="48"/>
  <c r="F10" i="76" s="1"/>
  <c r="AF17" i="48"/>
  <c r="F11" i="76" s="1"/>
  <c r="AK18" i="48"/>
  <c r="AK17" i="48"/>
  <c r="AK19" i="48"/>
  <c r="AK16" i="48"/>
  <c r="AE25" i="179"/>
  <c r="AE28" i="179"/>
  <c r="AE24" i="179"/>
  <c r="AE27" i="179"/>
  <c r="AE26" i="179"/>
  <c r="AE29" i="179"/>
  <c r="AE17" i="179"/>
  <c r="AE21" i="179"/>
  <c r="AE18" i="179"/>
  <c r="AE20" i="179"/>
  <c r="AE16" i="179"/>
  <c r="AE19" i="179"/>
  <c r="AM31" i="179"/>
  <c r="G45" i="47"/>
  <c r="P33" i="47"/>
  <c r="Z33" i="47"/>
  <c r="Z54" i="47" s="1"/>
  <c r="Z55" i="47" s="1"/>
  <c r="AO8" i="126"/>
  <c r="AI21" i="48"/>
  <c r="J15" i="76" s="1"/>
  <c r="AI20" i="48"/>
  <c r="J14" i="76" s="1"/>
  <c r="AE19" i="48"/>
  <c r="I13" i="76" s="1"/>
  <c r="AE18" i="48"/>
  <c r="I12" i="76" s="1"/>
  <c r="AE16" i="48"/>
  <c r="I10" i="76" s="1"/>
  <c r="AE17" i="48"/>
  <c r="I11" i="76" s="1"/>
  <c r="AG19" i="48"/>
  <c r="AG16" i="48"/>
  <c r="AG18" i="48"/>
  <c r="AG17" i="48"/>
  <c r="Y54" i="47"/>
  <c r="Y55" i="47" s="1"/>
  <c r="U8" i="179"/>
  <c r="S20" i="48"/>
  <c r="AM11" i="48"/>
  <c r="S38" i="48"/>
  <c r="S21" i="48"/>
  <c r="AM12" i="48"/>
  <c r="S39" i="48"/>
  <c r="S17" i="48"/>
  <c r="AM10" i="48"/>
  <c r="S37" i="48"/>
  <c r="S18" i="48"/>
  <c r="S19" i="48"/>
  <c r="S16" i="48"/>
  <c r="BC16" i="179"/>
  <c r="BC20" i="179"/>
  <c r="BC21" i="179"/>
  <c r="BC17" i="179"/>
  <c r="BC19" i="179"/>
  <c r="BC18" i="179"/>
  <c r="S10" i="50"/>
  <c r="S25" i="50" s="1"/>
  <c r="R25" i="50"/>
  <c r="AP8" i="126"/>
  <c r="AG21" i="48"/>
  <c r="AG20" i="48"/>
  <c r="AJ17" i="48"/>
  <c r="AJ19" i="48"/>
  <c r="AJ16" i="48"/>
  <c r="AJ18" i="48"/>
  <c r="R8" i="126"/>
  <c r="BD25" i="179"/>
  <c r="BD29" i="179"/>
  <c r="BD27" i="179"/>
  <c r="BD26" i="179"/>
  <c r="BD28" i="179"/>
  <c r="BD24" i="179"/>
  <c r="AT27" i="179"/>
  <c r="AT24" i="179"/>
  <c r="AT29" i="179"/>
  <c r="AT25" i="179"/>
  <c r="AT26" i="179"/>
  <c r="AT28" i="179"/>
  <c r="AF16" i="179"/>
  <c r="AF20" i="179"/>
  <c r="AF18" i="179"/>
  <c r="AF19" i="179"/>
  <c r="AF17" i="179"/>
  <c r="AF21" i="179"/>
  <c r="H53" i="55"/>
  <c r="V31" i="179"/>
  <c r="BI31" i="179" s="1"/>
  <c r="AK31" i="179"/>
  <c r="J20" i="61"/>
  <c r="S12" i="61"/>
  <c r="K49" i="55"/>
  <c r="K55" i="55"/>
  <c r="P45" i="55"/>
  <c r="W35" i="55"/>
  <c r="AC35" i="55" s="1"/>
  <c r="L55" i="55"/>
  <c r="S55" i="55" s="1"/>
  <c r="L49" i="55"/>
  <c r="L53" i="55" s="1"/>
  <c r="K12" i="61"/>
  <c r="T10" i="61"/>
  <c r="AC31" i="179"/>
  <c r="J53" i="55"/>
  <c r="T31" i="179"/>
  <c r="Z26" i="55"/>
  <c r="AF26" i="55" s="1"/>
  <c r="S35" i="55"/>
  <c r="Q55" i="55"/>
  <c r="L31" i="179"/>
  <c r="O55" i="55"/>
  <c r="N31" i="179"/>
  <c r="BA31" i="179" s="1"/>
  <c r="L25" i="76"/>
  <c r="Y26" i="55"/>
  <c r="AE26" i="55" s="1"/>
  <c r="R35" i="55"/>
  <c r="O45" i="55"/>
  <c r="V35" i="55"/>
  <c r="AB35" i="55" s="1"/>
  <c r="M26" i="76"/>
  <c r="H20" i="61"/>
  <c r="F22" i="76"/>
  <c r="G22" i="76" s="1"/>
  <c r="Q12" i="61"/>
  <c r="R12" i="61"/>
  <c r="Q49" i="55"/>
  <c r="X49" i="55" s="1"/>
  <c r="AD49" i="55" s="1"/>
  <c r="X45" i="55"/>
  <c r="AD45" i="55" s="1"/>
  <c r="M10" i="61"/>
  <c r="L12" i="61"/>
  <c r="U10" i="61"/>
  <c r="J10" i="50" l="1"/>
  <c r="J22" i="50" s="1"/>
  <c r="K26" i="126"/>
  <c r="K24" i="126"/>
  <c r="K27" i="126"/>
  <c r="K25" i="126"/>
  <c r="K28" i="126"/>
  <c r="K29" i="126"/>
  <c r="BE13" i="179"/>
  <c r="BA13" i="179"/>
  <c r="AC13" i="179"/>
  <c r="X13" i="48"/>
  <c r="BA14" i="179"/>
  <c r="AC14" i="179"/>
  <c r="BE14" i="179"/>
  <c r="X14" i="48"/>
  <c r="AH21" i="126"/>
  <c r="AH16" i="126"/>
  <c r="AH17" i="126"/>
  <c r="AH18" i="126"/>
  <c r="AH19" i="126"/>
  <c r="AH20" i="126"/>
  <c r="S24" i="126"/>
  <c r="S25" i="126"/>
  <c r="S26" i="126"/>
  <c r="S27" i="126"/>
  <c r="S28" i="126"/>
  <c r="S29" i="126"/>
  <c r="AR12" i="179"/>
  <c r="D26" i="179"/>
  <c r="D29" i="179"/>
  <c r="D25" i="179"/>
  <c r="D27" i="179"/>
  <c r="D28" i="179"/>
  <c r="D24" i="179"/>
  <c r="D19" i="179"/>
  <c r="D20" i="179"/>
  <c r="D21" i="179"/>
  <c r="AR10" i="179"/>
  <c r="D16" i="179"/>
  <c r="D18" i="179"/>
  <c r="D17" i="179"/>
  <c r="H10" i="126"/>
  <c r="C17" i="126"/>
  <c r="C16" i="126"/>
  <c r="C19" i="126"/>
  <c r="C18" i="126"/>
  <c r="C21" i="126"/>
  <c r="C20" i="126"/>
  <c r="AL14" i="179"/>
  <c r="BJ14" i="179"/>
  <c r="U14" i="48"/>
  <c r="BJ11" i="179"/>
  <c r="AL11" i="179"/>
  <c r="BX11" i="179" s="1"/>
  <c r="U11" i="48"/>
  <c r="K17" i="126"/>
  <c r="K18" i="126"/>
  <c r="K19" i="126"/>
  <c r="K20" i="126"/>
  <c r="K21" i="126"/>
  <c r="K16" i="126"/>
  <c r="S21" i="126"/>
  <c r="S16" i="126"/>
  <c r="S17" i="126"/>
  <c r="S18" i="126"/>
  <c r="S19" i="126"/>
  <c r="S20" i="126"/>
  <c r="H13" i="126"/>
  <c r="BJ10" i="179"/>
  <c r="V18" i="179"/>
  <c r="V17" i="179"/>
  <c r="V19" i="179"/>
  <c r="V21" i="179"/>
  <c r="AL10" i="179"/>
  <c r="V16" i="179"/>
  <c r="V20" i="179"/>
  <c r="U10" i="48"/>
  <c r="BJ13" i="179"/>
  <c r="AL13" i="179"/>
  <c r="BW13" i="179" s="1"/>
  <c r="U13" i="48"/>
  <c r="AI16" i="126"/>
  <c r="AI19" i="126"/>
  <c r="AI18" i="126"/>
  <c r="AI21" i="126"/>
  <c r="AI20" i="126"/>
  <c r="AI17" i="126"/>
  <c r="BE11" i="179"/>
  <c r="AC11" i="179"/>
  <c r="BA11" i="179"/>
  <c r="X11" i="48"/>
  <c r="AR11" i="179"/>
  <c r="H11" i="126"/>
  <c r="C25" i="126"/>
  <c r="C24" i="126"/>
  <c r="C27" i="126"/>
  <c r="H12" i="126"/>
  <c r="C28" i="126"/>
  <c r="C29" i="126"/>
  <c r="C26" i="126"/>
  <c r="V25" i="179"/>
  <c r="V28" i="179"/>
  <c r="V26" i="179"/>
  <c r="BJ12" i="179"/>
  <c r="V29" i="179"/>
  <c r="AL12" i="179"/>
  <c r="V24" i="179"/>
  <c r="V27" i="179"/>
  <c r="U12" i="48"/>
  <c r="M24" i="179"/>
  <c r="M27" i="179"/>
  <c r="M25" i="179"/>
  <c r="BA12" i="179"/>
  <c r="M29" i="179"/>
  <c r="BE12" i="179"/>
  <c r="M28" i="179"/>
  <c r="M26" i="179"/>
  <c r="AC12" i="179"/>
  <c r="X12" i="48"/>
  <c r="AC10" i="179"/>
  <c r="M19" i="179"/>
  <c r="BE10" i="179"/>
  <c r="M20" i="179"/>
  <c r="M16" i="179"/>
  <c r="M21" i="179"/>
  <c r="M18" i="179"/>
  <c r="BA10" i="179"/>
  <c r="M17" i="179"/>
  <c r="X10" i="48"/>
  <c r="AR14" i="179"/>
  <c r="AR13" i="179"/>
  <c r="H14" i="126"/>
  <c r="S48" i="48"/>
  <c r="S47" i="48"/>
  <c r="G58" i="47"/>
  <c r="G71" i="47" s="1"/>
  <c r="G50" i="47"/>
  <c r="P45" i="47"/>
  <c r="I33" i="107"/>
  <c r="I37" i="107"/>
  <c r="I34" i="107"/>
  <c r="I35" i="107"/>
  <c r="H25" i="110" s="1"/>
  <c r="H26" i="110" s="1"/>
  <c r="H29" i="110" s="1"/>
  <c r="H34" i="110" s="1"/>
  <c r="D10" i="110" s="1"/>
  <c r="H10" i="110" s="1"/>
  <c r="H12" i="110" s="1"/>
  <c r="H14" i="110" s="1"/>
  <c r="I32" i="107"/>
  <c r="I36" i="107"/>
  <c r="F58" i="47"/>
  <c r="F71" i="47" s="1"/>
  <c r="O45" i="47"/>
  <c r="F50" i="47"/>
  <c r="F21" i="76"/>
  <c r="K71" i="47"/>
  <c r="AS19" i="179"/>
  <c r="AS17" i="179"/>
  <c r="AS18" i="179"/>
  <c r="AS21" i="179"/>
  <c r="AS16" i="179"/>
  <c r="AS20" i="179"/>
  <c r="T39" i="48"/>
  <c r="AN12" i="48"/>
  <c r="AD25" i="179"/>
  <c r="AD29" i="179"/>
  <c r="AD26" i="179"/>
  <c r="AD27" i="179"/>
  <c r="AD24" i="179"/>
  <c r="AD28" i="179"/>
  <c r="BB25" i="179"/>
  <c r="BB28" i="179"/>
  <c r="BB27" i="179"/>
  <c r="BB24" i="179"/>
  <c r="BB26" i="179"/>
  <c r="BB29" i="179"/>
  <c r="BB17" i="179"/>
  <c r="BB21" i="179"/>
  <c r="BB19" i="179"/>
  <c r="BB20" i="179"/>
  <c r="BB18" i="179"/>
  <c r="BB16" i="179"/>
  <c r="BK24" i="179"/>
  <c r="BK26" i="179"/>
  <c r="BK27" i="179"/>
  <c r="BK25" i="179"/>
  <c r="BK28" i="179"/>
  <c r="BK29" i="179"/>
  <c r="AM20" i="48"/>
  <c r="AM21" i="48"/>
  <c r="AC8" i="179"/>
  <c r="AK8" i="179" s="1"/>
  <c r="AS8" i="179" s="1"/>
  <c r="J58" i="47"/>
  <c r="J71" i="47" s="1"/>
  <c r="J50" i="47"/>
  <c r="S45" i="47"/>
  <c r="P31" i="179"/>
  <c r="H58" i="47"/>
  <c r="H71" i="47" s="1"/>
  <c r="H50" i="47"/>
  <c r="Q45" i="47"/>
  <c r="K8" i="179"/>
  <c r="Q8" i="126"/>
  <c r="D58" i="47"/>
  <c r="M45" i="47"/>
  <c r="D50" i="47"/>
  <c r="W18" i="48"/>
  <c r="W16" i="48"/>
  <c r="W17" i="48"/>
  <c r="W19" i="48"/>
  <c r="W37" i="48"/>
  <c r="AQ10" i="48"/>
  <c r="AA10" i="48"/>
  <c r="AW19" i="179"/>
  <c r="AW20" i="179"/>
  <c r="AW16" i="179"/>
  <c r="AW21" i="179"/>
  <c r="AW17" i="179"/>
  <c r="AW18" i="179"/>
  <c r="BL16" i="179"/>
  <c r="BL20" i="179"/>
  <c r="BL17" i="179"/>
  <c r="BL19" i="179"/>
  <c r="BL21" i="179"/>
  <c r="BL18" i="179"/>
  <c r="BW14" i="179"/>
  <c r="T18" i="48"/>
  <c r="T19" i="48"/>
  <c r="T37" i="48"/>
  <c r="AN10" i="48"/>
  <c r="T17" i="48"/>
  <c r="T16" i="48"/>
  <c r="AW29" i="179"/>
  <c r="AW26" i="179"/>
  <c r="AW27" i="179"/>
  <c r="AW24" i="179"/>
  <c r="AW25" i="179"/>
  <c r="AW28" i="179"/>
  <c r="W41" i="48"/>
  <c r="AQ14" i="48"/>
  <c r="AA14" i="48"/>
  <c r="AN26" i="179"/>
  <c r="AN27" i="179"/>
  <c r="BX12" i="179"/>
  <c r="AN28" i="179"/>
  <c r="AN24" i="179"/>
  <c r="AN29" i="179"/>
  <c r="AN25" i="179"/>
  <c r="W38" i="48"/>
  <c r="W21" i="48"/>
  <c r="W20" i="48"/>
  <c r="AQ11" i="48"/>
  <c r="AA11" i="48"/>
  <c r="AM16" i="179"/>
  <c r="AM20" i="179"/>
  <c r="AM19" i="179"/>
  <c r="BW10" i="179"/>
  <c r="AM21" i="179"/>
  <c r="AM17" i="179"/>
  <c r="AM18" i="179"/>
  <c r="J26" i="50"/>
  <c r="I30" i="50" s="1"/>
  <c r="J21" i="50"/>
  <c r="S44" i="48"/>
  <c r="S46" i="48"/>
  <c r="S45" i="48"/>
  <c r="S43" i="48"/>
  <c r="AU8" i="126"/>
  <c r="AG8" i="126"/>
  <c r="T8" i="179"/>
  <c r="W40" i="48"/>
  <c r="AQ13" i="48"/>
  <c r="AA13" i="48"/>
  <c r="AD18" i="179"/>
  <c r="AD17" i="179"/>
  <c r="AD19" i="179"/>
  <c r="AD16" i="179"/>
  <c r="AD20" i="179"/>
  <c r="AD21" i="179"/>
  <c r="W24" i="48"/>
  <c r="W26" i="48"/>
  <c r="AQ12" i="48"/>
  <c r="W25" i="48"/>
  <c r="W27" i="48"/>
  <c r="W39" i="48"/>
  <c r="AA12" i="48"/>
  <c r="AN14" i="48"/>
  <c r="T41" i="48"/>
  <c r="T21" i="48"/>
  <c r="AN11" i="48"/>
  <c r="T20" i="48"/>
  <c r="T38" i="48"/>
  <c r="Y8" i="126"/>
  <c r="AV8" i="126"/>
  <c r="AM18" i="48"/>
  <c r="AM16" i="48"/>
  <c r="AM19" i="48"/>
  <c r="AM17" i="48"/>
  <c r="I58" i="47"/>
  <c r="I71" i="47" s="1"/>
  <c r="I50" i="47"/>
  <c r="Q31" i="179"/>
  <c r="BE31" i="179" s="1"/>
  <c r="R45" i="47"/>
  <c r="E58" i="47"/>
  <c r="E71" i="47" s="1"/>
  <c r="E50" i="47"/>
  <c r="N45" i="47"/>
  <c r="AN18" i="179"/>
  <c r="AN16" i="179"/>
  <c r="AN21" i="179"/>
  <c r="AN20" i="179"/>
  <c r="BX10" i="179"/>
  <c r="AN19" i="179"/>
  <c r="AN17" i="179"/>
  <c r="AS24" i="179"/>
  <c r="AS27" i="179"/>
  <c r="AS25" i="179"/>
  <c r="AS26" i="179"/>
  <c r="AS28" i="179"/>
  <c r="AS29" i="179"/>
  <c r="T40" i="48"/>
  <c r="AN13" i="48"/>
  <c r="BL26" i="179"/>
  <c r="BL27" i="179"/>
  <c r="BL28" i="179"/>
  <c r="BL29" i="179"/>
  <c r="BL24" i="179"/>
  <c r="BL25" i="179"/>
  <c r="AM24" i="179"/>
  <c r="AM28" i="179"/>
  <c r="AM26" i="179"/>
  <c r="AM27" i="179"/>
  <c r="BW12" i="179"/>
  <c r="AM25" i="179"/>
  <c r="AM29" i="179"/>
  <c r="BX14" i="179"/>
  <c r="BW11" i="179"/>
  <c r="BK19" i="179"/>
  <c r="BK16" i="179"/>
  <c r="BK21" i="179"/>
  <c r="BK17" i="179"/>
  <c r="BK18" i="179"/>
  <c r="BK20" i="179"/>
  <c r="H24" i="77"/>
  <c r="M29" i="76"/>
  <c r="AB31" i="179"/>
  <c r="AZ31" i="179"/>
  <c r="AJ31" i="179"/>
  <c r="BH31" i="179"/>
  <c r="K53" i="55"/>
  <c r="S31" i="179"/>
  <c r="G23" i="77"/>
  <c r="L29" i="76"/>
  <c r="L20" i="61"/>
  <c r="U12" i="61"/>
  <c r="O49" i="55"/>
  <c r="V49" i="55" s="1"/>
  <c r="AB49" i="55" s="1"/>
  <c r="V45" i="55"/>
  <c r="AB45" i="55" s="1"/>
  <c r="AD31" i="179"/>
  <c r="BB31" i="179"/>
  <c r="Z35" i="55"/>
  <c r="AF35" i="55" s="1"/>
  <c r="S45" i="55"/>
  <c r="T12" i="61"/>
  <c r="K20" i="61"/>
  <c r="P49" i="55"/>
  <c r="W49" i="55" s="1"/>
  <c r="AC49" i="55" s="1"/>
  <c r="W45" i="55"/>
  <c r="AC45" i="55" s="1"/>
  <c r="AL31" i="179"/>
  <c r="BJ31" i="179"/>
  <c r="V10" i="61"/>
  <c r="M12" i="61"/>
  <c r="Y35" i="55"/>
  <c r="AE35" i="55" s="1"/>
  <c r="R45" i="55"/>
  <c r="K31" i="179"/>
  <c r="R55" i="55"/>
  <c r="BX13" i="179" l="1"/>
  <c r="J25" i="50"/>
  <c r="E27" i="77"/>
  <c r="AB14" i="179"/>
  <c r="AZ14" i="179"/>
  <c r="AB13" i="179"/>
  <c r="AZ13" i="179"/>
  <c r="AO24" i="126"/>
  <c r="AO26" i="126"/>
  <c r="AO27" i="126"/>
  <c r="AO29" i="126"/>
  <c r="AO28" i="126"/>
  <c r="AO25" i="126"/>
  <c r="O13" i="126"/>
  <c r="AQ14" i="179"/>
  <c r="AK10" i="179"/>
  <c r="U17" i="179"/>
  <c r="U21" i="179"/>
  <c r="U18" i="179"/>
  <c r="BI10" i="179"/>
  <c r="U19" i="179"/>
  <c r="U16" i="179"/>
  <c r="U20" i="179"/>
  <c r="BM10" i="179"/>
  <c r="Y10" i="48"/>
  <c r="BM11" i="179"/>
  <c r="AK11" i="179"/>
  <c r="BI11" i="179"/>
  <c r="Y11" i="48"/>
  <c r="AP25" i="126"/>
  <c r="AP26" i="126"/>
  <c r="AP24" i="126"/>
  <c r="AP27" i="126"/>
  <c r="AP29" i="126"/>
  <c r="AP28" i="126"/>
  <c r="AP17" i="126"/>
  <c r="AP18" i="126"/>
  <c r="AP19" i="126"/>
  <c r="AP20" i="126"/>
  <c r="AP21" i="126"/>
  <c r="AP16" i="126"/>
  <c r="R20" i="126"/>
  <c r="R17" i="126"/>
  <c r="R16" i="126"/>
  <c r="R19" i="126"/>
  <c r="R18" i="126"/>
  <c r="R21" i="126"/>
  <c r="L16" i="179"/>
  <c r="L20" i="179"/>
  <c r="L18" i="179"/>
  <c r="AB10" i="179"/>
  <c r="L19" i="179"/>
  <c r="AZ10" i="179"/>
  <c r="L17" i="179"/>
  <c r="L21" i="179"/>
  <c r="AB11" i="179"/>
  <c r="AZ11" i="179"/>
  <c r="Z24" i="126"/>
  <c r="Z25" i="126"/>
  <c r="Z29" i="126"/>
  <c r="Z26" i="126"/>
  <c r="Z28" i="126"/>
  <c r="Z27" i="126"/>
  <c r="AO20" i="126"/>
  <c r="AO17" i="126"/>
  <c r="AO16" i="126"/>
  <c r="AO19" i="126"/>
  <c r="AO18" i="126"/>
  <c r="AO21" i="126"/>
  <c r="J24" i="126"/>
  <c r="J25" i="126"/>
  <c r="J26" i="126"/>
  <c r="J27" i="126"/>
  <c r="J28" i="126"/>
  <c r="J29" i="126"/>
  <c r="O12" i="126"/>
  <c r="O10" i="126"/>
  <c r="J17" i="126"/>
  <c r="J18" i="126"/>
  <c r="J19" i="126"/>
  <c r="J20" i="126"/>
  <c r="J21" i="126"/>
  <c r="J16" i="126"/>
  <c r="AQ11" i="179"/>
  <c r="BM14" i="179"/>
  <c r="BI14" i="179"/>
  <c r="AK14" i="179"/>
  <c r="Y14" i="48"/>
  <c r="R27" i="126"/>
  <c r="R24" i="126"/>
  <c r="R29" i="126"/>
  <c r="R25" i="126"/>
  <c r="R28" i="126"/>
  <c r="R26" i="126"/>
  <c r="AB12" i="179"/>
  <c r="L26" i="179"/>
  <c r="L25" i="179"/>
  <c r="L27" i="179"/>
  <c r="L29" i="179"/>
  <c r="AZ12" i="179"/>
  <c r="L24" i="179"/>
  <c r="L28" i="179"/>
  <c r="O11" i="126"/>
  <c r="C24" i="179"/>
  <c r="C28" i="179"/>
  <c r="C27" i="179"/>
  <c r="AQ12" i="179"/>
  <c r="C29" i="179"/>
  <c r="C26" i="179"/>
  <c r="C25" i="179"/>
  <c r="AQ13" i="179"/>
  <c r="AK12" i="179"/>
  <c r="U25" i="179"/>
  <c r="U29" i="179"/>
  <c r="BI12" i="179"/>
  <c r="U27" i="179"/>
  <c r="BM12" i="179"/>
  <c r="U28" i="179"/>
  <c r="U26" i="179"/>
  <c r="U24" i="179"/>
  <c r="Y12" i="48"/>
  <c r="Z21" i="126"/>
  <c r="Z16" i="126"/>
  <c r="Z17" i="126"/>
  <c r="Z18" i="126"/>
  <c r="Z19" i="126"/>
  <c r="Z20" i="126"/>
  <c r="O14" i="126"/>
  <c r="C16" i="179"/>
  <c r="C20" i="179"/>
  <c r="C17" i="179"/>
  <c r="C18" i="179"/>
  <c r="C21" i="179"/>
  <c r="AQ10" i="179"/>
  <c r="C19" i="179"/>
  <c r="AK13" i="179"/>
  <c r="BI13" i="179"/>
  <c r="BM13" i="179"/>
  <c r="Y13" i="48"/>
  <c r="BC8" i="126"/>
  <c r="T47" i="48"/>
  <c r="T48" i="48"/>
  <c r="W44" i="48"/>
  <c r="W43" i="48"/>
  <c r="W45" i="48"/>
  <c r="W46" i="48"/>
  <c r="X8" i="126"/>
  <c r="G21" i="76"/>
  <c r="G29" i="76" s="1"/>
  <c r="F29" i="76"/>
  <c r="G19" i="77"/>
  <c r="BA16" i="179"/>
  <c r="BA20" i="179"/>
  <c r="BA18" i="179"/>
  <c r="BA19" i="179"/>
  <c r="BA17" i="179"/>
  <c r="BA21" i="179"/>
  <c r="X25" i="48"/>
  <c r="X27" i="48"/>
  <c r="X39" i="48"/>
  <c r="AR12" i="48"/>
  <c r="AW12" i="48"/>
  <c r="X24" i="48"/>
  <c r="X26" i="48"/>
  <c r="BC12" i="48"/>
  <c r="AB12" i="48"/>
  <c r="BE24" i="179"/>
  <c r="BE28" i="179"/>
  <c r="BE26" i="179"/>
  <c r="BE27" i="179"/>
  <c r="BE25" i="179"/>
  <c r="BE29" i="179"/>
  <c r="X20" i="48"/>
  <c r="BC11" i="48"/>
  <c r="AR11" i="48"/>
  <c r="X38" i="48"/>
  <c r="AW11" i="48"/>
  <c r="X21" i="48"/>
  <c r="AB11" i="48"/>
  <c r="AL17" i="179"/>
  <c r="AL21" i="179"/>
  <c r="AL20" i="179"/>
  <c r="AL16" i="179"/>
  <c r="AL18" i="179"/>
  <c r="AL19" i="179"/>
  <c r="BB8" i="126"/>
  <c r="I31" i="50"/>
  <c r="Q30" i="50"/>
  <c r="Q31" i="50" s="1"/>
  <c r="Q34" i="50" s="1"/>
  <c r="AN18" i="48"/>
  <c r="L12" i="76" s="1"/>
  <c r="AN17" i="48"/>
  <c r="L11" i="76" s="1"/>
  <c r="AN16" i="48"/>
  <c r="L10" i="76" s="1"/>
  <c r="AN19" i="48"/>
  <c r="L13" i="76" s="1"/>
  <c r="M50" i="47"/>
  <c r="D70" i="47"/>
  <c r="F29" i="157"/>
  <c r="H70" i="47"/>
  <c r="Q50" i="47"/>
  <c r="X31" i="179"/>
  <c r="D29" i="157"/>
  <c r="J70" i="47"/>
  <c r="S50" i="47"/>
  <c r="J29" i="157"/>
  <c r="L29" i="157" s="1"/>
  <c r="O50" i="47"/>
  <c r="F70" i="47"/>
  <c r="BE18" i="179"/>
  <c r="BE19" i="179"/>
  <c r="BE20" i="179"/>
  <c r="BE17" i="179"/>
  <c r="BE21" i="179"/>
  <c r="BE16" i="179"/>
  <c r="AC26" i="179"/>
  <c r="AC28" i="179"/>
  <c r="AC24" i="179"/>
  <c r="AC29" i="179"/>
  <c r="AC25" i="179"/>
  <c r="AC27" i="179"/>
  <c r="AL26" i="179"/>
  <c r="AL28" i="179"/>
  <c r="AL24" i="179"/>
  <c r="AL29" i="179"/>
  <c r="AL25" i="179"/>
  <c r="AL27" i="179"/>
  <c r="U16" i="48"/>
  <c r="U19" i="48"/>
  <c r="U37" i="48"/>
  <c r="U18" i="48"/>
  <c r="U17" i="48"/>
  <c r="AO10" i="48"/>
  <c r="BJ18" i="179"/>
  <c r="BJ19" i="179"/>
  <c r="BJ20" i="179"/>
  <c r="BJ16" i="179"/>
  <c r="BJ17" i="179"/>
  <c r="BJ21" i="179"/>
  <c r="AR25" i="179"/>
  <c r="AR29" i="179"/>
  <c r="AR26" i="179"/>
  <c r="AR27" i="179"/>
  <c r="AR24" i="179"/>
  <c r="AR28" i="179"/>
  <c r="N50" i="47"/>
  <c r="E70" i="47"/>
  <c r="K29" i="157"/>
  <c r="Y31" i="179"/>
  <c r="I70" i="47"/>
  <c r="E29" i="157"/>
  <c r="R50" i="47"/>
  <c r="AF8" i="126"/>
  <c r="AN20" i="48"/>
  <c r="L14" i="76" s="1"/>
  <c r="AN21" i="48"/>
  <c r="L15" i="76" s="1"/>
  <c r="AA25" i="48"/>
  <c r="AA27" i="48"/>
  <c r="AA24" i="48"/>
  <c r="AA26" i="48"/>
  <c r="AQ25" i="48"/>
  <c r="AQ26" i="48"/>
  <c r="AQ27" i="48"/>
  <c r="AQ24" i="48"/>
  <c r="AN8" i="126"/>
  <c r="AA20" i="48"/>
  <c r="AA21" i="48"/>
  <c r="W48" i="48"/>
  <c r="W47" i="48"/>
  <c r="T44" i="48"/>
  <c r="T43" i="48"/>
  <c r="T46" i="48"/>
  <c r="T45" i="48"/>
  <c r="AA17" i="48"/>
  <c r="AA18" i="48"/>
  <c r="AA19" i="48"/>
  <c r="AA35" i="48" s="1"/>
  <c r="AA16" i="48"/>
  <c r="X37" i="48"/>
  <c r="AW10" i="48"/>
  <c r="AR10" i="48"/>
  <c r="BC10" i="48"/>
  <c r="X18" i="48"/>
  <c r="X19" i="48"/>
  <c r="X17" i="48"/>
  <c r="X16" i="48"/>
  <c r="AB10" i="48"/>
  <c r="BA26" i="179"/>
  <c r="BA25" i="179"/>
  <c r="BA27" i="179"/>
  <c r="BA29" i="179"/>
  <c r="BA24" i="179"/>
  <c r="BA28" i="179"/>
  <c r="U39" i="48"/>
  <c r="AO12" i="48"/>
  <c r="H25" i="126"/>
  <c r="H28" i="126"/>
  <c r="H26" i="126"/>
  <c r="H29" i="126"/>
  <c r="H27" i="126"/>
  <c r="H24" i="126"/>
  <c r="AO13" i="48"/>
  <c r="U40" i="48"/>
  <c r="U41" i="48"/>
  <c r="AO14" i="48"/>
  <c r="AW14" i="48"/>
  <c r="BC14" i="48"/>
  <c r="X41" i="48"/>
  <c r="AR14" i="48"/>
  <c r="AB14" i="48"/>
  <c r="BC13" i="48"/>
  <c r="X40" i="48"/>
  <c r="AR13" i="48"/>
  <c r="AW13" i="48"/>
  <c r="AB13" i="48"/>
  <c r="AB8" i="179"/>
  <c r="AJ8" i="179" s="1"/>
  <c r="AR8" i="179" s="1"/>
  <c r="AQ20" i="48"/>
  <c r="AQ21" i="48"/>
  <c r="AQ19" i="48"/>
  <c r="AQ35" i="48" s="1"/>
  <c r="AQ16" i="48"/>
  <c r="AQ18" i="48"/>
  <c r="AQ17" i="48"/>
  <c r="E60" i="47"/>
  <c r="K60" i="47"/>
  <c r="F28" i="253" s="1"/>
  <c r="F30" i="253" s="1"/>
  <c r="J60" i="47"/>
  <c r="H60" i="47"/>
  <c r="I60" i="47"/>
  <c r="F60" i="47"/>
  <c r="G60" i="47"/>
  <c r="D71" i="47"/>
  <c r="D60" i="47"/>
  <c r="S8" i="179"/>
  <c r="BD31" i="179"/>
  <c r="AF31" i="179"/>
  <c r="BC31" i="179"/>
  <c r="G70" i="47"/>
  <c r="P50" i="47"/>
  <c r="AC16" i="179"/>
  <c r="AC20" i="179"/>
  <c r="AC21" i="179"/>
  <c r="AC17" i="179"/>
  <c r="AC19" i="179"/>
  <c r="AC18" i="179"/>
  <c r="BJ26" i="179"/>
  <c r="BJ24" i="179"/>
  <c r="BJ29" i="179"/>
  <c r="BJ25" i="179"/>
  <c r="BJ27" i="179"/>
  <c r="BJ28" i="179"/>
  <c r="U38" i="48"/>
  <c r="U21" i="48"/>
  <c r="U20" i="48"/>
  <c r="AO11" i="48"/>
  <c r="H20" i="126"/>
  <c r="H17" i="126"/>
  <c r="H16" i="126"/>
  <c r="H19" i="126"/>
  <c r="H18" i="126"/>
  <c r="H21" i="126"/>
  <c r="AR19" i="179"/>
  <c r="AR18" i="179"/>
  <c r="AR20" i="179"/>
  <c r="AR17" i="179"/>
  <c r="AR21" i="179"/>
  <c r="AR16" i="179"/>
  <c r="AI31" i="179"/>
  <c r="BG31" i="179"/>
  <c r="AY31" i="179"/>
  <c r="AA31" i="179"/>
  <c r="AG31" i="179" s="1"/>
  <c r="V12" i="61"/>
  <c r="M20" i="61"/>
  <c r="E31" i="61" s="1"/>
  <c r="E32" i="61" s="1"/>
  <c r="S49" i="55"/>
  <c r="Z49" i="55" s="1"/>
  <c r="AF49" i="55" s="1"/>
  <c r="Z45" i="55"/>
  <c r="AF45" i="55" s="1"/>
  <c r="R49" i="55"/>
  <c r="Y49" i="55" s="1"/>
  <c r="AE49" i="55" s="1"/>
  <c r="Y45" i="55"/>
  <c r="AE45" i="55" s="1"/>
  <c r="H19" i="60" l="1"/>
  <c r="H21" i="60" s="1"/>
  <c r="Q46" i="60" s="1"/>
  <c r="H27" i="77"/>
  <c r="G27" i="77"/>
  <c r="M25" i="61"/>
  <c r="E33" i="61" s="1"/>
  <c r="H32" i="61" s="1"/>
  <c r="L25" i="61"/>
  <c r="L26" i="61" s="1"/>
  <c r="J25" i="61"/>
  <c r="J26" i="61" s="1"/>
  <c r="M31" i="61"/>
  <c r="K25" i="61"/>
  <c r="K26" i="61" s="1"/>
  <c r="I25" i="61"/>
  <c r="I26" i="61" s="1"/>
  <c r="H25" i="61"/>
  <c r="H26" i="61" s="1"/>
  <c r="AA10" i="179"/>
  <c r="K20" i="179"/>
  <c r="AY10" i="179"/>
  <c r="K18" i="179"/>
  <c r="K17" i="179"/>
  <c r="K19" i="179"/>
  <c r="K21" i="179"/>
  <c r="K16" i="179"/>
  <c r="AY11" i="179"/>
  <c r="AA11" i="179"/>
  <c r="AG11" i="179" s="1"/>
  <c r="AA14" i="179"/>
  <c r="AG14" i="179" s="1"/>
  <c r="AY14" i="179"/>
  <c r="BH14" i="179"/>
  <c r="AJ14" i="179"/>
  <c r="AG24" i="126"/>
  <c r="AG25" i="126"/>
  <c r="AG26" i="126"/>
  <c r="AG27" i="126"/>
  <c r="AG28" i="126"/>
  <c r="AG29" i="126"/>
  <c r="V13" i="126"/>
  <c r="AV16" i="126"/>
  <c r="AV19" i="126"/>
  <c r="AV18" i="126"/>
  <c r="AV21" i="126"/>
  <c r="AV20" i="126"/>
  <c r="AV17" i="126"/>
  <c r="AA12" i="179"/>
  <c r="K26" i="179"/>
  <c r="K24" i="179"/>
  <c r="K29" i="179"/>
  <c r="K25" i="179"/>
  <c r="K28" i="179"/>
  <c r="AY12" i="179"/>
  <c r="K27" i="179"/>
  <c r="AJ10" i="179"/>
  <c r="T18" i="179"/>
  <c r="T19" i="179"/>
  <c r="BH10" i="179"/>
  <c r="T20" i="179"/>
  <c r="T17" i="179"/>
  <c r="T21" i="179"/>
  <c r="T16" i="179"/>
  <c r="AG17" i="126"/>
  <c r="AG18" i="126"/>
  <c r="AG19" i="126"/>
  <c r="AG20" i="126"/>
  <c r="AG21" i="126"/>
  <c r="AG16" i="126"/>
  <c r="Y16" i="126"/>
  <c r="Y19" i="126"/>
  <c r="Y18" i="126"/>
  <c r="Y21" i="126"/>
  <c r="Y20" i="126"/>
  <c r="Y17" i="126"/>
  <c r="AU21" i="126"/>
  <c r="AU16" i="126"/>
  <c r="AU17" i="126"/>
  <c r="AU18" i="126"/>
  <c r="AU19" i="126"/>
  <c r="AU20" i="126"/>
  <c r="V14" i="126"/>
  <c r="AJ13" i="179"/>
  <c r="BH13" i="179"/>
  <c r="AJ11" i="179"/>
  <c r="BH11" i="179"/>
  <c r="V10" i="126"/>
  <c r="Q17" i="126"/>
  <c r="Q16" i="126"/>
  <c r="Q19" i="126"/>
  <c r="Q18" i="126"/>
  <c r="Q21" i="126"/>
  <c r="Q20" i="126"/>
  <c r="V11" i="126"/>
  <c r="AA13" i="179"/>
  <c r="AG13" i="179" s="1"/>
  <c r="AY13" i="179"/>
  <c r="T24" i="179"/>
  <c r="T28" i="179"/>
  <c r="T26" i="179"/>
  <c r="AJ12" i="179"/>
  <c r="T27" i="179"/>
  <c r="T25" i="179"/>
  <c r="T29" i="179"/>
  <c r="BH12" i="179"/>
  <c r="Y27" i="126"/>
  <c r="Y25" i="126"/>
  <c r="Y29" i="126"/>
  <c r="Y26" i="126"/>
  <c r="Y28" i="126"/>
  <c r="Y24" i="126"/>
  <c r="V12" i="126"/>
  <c r="Q26" i="126"/>
  <c r="Q25" i="126"/>
  <c r="Q28" i="126"/>
  <c r="Q27" i="126"/>
  <c r="Q29" i="126"/>
  <c r="Q24" i="126"/>
  <c r="U47" i="48"/>
  <c r="U48" i="48"/>
  <c r="AO21" i="48"/>
  <c r="AO20" i="48"/>
  <c r="AT8" i="126"/>
  <c r="AM8" i="126"/>
  <c r="U46" i="48"/>
  <c r="U43" i="48"/>
  <c r="U44" i="48"/>
  <c r="U45" i="48"/>
  <c r="AB27" i="48"/>
  <c r="AB26" i="48"/>
  <c r="AB24" i="48"/>
  <c r="AB25" i="48"/>
  <c r="F19" i="60"/>
  <c r="BD13" i="48"/>
  <c r="Y40" i="48"/>
  <c r="AS13" i="48"/>
  <c r="AC13" i="48"/>
  <c r="BI27" i="179"/>
  <c r="BI25" i="179"/>
  <c r="BI24" i="179"/>
  <c r="BI26" i="179"/>
  <c r="BI28" i="179"/>
  <c r="BI29" i="179"/>
  <c r="AQ24" i="179"/>
  <c r="AQ28" i="179"/>
  <c r="AQ29" i="179"/>
  <c r="AQ25" i="179"/>
  <c r="AQ26" i="179"/>
  <c r="AQ27" i="179"/>
  <c r="AB27" i="179"/>
  <c r="AB28" i="179"/>
  <c r="AB29" i="179"/>
  <c r="AB24" i="179"/>
  <c r="AB25" i="179"/>
  <c r="AB26" i="179"/>
  <c r="AB16" i="179"/>
  <c r="AB19" i="179"/>
  <c r="AB20" i="179"/>
  <c r="AB18" i="179"/>
  <c r="AB21" i="179"/>
  <c r="AB17" i="179"/>
  <c r="AA8" i="179"/>
  <c r="AI8" i="179" s="1"/>
  <c r="AQ8" i="179" s="1"/>
  <c r="AR16" i="48"/>
  <c r="M10" i="76" s="1"/>
  <c r="AR17" i="48"/>
  <c r="M11" i="76" s="1"/>
  <c r="AR19" i="48"/>
  <c r="M13" i="76" s="1"/>
  <c r="AR18" i="48"/>
  <c r="M12" i="76" s="1"/>
  <c r="BL31" i="179"/>
  <c r="BM31" i="179"/>
  <c r="AO18" i="48"/>
  <c r="AO17" i="48"/>
  <c r="AO19" i="48"/>
  <c r="AO16" i="48"/>
  <c r="L46" i="50"/>
  <c r="L48" i="50" s="1"/>
  <c r="Q38" i="50" s="1"/>
  <c r="Q40" i="50" s="1"/>
  <c r="AR24" i="48"/>
  <c r="AR27" i="48"/>
  <c r="AR25" i="48"/>
  <c r="AR26" i="48"/>
  <c r="AQ18" i="179"/>
  <c r="AQ16" i="179"/>
  <c r="AQ21" i="179"/>
  <c r="AQ17" i="179"/>
  <c r="AQ20" i="179"/>
  <c r="AQ19" i="179"/>
  <c r="F18" i="253" a="1"/>
  <c r="F18" i="253" s="1"/>
  <c r="F20" i="253" s="1"/>
  <c r="F34" i="253" s="1"/>
  <c r="F16" i="60" s="1"/>
  <c r="AW19" i="48"/>
  <c r="AW16" i="48"/>
  <c r="AW18" i="48"/>
  <c r="AW17" i="48"/>
  <c r="G29" i="157"/>
  <c r="I34" i="50"/>
  <c r="S36" i="50"/>
  <c r="S40" i="50" s="1"/>
  <c r="X47" i="48"/>
  <c r="X48" i="48"/>
  <c r="Y25" i="48"/>
  <c r="Y27" i="48"/>
  <c r="Y39" i="48"/>
  <c r="BD12" i="48"/>
  <c r="Y24" i="48"/>
  <c r="Y26" i="48"/>
  <c r="AS12" i="48"/>
  <c r="AC12" i="48"/>
  <c r="BM25" i="179"/>
  <c r="BM29" i="179"/>
  <c r="BM27" i="179"/>
  <c r="BM28" i="179"/>
  <c r="BM24" i="179"/>
  <c r="BM26" i="179"/>
  <c r="O17" i="126"/>
  <c r="O18" i="126"/>
  <c r="O21" i="126"/>
  <c r="O16" i="126"/>
  <c r="O19" i="126"/>
  <c r="O20" i="126"/>
  <c r="AZ18" i="179"/>
  <c r="AZ20" i="179"/>
  <c r="AZ16" i="179"/>
  <c r="AZ21" i="179"/>
  <c r="AZ19" i="179"/>
  <c r="AZ17" i="179"/>
  <c r="Y21" i="48"/>
  <c r="Y38" i="48"/>
  <c r="Y20" i="48"/>
  <c r="AS11" i="48"/>
  <c r="BD11" i="48"/>
  <c r="AC11" i="48"/>
  <c r="BD10" i="48"/>
  <c r="Y19" i="48"/>
  <c r="Y37" i="48"/>
  <c r="AS10" i="48"/>
  <c r="Y16" i="48"/>
  <c r="Y17" i="48"/>
  <c r="Y18" i="48"/>
  <c r="AC10" i="48"/>
  <c r="AB16" i="48"/>
  <c r="AB18" i="48"/>
  <c r="AB17" i="48"/>
  <c r="AB19" i="48"/>
  <c r="X46" i="48"/>
  <c r="X43" i="48"/>
  <c r="X45" i="48"/>
  <c r="X44" i="48"/>
  <c r="AN31" i="179"/>
  <c r="AO31" i="179" s="1"/>
  <c r="BK31" i="179"/>
  <c r="AB21" i="48"/>
  <c r="AB20" i="48"/>
  <c r="AR20" i="48"/>
  <c r="M14" i="76" s="1"/>
  <c r="AR21" i="48"/>
  <c r="M15" i="76" s="1"/>
  <c r="H19" i="77"/>
  <c r="H29" i="77" s="1"/>
  <c r="G29" i="77"/>
  <c r="AE8" i="126"/>
  <c r="AK25" i="179"/>
  <c r="AK29" i="179"/>
  <c r="AK28" i="179"/>
  <c r="AK27" i="179"/>
  <c r="AK24" i="179"/>
  <c r="AK26" i="179"/>
  <c r="AZ25" i="179"/>
  <c r="AZ29" i="179"/>
  <c r="AZ24" i="179"/>
  <c r="AZ26" i="179"/>
  <c r="AZ27" i="179"/>
  <c r="AZ28" i="179"/>
  <c r="BD14" i="48"/>
  <c r="Y41" i="48"/>
  <c r="AS14" i="48"/>
  <c r="AC14" i="48"/>
  <c r="O25" i="126"/>
  <c r="O26" i="126"/>
  <c r="O24" i="126"/>
  <c r="O27" i="126"/>
  <c r="O29" i="126"/>
  <c r="O28" i="126"/>
  <c r="BM19" i="179"/>
  <c r="BM20" i="179"/>
  <c r="BM16" i="179"/>
  <c r="BM21" i="179"/>
  <c r="BM18" i="179"/>
  <c r="BM17" i="179"/>
  <c r="BI18" i="179"/>
  <c r="BI16" i="179"/>
  <c r="BI19" i="179"/>
  <c r="BI20" i="179"/>
  <c r="BI17" i="179"/>
  <c r="BI21" i="179"/>
  <c r="AK16" i="179"/>
  <c r="AK17" i="179"/>
  <c r="AK21" i="179"/>
  <c r="AK19" i="179"/>
  <c r="AK20" i="179"/>
  <c r="AK18" i="179"/>
  <c r="H31" i="61" l="1"/>
  <c r="H33" i="61" s="1"/>
  <c r="J13" i="60" s="1"/>
  <c r="AC14" i="126"/>
  <c r="BC16" i="126"/>
  <c r="BC19" i="126"/>
  <c r="BC18" i="126"/>
  <c r="BC21" i="126"/>
  <c r="BC20" i="126"/>
  <c r="BC17" i="126"/>
  <c r="S25" i="179"/>
  <c r="S29" i="179"/>
  <c r="AI12" i="179"/>
  <c r="S27" i="179"/>
  <c r="S26" i="179"/>
  <c r="S28" i="179"/>
  <c r="BG12" i="179"/>
  <c r="S24" i="179"/>
  <c r="BG13" i="179"/>
  <c r="AI13" i="179"/>
  <c r="AO13" i="179" s="1"/>
  <c r="AC10" i="126"/>
  <c r="X20" i="126"/>
  <c r="X17" i="126"/>
  <c r="X16" i="126"/>
  <c r="X19" i="126"/>
  <c r="X18" i="126"/>
  <c r="X21" i="126"/>
  <c r="AC13" i="126"/>
  <c r="BB16" i="126"/>
  <c r="BB19" i="126"/>
  <c r="BB18" i="126"/>
  <c r="BB21" i="126"/>
  <c r="BB20" i="126"/>
  <c r="BB17" i="126"/>
  <c r="BG11" i="179"/>
  <c r="AI11" i="179"/>
  <c r="AO11" i="179" s="1"/>
  <c r="AF24" i="126"/>
  <c r="AF25" i="126"/>
  <c r="AF26" i="126"/>
  <c r="AF29" i="126"/>
  <c r="AF27" i="126"/>
  <c r="AF28" i="126"/>
  <c r="AN20" i="126"/>
  <c r="AN17" i="126"/>
  <c r="AN16" i="126"/>
  <c r="AN19" i="126"/>
  <c r="AN18" i="126"/>
  <c r="AN21" i="126"/>
  <c r="AN24" i="126"/>
  <c r="AN25" i="126"/>
  <c r="AN26" i="126"/>
  <c r="AN27" i="126"/>
  <c r="AN28" i="126"/>
  <c r="AN29" i="126"/>
  <c r="AC11" i="126"/>
  <c r="X24" i="126"/>
  <c r="X25" i="126"/>
  <c r="X26" i="126"/>
  <c r="X27" i="126"/>
  <c r="AC12" i="126"/>
  <c r="X28" i="126"/>
  <c r="X29" i="126"/>
  <c r="AI14" i="179"/>
  <c r="AO14" i="179" s="1"/>
  <c r="BG14" i="179"/>
  <c r="AI10" i="179"/>
  <c r="S19" i="179"/>
  <c r="S16" i="179"/>
  <c r="BG10" i="179"/>
  <c r="S21" i="179"/>
  <c r="S17" i="179"/>
  <c r="S18" i="179"/>
  <c r="S20" i="179"/>
  <c r="AF20" i="126"/>
  <c r="AF17" i="126"/>
  <c r="AF16" i="126"/>
  <c r="AF19" i="126"/>
  <c r="AF18" i="126"/>
  <c r="AF21" i="126"/>
  <c r="AC17" i="48"/>
  <c r="AC19" i="48"/>
  <c r="AC35" i="48" s="1"/>
  <c r="AC16" i="48"/>
  <c r="AC18" i="48"/>
  <c r="AS16" i="48"/>
  <c r="AS17" i="48"/>
  <c r="AS18" i="48"/>
  <c r="AS19" i="48"/>
  <c r="AS35" i="48" s="1"/>
  <c r="AC21" i="48"/>
  <c r="AC20" i="48"/>
  <c r="Y48" i="48"/>
  <c r="Y47" i="48"/>
  <c r="AC25" i="48"/>
  <c r="AC26" i="48"/>
  <c r="AC27" i="48"/>
  <c r="AC24" i="48"/>
  <c r="I40" i="50"/>
  <c r="I57" i="50" s="1"/>
  <c r="N57" i="50" s="1"/>
  <c r="N58" i="50" s="1"/>
  <c r="I46" i="50"/>
  <c r="I48" i="50" s="1"/>
  <c r="AS8" i="126"/>
  <c r="BH24" i="179"/>
  <c r="BH28" i="179"/>
  <c r="BH26" i="179"/>
  <c r="BH25" i="179"/>
  <c r="BH27" i="179"/>
  <c r="BH29" i="179"/>
  <c r="AJ24" i="179"/>
  <c r="AJ27" i="179"/>
  <c r="AJ25" i="179"/>
  <c r="AJ26" i="179"/>
  <c r="AJ29" i="179"/>
  <c r="AJ28" i="179"/>
  <c r="AJ17" i="179"/>
  <c r="AJ21" i="179"/>
  <c r="AJ18" i="179"/>
  <c r="AJ16" i="179"/>
  <c r="AJ19" i="179"/>
  <c r="AJ20" i="179"/>
  <c r="AA26" i="179"/>
  <c r="AA24" i="179"/>
  <c r="AA28" i="179"/>
  <c r="AG12" i="179"/>
  <c r="AA25" i="179"/>
  <c r="AA29" i="179"/>
  <c r="AA27" i="179"/>
  <c r="Y43" i="48"/>
  <c r="Y45" i="48"/>
  <c r="Y46" i="48"/>
  <c r="Y44" i="48"/>
  <c r="AS26" i="48"/>
  <c r="AS24" i="48"/>
  <c r="AS25" i="48"/>
  <c r="AS27" i="48"/>
  <c r="G34" i="253"/>
  <c r="H16" i="60" s="1"/>
  <c r="J16" i="60" s="1"/>
  <c r="V26" i="126"/>
  <c r="V28" i="126"/>
  <c r="V24" i="126"/>
  <c r="V27" i="126"/>
  <c r="V25" i="126"/>
  <c r="V29" i="126"/>
  <c r="V16" i="126"/>
  <c r="V19" i="126"/>
  <c r="V18" i="126"/>
  <c r="V21" i="126"/>
  <c r="V20" i="126"/>
  <c r="V17" i="126"/>
  <c r="BH18" i="179"/>
  <c r="BH21" i="179"/>
  <c r="BH16" i="179"/>
  <c r="BH17" i="179"/>
  <c r="BH19" i="179"/>
  <c r="BH20" i="179"/>
  <c r="AY19" i="179"/>
  <c r="AY18" i="179"/>
  <c r="AY17" i="179"/>
  <c r="AY16" i="179"/>
  <c r="AY20" i="179"/>
  <c r="AY21" i="179"/>
  <c r="AL8" i="126"/>
  <c r="AS21" i="48"/>
  <c r="AS20" i="48"/>
  <c r="J19" i="60"/>
  <c r="J21" i="60" s="1"/>
  <c r="F21" i="60"/>
  <c r="Q45" i="60" s="1"/>
  <c r="Q44" i="60" s="1"/>
  <c r="BA8" i="126"/>
  <c r="AY27" i="179"/>
  <c r="AY25" i="179"/>
  <c r="AY26" i="179"/>
  <c r="AY28" i="179"/>
  <c r="AY29" i="179"/>
  <c r="AY24" i="179"/>
  <c r="F23" i="60"/>
  <c r="H23" i="60"/>
  <c r="H25" i="60" s="1"/>
  <c r="P46" i="60" s="1"/>
  <c r="AA17" i="179"/>
  <c r="AA21" i="179"/>
  <c r="AG10" i="179"/>
  <c r="AA20" i="179"/>
  <c r="AA18" i="179"/>
  <c r="AA19" i="179"/>
  <c r="AA16" i="179"/>
  <c r="I33" i="61"/>
  <c r="AT27" i="126" l="1"/>
  <c r="AT24" i="126"/>
  <c r="AT29" i="126"/>
  <c r="AT25" i="126"/>
  <c r="AT28" i="126"/>
  <c r="AT26" i="126"/>
  <c r="AJ10" i="126"/>
  <c r="AE16" i="126"/>
  <c r="AE19" i="126"/>
  <c r="AE18" i="126"/>
  <c r="AE21" i="126"/>
  <c r="AE20" i="126"/>
  <c r="AE17" i="126"/>
  <c r="AJ13" i="126"/>
  <c r="AM17" i="126"/>
  <c r="AM18" i="126"/>
  <c r="AM19" i="126"/>
  <c r="AM20" i="126"/>
  <c r="AM21" i="126"/>
  <c r="AM16" i="126"/>
  <c r="AE27" i="126"/>
  <c r="AE26" i="126"/>
  <c r="AE29" i="126"/>
  <c r="AJ12" i="126"/>
  <c r="AE28" i="126"/>
  <c r="AE24" i="126"/>
  <c r="AE25" i="126"/>
  <c r="AT17" i="126"/>
  <c r="AT16" i="126"/>
  <c r="AT19" i="126"/>
  <c r="AT18" i="126"/>
  <c r="AT21" i="126"/>
  <c r="AT20" i="126"/>
  <c r="AJ11" i="126"/>
  <c r="AJ14" i="126"/>
  <c r="AM27" i="126"/>
  <c r="AM29" i="126"/>
  <c r="AM24" i="126"/>
  <c r="AM28" i="126"/>
  <c r="AM25" i="126"/>
  <c r="AM26" i="126"/>
  <c r="BG8" i="126"/>
  <c r="H27" i="60"/>
  <c r="H29" i="60" s="1"/>
  <c r="H32" i="60" s="1"/>
  <c r="H35" i="60" s="1"/>
  <c r="AG25" i="179"/>
  <c r="AG29" i="179"/>
  <c r="AG28" i="179"/>
  <c r="AG27" i="179"/>
  <c r="AG24" i="179"/>
  <c r="AG26" i="179"/>
  <c r="AG19" i="179"/>
  <c r="AG17" i="179"/>
  <c r="AG20" i="179"/>
  <c r="AG21" i="179"/>
  <c r="AG16" i="179"/>
  <c r="AG18" i="179"/>
  <c r="J23" i="60"/>
  <c r="J25" i="60" s="1"/>
  <c r="J27" i="60" s="1"/>
  <c r="J29" i="60" s="1"/>
  <c r="F25" i="60"/>
  <c r="P45" i="60" s="1"/>
  <c r="P44" i="60" s="1"/>
  <c r="AO10" i="179"/>
  <c r="AI19" i="179"/>
  <c r="AI16" i="179"/>
  <c r="AI21" i="179"/>
  <c r="AI18" i="179"/>
  <c r="AI20" i="179"/>
  <c r="AI17" i="179"/>
  <c r="AC20" i="126"/>
  <c r="AC17" i="126"/>
  <c r="AC19" i="126"/>
  <c r="AC21" i="126"/>
  <c r="AC16" i="126"/>
  <c r="AC18" i="126"/>
  <c r="BG29" i="179"/>
  <c r="BG26" i="179"/>
  <c r="BG27" i="179"/>
  <c r="BG28" i="179"/>
  <c r="BG24" i="179"/>
  <c r="BG25" i="179"/>
  <c r="AI24" i="179"/>
  <c r="AI28" i="179"/>
  <c r="AO12" i="179"/>
  <c r="AI29" i="179"/>
  <c r="AI27" i="179"/>
  <c r="AI25" i="179"/>
  <c r="AI26" i="179"/>
  <c r="AR8" i="126"/>
  <c r="AZ8" i="126"/>
  <c r="F27" i="60"/>
  <c r="F29" i="60" s="1"/>
  <c r="F32" i="60" s="1"/>
  <c r="F35" i="60" s="1"/>
  <c r="BG17" i="179"/>
  <c r="BG21" i="179"/>
  <c r="BG19" i="179"/>
  <c r="BG20" i="179"/>
  <c r="BG16" i="179"/>
  <c r="BG18" i="179"/>
  <c r="AC26" i="126"/>
  <c r="AC28" i="126"/>
  <c r="AC24" i="126"/>
  <c r="AC27" i="126"/>
  <c r="AC25" i="126"/>
  <c r="AC29" i="126"/>
  <c r="O47" i="60" l="1"/>
  <c r="P47" i="60" s="1"/>
  <c r="Q47" i="60" s="1"/>
  <c r="J32" i="60"/>
  <c r="J35" i="60" s="1"/>
  <c r="AL26" i="126"/>
  <c r="AL24" i="126"/>
  <c r="AL27" i="126"/>
  <c r="AL28" i="126"/>
  <c r="AL25" i="126"/>
  <c r="AL29" i="126"/>
  <c r="BA26" i="126"/>
  <c r="BA28" i="126"/>
  <c r="BA24" i="126"/>
  <c r="BA27" i="126"/>
  <c r="BA29" i="126"/>
  <c r="BA25" i="126"/>
  <c r="AS18" i="126"/>
  <c r="AS21" i="126"/>
  <c r="AS20" i="126"/>
  <c r="AS17" i="126"/>
  <c r="AS16" i="126"/>
  <c r="AS19" i="126"/>
  <c r="AS24" i="126"/>
  <c r="AS25" i="126"/>
  <c r="AS26" i="126"/>
  <c r="AS27" i="126"/>
  <c r="AS28" i="126"/>
  <c r="AS29" i="126"/>
  <c r="AL21" i="126"/>
  <c r="AL16" i="126"/>
  <c r="AL17" i="126"/>
  <c r="AL18" i="126"/>
  <c r="AL19" i="126"/>
  <c r="AL20" i="126"/>
  <c r="BA17" i="126"/>
  <c r="BA18" i="126"/>
  <c r="BA19" i="126"/>
  <c r="BA20" i="126"/>
  <c r="BA21" i="126"/>
  <c r="BA16" i="126"/>
  <c r="BF8" i="126"/>
  <c r="AY8" i="126"/>
  <c r="BL8" i="126"/>
  <c r="AJ25" i="126"/>
  <c r="AJ26" i="126"/>
  <c r="AJ29" i="126"/>
  <c r="AJ24" i="126"/>
  <c r="AJ27" i="126"/>
  <c r="AJ28" i="126"/>
  <c r="AO27" i="179"/>
  <c r="AO25" i="179"/>
  <c r="AO24" i="179"/>
  <c r="AO26" i="179"/>
  <c r="AO28" i="179"/>
  <c r="AO29" i="179"/>
  <c r="AJ17" i="126"/>
  <c r="AJ19" i="126"/>
  <c r="AJ21" i="126"/>
  <c r="AJ18" i="126"/>
  <c r="AJ16" i="126"/>
  <c r="AJ20" i="126"/>
  <c r="AO18" i="179"/>
  <c r="AO21" i="179"/>
  <c r="AO19" i="179"/>
  <c r="AO17" i="179"/>
  <c r="AO16" i="179"/>
  <c r="AO20" i="179"/>
  <c r="AW11" i="126" l="1"/>
  <c r="AR26" i="126"/>
  <c r="AR25" i="126"/>
  <c r="AR28" i="126"/>
  <c r="AW12" i="126"/>
  <c r="AR27" i="126"/>
  <c r="AR24" i="126"/>
  <c r="AR29" i="126"/>
  <c r="BG20" i="126"/>
  <c r="BG17" i="126"/>
  <c r="BG16" i="126"/>
  <c r="BG19" i="126"/>
  <c r="BG18" i="126"/>
  <c r="BG21" i="126"/>
  <c r="AW10" i="126"/>
  <c r="AR16" i="126"/>
  <c r="AR17" i="126"/>
  <c r="AR18" i="126"/>
  <c r="AR19" i="126"/>
  <c r="AR20" i="126"/>
  <c r="AR21" i="126"/>
  <c r="AZ24" i="126"/>
  <c r="AZ25" i="126"/>
  <c r="AZ26" i="126"/>
  <c r="AZ27" i="126"/>
  <c r="AZ28" i="126"/>
  <c r="AZ29" i="126"/>
  <c r="AW13" i="126"/>
  <c r="AZ21" i="126"/>
  <c r="AZ16" i="126"/>
  <c r="AZ17" i="126"/>
  <c r="AZ18" i="126"/>
  <c r="AZ19" i="126"/>
  <c r="AZ20" i="126"/>
  <c r="BG24" i="126"/>
  <c r="BG25" i="126"/>
  <c r="BG26" i="126"/>
  <c r="BG27" i="126"/>
  <c r="BG28" i="126"/>
  <c r="BG29" i="126"/>
  <c r="AW14" i="126"/>
  <c r="BK8" i="126"/>
  <c r="BQ8" i="126"/>
  <c r="BE8" i="126"/>
  <c r="CC14" i="126" l="1"/>
  <c r="CB14" i="126"/>
  <c r="BL24" i="126"/>
  <c r="BL25" i="126"/>
  <c r="BL26" i="126"/>
  <c r="BL27" i="126"/>
  <c r="BL28" i="126"/>
  <c r="BL29" i="126"/>
  <c r="AY16" i="126"/>
  <c r="AY19" i="126"/>
  <c r="AY18" i="126"/>
  <c r="AY21" i="126"/>
  <c r="AY20" i="126"/>
  <c r="AY17" i="126"/>
  <c r="CC10" i="126"/>
  <c r="CB10" i="126"/>
  <c r="CC11" i="126"/>
  <c r="CB11" i="126"/>
  <c r="AY25" i="126"/>
  <c r="AY26" i="126"/>
  <c r="AY24" i="126"/>
  <c r="AY27" i="126"/>
  <c r="AY28" i="126"/>
  <c r="AY29" i="126"/>
  <c r="CC12" i="126"/>
  <c r="CB12" i="126"/>
  <c r="BL17" i="126"/>
  <c r="BL16" i="126"/>
  <c r="BL19" i="126"/>
  <c r="BL18" i="126"/>
  <c r="BL21" i="126"/>
  <c r="BL20" i="126"/>
  <c r="BF24" i="126"/>
  <c r="BF25" i="126"/>
  <c r="BF29" i="126"/>
  <c r="BF26" i="126"/>
  <c r="BF28" i="126"/>
  <c r="BF27" i="126"/>
  <c r="CC13" i="126"/>
  <c r="CB13" i="126"/>
  <c r="BF17" i="126"/>
  <c r="BF18" i="126"/>
  <c r="BF19" i="126"/>
  <c r="BF20" i="126"/>
  <c r="BF21" i="126"/>
  <c r="BF16" i="126"/>
  <c r="BP8" i="126"/>
  <c r="AW18" i="126"/>
  <c r="AW20" i="126"/>
  <c r="AW17" i="126"/>
  <c r="AW21" i="126"/>
  <c r="AW16" i="126"/>
  <c r="AW19" i="126"/>
  <c r="BJ8" i="126"/>
  <c r="AW24" i="126"/>
  <c r="AW27" i="126"/>
  <c r="AW29" i="126"/>
  <c r="AW25" i="126"/>
  <c r="AW28" i="126"/>
  <c r="AW26" i="126"/>
  <c r="BQ16" i="126" l="1"/>
  <c r="BQ19" i="126"/>
  <c r="BQ18" i="126"/>
  <c r="BQ21" i="126"/>
  <c r="BQ20" i="126"/>
  <c r="BQ17" i="126"/>
  <c r="BH13" i="126"/>
  <c r="BK27" i="126"/>
  <c r="BK26" i="126"/>
  <c r="BK29" i="126"/>
  <c r="BK28" i="126"/>
  <c r="BK24" i="126"/>
  <c r="BK25" i="126"/>
  <c r="BQ24" i="126"/>
  <c r="BQ25" i="126"/>
  <c r="BQ26" i="126"/>
  <c r="BQ27" i="126"/>
  <c r="BQ28" i="126"/>
  <c r="BQ29" i="126"/>
  <c r="BH11" i="126"/>
  <c r="BH12" i="126"/>
  <c r="BE27" i="126"/>
  <c r="BE25" i="126"/>
  <c r="BE29" i="126"/>
  <c r="BE26" i="126"/>
  <c r="BE28" i="126"/>
  <c r="BE24" i="126"/>
  <c r="BK19" i="126"/>
  <c r="BK20" i="126"/>
  <c r="BK21" i="126"/>
  <c r="BK16" i="126"/>
  <c r="BK18" i="126"/>
  <c r="BK17" i="126"/>
  <c r="BH10" i="126"/>
  <c r="BE21" i="126"/>
  <c r="BE16" i="126"/>
  <c r="BE17" i="126"/>
  <c r="BE18" i="126"/>
  <c r="BE19" i="126"/>
  <c r="BE20" i="126"/>
  <c r="BH14" i="126"/>
  <c r="BO8" i="126"/>
  <c r="BM10" i="126" l="1"/>
  <c r="BJ16" i="126"/>
  <c r="BJ17" i="126"/>
  <c r="BJ18" i="126"/>
  <c r="BJ19" i="126"/>
  <c r="BJ20" i="126"/>
  <c r="BJ21" i="126"/>
  <c r="BM13" i="126"/>
  <c r="BP26" i="126"/>
  <c r="BP24" i="126"/>
  <c r="BP27" i="126"/>
  <c r="BP28" i="126"/>
  <c r="BP25" i="126"/>
  <c r="BP29" i="126"/>
  <c r="BM14" i="126"/>
  <c r="BP21" i="126"/>
  <c r="BP16" i="126"/>
  <c r="BP17" i="126"/>
  <c r="BP18" i="126"/>
  <c r="BP19" i="126"/>
  <c r="BP20" i="126"/>
  <c r="BM11" i="126"/>
  <c r="BJ26" i="126"/>
  <c r="BM12" i="126"/>
  <c r="BJ28" i="126"/>
  <c r="BJ24" i="126"/>
  <c r="BJ27" i="126"/>
  <c r="BJ25" i="126"/>
  <c r="BJ29" i="126"/>
  <c r="BH20" i="126"/>
  <c r="BH17" i="126"/>
  <c r="BH19" i="126"/>
  <c r="BH21" i="126"/>
  <c r="BH16" i="126"/>
  <c r="BH18" i="126"/>
  <c r="BH25" i="126"/>
  <c r="BH24" i="126"/>
  <c r="BH27" i="126"/>
  <c r="BH29" i="126"/>
  <c r="BH26" i="126"/>
  <c r="BH28" i="126"/>
  <c r="BR13" i="126" l="1"/>
  <c r="BR12" i="126"/>
  <c r="BO25" i="126"/>
  <c r="BO26" i="126"/>
  <c r="BO24" i="126"/>
  <c r="BO27" i="126"/>
  <c r="BO28" i="126"/>
  <c r="BO29" i="126"/>
  <c r="BR10" i="126"/>
  <c r="BO17" i="126"/>
  <c r="BO18" i="126"/>
  <c r="BO19" i="126"/>
  <c r="BO20" i="126"/>
  <c r="BO21" i="126"/>
  <c r="BO16" i="126"/>
  <c r="BR14" i="126"/>
  <c r="BR11" i="126"/>
  <c r="BM24" i="126"/>
  <c r="BM25" i="126"/>
  <c r="BM26" i="126"/>
  <c r="BM29" i="126"/>
  <c r="BM27" i="126"/>
  <c r="BM28" i="126"/>
  <c r="BM16" i="126"/>
  <c r="BM19" i="126"/>
  <c r="BM18" i="126"/>
  <c r="BM21" i="126"/>
  <c r="BM20" i="126"/>
  <c r="BM17" i="126"/>
  <c r="BR27" i="126" l="1"/>
  <c r="BR29" i="126"/>
  <c r="BR24" i="126"/>
  <c r="BR28" i="126"/>
  <c r="BR25" i="126"/>
  <c r="BR26" i="126"/>
  <c r="BR16" i="126"/>
  <c r="BR18" i="126"/>
  <c r="BR20" i="126"/>
  <c r="BR19" i="126"/>
  <c r="BR17" i="126"/>
  <c r="BR21" i="126"/>
</calcChain>
</file>

<file path=xl/comments1.xml><?xml version="1.0" encoding="utf-8"?>
<comments xmlns="http://schemas.openxmlformats.org/spreadsheetml/2006/main">
  <authors>
    <author>Dhara Shah</author>
  </authors>
  <commentList>
    <comment ref="M11" authorId="0" shapeId="0">
      <text>
        <r>
          <rPr>
            <b/>
            <sz val="9"/>
            <color indexed="81"/>
            <rFont val="Tahoma"/>
            <family val="2"/>
          </rPr>
          <t>Ayush Mittal:</t>
        </r>
        <r>
          <rPr>
            <sz val="9"/>
            <color indexed="81"/>
            <rFont val="Tahoma"/>
            <family val="2"/>
          </rPr>
          <t xml:space="preserve">
Depreciation equal to the Capital Expenditure added to the Operating Expenses.</t>
        </r>
      </text>
    </comment>
  </commentList>
</comments>
</file>

<file path=xl/comments2.xml><?xml version="1.0" encoding="utf-8"?>
<comments xmlns="http://schemas.openxmlformats.org/spreadsheetml/2006/main">
  <authors>
    <author>Valuation Common</author>
  </authors>
  <commentList>
    <comment ref="Q32" authorId="0" shapeId="0">
      <text>
        <r>
          <rPr>
            <b/>
            <sz val="9"/>
            <color indexed="81"/>
            <rFont val="Tahoma"/>
            <family val="2"/>
          </rPr>
          <t>=IF((CIQ(B56, "IQ_COMPANY_NAME"))="(Invalid Identifier)","",(CIQ(B56, "IQ_COMPANY_NAME")))</t>
        </r>
      </text>
    </comment>
  </commentList>
</comments>
</file>

<file path=xl/comments3.xml><?xml version="1.0" encoding="utf-8"?>
<comments xmlns="http://schemas.openxmlformats.org/spreadsheetml/2006/main">
  <authors>
    <author>Valuation Common</author>
  </authors>
  <commentList>
    <comment ref="Z10" authorId="0" shapeId="0">
      <text>
        <r>
          <rPr>
            <b/>
            <sz val="9"/>
            <color indexed="81"/>
            <rFont val="Tahoma"/>
            <family val="2"/>
          </rPr>
          <t>Valuation Common:</t>
        </r>
        <r>
          <rPr>
            <sz val="9"/>
            <color indexed="81"/>
            <rFont val="Tahoma"/>
            <family val="2"/>
          </rPr>
          <t xml:space="preserve">
Difference due to EUR:USD exchange rate for balance sheet data (as of Jun 30) and market data (as of Sep 15)</t>
        </r>
      </text>
    </comment>
    <comment ref="Z11" authorId="0" shapeId="0">
      <text>
        <r>
          <rPr>
            <b/>
            <sz val="9"/>
            <color indexed="81"/>
            <rFont val="Tahoma"/>
            <family val="2"/>
          </rPr>
          <t>Valuation Common:</t>
        </r>
        <r>
          <rPr>
            <sz val="9"/>
            <color indexed="81"/>
            <rFont val="Tahoma"/>
            <family val="2"/>
          </rPr>
          <t xml:space="preserve">
Difference due to EUR:USD exchange rate for balance sheet data (as of Jun 30) and market data (as of Sep 15)</t>
        </r>
      </text>
    </comment>
  </commentList>
</comments>
</file>

<file path=xl/comments4.xml><?xml version="1.0" encoding="utf-8"?>
<comments xmlns="http://schemas.openxmlformats.org/spreadsheetml/2006/main">
  <authors>
    <author>Valuation Common</author>
  </authors>
  <commentList>
    <comment ref="AE42" authorId="0" shapeId="0">
      <text>
        <r>
          <rPr>
            <b/>
            <sz val="9"/>
            <color indexed="81"/>
            <rFont val="Tahoma"/>
            <family val="2"/>
          </rPr>
          <t>=IF((CIQ(B56, "IQ_COMPANY_NAME"))="(Invalid Identifier)","",(CIQ(B56, "IQ_COMPANY_NAME")))</t>
        </r>
      </text>
    </comment>
  </commentList>
</comments>
</file>

<file path=xl/comments5.xml><?xml version="1.0" encoding="utf-8"?>
<comments xmlns="http://schemas.openxmlformats.org/spreadsheetml/2006/main">
  <authors>
    <author>Ayush Mittal</author>
  </authors>
  <commentList>
    <comment ref="B16" authorId="0" shapeId="0">
      <text>
        <r>
          <rPr>
            <b/>
            <sz val="9"/>
            <color indexed="81"/>
            <rFont val="Tahoma"/>
            <family val="2"/>
          </rPr>
          <t>Ayush Mittal:</t>
        </r>
        <r>
          <rPr>
            <sz val="9"/>
            <color indexed="81"/>
            <rFont val="Tahoma"/>
            <family val="2"/>
          </rPr>
          <t xml:space="preserve">
Needs checking.</t>
        </r>
      </text>
    </comment>
  </commentList>
</comments>
</file>

<file path=xl/sharedStrings.xml><?xml version="1.0" encoding="utf-8"?>
<sst xmlns="http://schemas.openxmlformats.org/spreadsheetml/2006/main" count="1619" uniqueCount="845">
  <si>
    <t>May</t>
  </si>
  <si>
    <t>Operating Expenses</t>
  </si>
  <si>
    <t>Net Patient Revenues</t>
  </si>
  <si>
    <t>Net Income</t>
  </si>
  <si>
    <t>Year 1</t>
  </si>
  <si>
    <t>Year 2</t>
  </si>
  <si>
    <t>Year 3</t>
  </si>
  <si>
    <t>Year 4</t>
  </si>
  <si>
    <t>Year 5</t>
  </si>
  <si>
    <t>Terminal</t>
  </si>
  <si>
    <t>(In $000)</t>
  </si>
  <si>
    <t>Depreciation</t>
  </si>
  <si>
    <t>Satellite Healthcare</t>
  </si>
  <si>
    <t>Privileged and Confidential</t>
  </si>
  <si>
    <t>Outline</t>
  </si>
  <si>
    <t>Number of Pages</t>
  </si>
  <si>
    <t>A</t>
  </si>
  <si>
    <t>B</t>
  </si>
  <si>
    <t>Cash Flow Adjustments</t>
  </si>
  <si>
    <t>+</t>
  </si>
  <si>
    <t>-</t>
  </si>
  <si>
    <t>Capital Expenditures</t>
  </si>
  <si>
    <t>FREE CASH FLOWS</t>
  </si>
  <si>
    <t>Total Adjustments</t>
  </si>
  <si>
    <t>VALUATION</t>
  </si>
  <si>
    <t>Timing</t>
  </si>
  <si>
    <t>Discount Factor at</t>
  </si>
  <si>
    <t>Present Value of Cash Flows</t>
  </si>
  <si>
    <t>Terminal CF Valuation</t>
  </si>
  <si>
    <t>Terminal CF</t>
  </si>
  <si>
    <t>Value at Time T</t>
  </si>
  <si>
    <t>Value at Time 0</t>
  </si>
  <si>
    <t>Valuation Summary</t>
  </si>
  <si>
    <t>PV Terminal CF</t>
  </si>
  <si>
    <t>PV 5 Year CFs</t>
  </si>
  <si>
    <t>Total Value</t>
  </si>
  <si>
    <t>DCF Valuation</t>
  </si>
  <si>
    <t>Savings Target ($ / Treatment)</t>
  </si>
  <si>
    <t>EPO Savings ($ / Treatment)</t>
  </si>
  <si>
    <t>Treatments (000)</t>
  </si>
  <si>
    <t>SAVINGS</t>
  </si>
  <si>
    <t>Valuation of Synergy 1 - EPO Savings</t>
  </si>
  <si>
    <t>Ramp to Savings</t>
  </si>
  <si>
    <t>SAVINGS ON EPO</t>
  </si>
  <si>
    <t>Working Capital Requirement</t>
  </si>
  <si>
    <t>Cap X</t>
  </si>
  <si>
    <t>Depr. Years</t>
  </si>
  <si>
    <t>Direct Labor</t>
  </si>
  <si>
    <t>Professional Fees</t>
  </si>
  <si>
    <t>EBITDA</t>
  </si>
  <si>
    <t>Patient Count</t>
  </si>
  <si>
    <t xml:space="preserve">Historical </t>
  </si>
  <si>
    <t>Forecast</t>
  </si>
  <si>
    <t>Existing depreciation</t>
  </si>
  <si>
    <t>Existing Depreciation Reduction</t>
  </si>
  <si>
    <t>Growth Rate</t>
  </si>
  <si>
    <t>Aug</t>
  </si>
  <si>
    <t>Lab Services</t>
  </si>
  <si>
    <t>Oct YTD</t>
  </si>
  <si>
    <t>Sep</t>
  </si>
  <si>
    <t>Contractual Allowances</t>
  </si>
  <si>
    <t>Insurance</t>
  </si>
  <si>
    <t>Advertising</t>
  </si>
  <si>
    <t>Bad Debt</t>
  </si>
  <si>
    <t>Management Services</t>
  </si>
  <si>
    <t>Valuation of Benchmark Transactions</t>
  </si>
  <si>
    <t>Values in $ Millions</t>
  </si>
  <si>
    <t>Same as transaction value for most</t>
  </si>
  <si>
    <t>Transaction Data</t>
  </si>
  <si>
    <t>Target Financials</t>
  </si>
  <si>
    <t>Enterprise Value Multiples</t>
  </si>
  <si>
    <t>Transaction ID</t>
  </si>
  <si>
    <t>Acquiror</t>
  </si>
  <si>
    <t>Target</t>
  </si>
  <si>
    <t>Closed Date</t>
  </si>
  <si>
    <t>Transaction Value</t>
  </si>
  <si>
    <t>LTM REVENUE</t>
  </si>
  <si>
    <t>LTM EBITDA</t>
  </si>
  <si>
    <t>LTM EBIT</t>
  </si>
  <si>
    <t>Relevance Tier</t>
  </si>
  <si>
    <t>Enterprise Value</t>
  </si>
  <si>
    <t>Low</t>
  </si>
  <si>
    <t>High</t>
  </si>
  <si>
    <t>Median</t>
  </si>
  <si>
    <t>Mean</t>
  </si>
  <si>
    <t>Summary Statistic</t>
  </si>
  <si>
    <t>Revenues</t>
  </si>
  <si>
    <t>Operating Income</t>
  </si>
  <si>
    <t>EBIT</t>
  </si>
  <si>
    <t>Valuation Range</t>
  </si>
  <si>
    <t>Valuation of Benchmark Public Companies</t>
  </si>
  <si>
    <t>Valuation Data</t>
  </si>
  <si>
    <t>Valuation Metrics</t>
  </si>
  <si>
    <t>Equity Value Multiples</t>
  </si>
  <si>
    <t>Company</t>
  </si>
  <si>
    <t>Shares Outstanding</t>
  </si>
  <si>
    <t>Price</t>
  </si>
  <si>
    <t>Debt</t>
  </si>
  <si>
    <t>Cash</t>
  </si>
  <si>
    <t>Equity 
Value</t>
  </si>
  <si>
    <t>REVENUE</t>
  </si>
  <si>
    <t>Comp Tab</t>
  </si>
  <si>
    <t>FYE</t>
  </si>
  <si>
    <t>LTM</t>
  </si>
  <si>
    <t>NCY</t>
  </si>
  <si>
    <t>Jan</t>
  </si>
  <si>
    <t>Feb</t>
  </si>
  <si>
    <t>Mar</t>
  </si>
  <si>
    <t>Apr</t>
  </si>
  <si>
    <t>Jun</t>
  </si>
  <si>
    <t>Jul</t>
  </si>
  <si>
    <t>Oct</t>
  </si>
  <si>
    <t>Nov</t>
  </si>
  <si>
    <t>Total Treatments</t>
  </si>
  <si>
    <t>Dec</t>
  </si>
  <si>
    <t>Net Revenue - Dialysis</t>
  </si>
  <si>
    <t>Gross Revenue - Dialysis</t>
  </si>
  <si>
    <t>Benefits &amp; Payroll Taxes-Direct Labor</t>
  </si>
  <si>
    <t>Pharmacy Supplies</t>
  </si>
  <si>
    <t>Dialysis Supplies</t>
  </si>
  <si>
    <t>Other Direct Costs</t>
  </si>
  <si>
    <t>Productive Costs</t>
  </si>
  <si>
    <t>Indirect Labor</t>
  </si>
  <si>
    <t>Benefits &amp; Payroll Taxes-Indirect Labor</t>
  </si>
  <si>
    <t>Salaries &amp; Benefits Costs</t>
  </si>
  <si>
    <t>Total Direct Costs</t>
  </si>
  <si>
    <t>Gross Profit - Dialysis</t>
  </si>
  <si>
    <t>Facility, Property Tax &amp; Equip. Costs</t>
  </si>
  <si>
    <t>Office Expenses</t>
  </si>
  <si>
    <t>Travel</t>
  </si>
  <si>
    <t>G&amp;A - Dialysis</t>
  </si>
  <si>
    <t>EBITDA - Dialysis</t>
  </si>
  <si>
    <t>Valuation Date</t>
  </si>
  <si>
    <t>Val Date</t>
  </si>
  <si>
    <t>Filing</t>
  </si>
  <si>
    <t>F</t>
  </si>
  <si>
    <t>Currency</t>
  </si>
  <si>
    <t>USD</t>
  </si>
  <si>
    <t>Cost of Capital Analysis</t>
  </si>
  <si>
    <t>Conversion</t>
  </si>
  <si>
    <t>H</t>
  </si>
  <si>
    <t>Company Name</t>
  </si>
  <si>
    <t>Beta Lookback (Years)</t>
  </si>
  <si>
    <t>Index</t>
  </si>
  <si>
    <t>Frequency</t>
  </si>
  <si>
    <t>Levered Beta</t>
  </si>
  <si>
    <t>Unlevered Beta</t>
  </si>
  <si>
    <t>Market Cap</t>
  </si>
  <si>
    <t>Debt / Equity</t>
  </si>
  <si>
    <t>MVIC</t>
  </si>
  <si>
    <t>Start Date</t>
  </si>
  <si>
    <t>D/MVIC</t>
  </si>
  <si>
    <t>E/MVIC</t>
  </si>
  <si>
    <t>Tax Rate</t>
  </si>
  <si>
    <t>Ticker</t>
  </si>
  <si>
    <t>Check</t>
  </si>
  <si>
    <t>^SPX</t>
  </si>
  <si>
    <t>W</t>
  </si>
  <si>
    <t xml:space="preserve">Mean </t>
  </si>
  <si>
    <t>Lower Value</t>
  </si>
  <si>
    <t>Higher Value</t>
  </si>
  <si>
    <t>Market Risk Premium</t>
  </si>
  <si>
    <t>Beta</t>
  </si>
  <si>
    <t>Equity risk premium</t>
  </si>
  <si>
    <t>Risk-Free Rate</t>
  </si>
  <si>
    <t>R(d)</t>
  </si>
  <si>
    <t>Unadjusted Cost of Equity Capital</t>
  </si>
  <si>
    <t>IQ36183840</t>
  </si>
  <si>
    <t>Size Premium</t>
  </si>
  <si>
    <t>Additional Size Premium</t>
  </si>
  <si>
    <t>of value</t>
  </si>
  <si>
    <t>Calculated cost of equity</t>
  </si>
  <si>
    <t>Additional Size Premia (%) 10TH Decile)</t>
  </si>
  <si>
    <t>K(e) after Size Premia</t>
  </si>
  <si>
    <t>Illequidity Premia Impact on Value</t>
  </si>
  <si>
    <t>Value Impact Translated to Cost of Cap</t>
  </si>
  <si>
    <t>WEIGHTED AVERAGE COST OF CAPITAL - CAPITAL ASSET PRICING MODEL</t>
  </si>
  <si>
    <t>Particulars</t>
  </si>
  <si>
    <t>Cost of Capital</t>
  </si>
  <si>
    <t>Weighting</t>
  </si>
  <si>
    <t>Equity</t>
  </si>
  <si>
    <t>Cost of Debt</t>
  </si>
  <si>
    <t>Pre-tax cost of debt</t>
  </si>
  <si>
    <t>Tax rate</t>
  </si>
  <si>
    <t>Post-tax cost of debt</t>
  </si>
  <si>
    <t>Cost of Equity</t>
  </si>
  <si>
    <t>Notes:</t>
  </si>
  <si>
    <t>(a) The capital structure weight is based on median of guideline public companies.</t>
  </si>
  <si>
    <t>(b) Reflects the average yield on the Moody's Baa Rated Corporate Index as of the Valuation Date.</t>
  </si>
  <si>
    <t>(c) Reflects the yield on 20-year US treasuries as of the Valuation Date.</t>
  </si>
  <si>
    <t xml:space="preserve">(d) Long-horizon expected ERp (supply-side): historical ERp minus price-to-earnings ratio calculated using three-year average earnings. </t>
  </si>
  <si>
    <t xml:space="preserve">       Source: 2015 Valuation Handbook - Key Variables - Cost of Capital.</t>
  </si>
  <si>
    <t>(e) The beta is based on the unlevered beta of the guideline companies and relevered based on the Company's capital structure.</t>
  </si>
  <si>
    <t>(f) Small stock premium for the 10th decile companies. Source: Duff and Phelps 2015 Valuation Handbook - Key Variables - Cost of Capital.</t>
  </si>
  <si>
    <t>(g) The unsystematic risk captures risks associated with operations, forecast achievement, execution, financing and generic risks associated with smaller companies.</t>
  </si>
  <si>
    <t>Target Company ID</t>
  </si>
  <si>
    <t>&lt;&lt;do not delete</t>
  </si>
  <si>
    <t>Labor</t>
  </si>
  <si>
    <t>Management Fees</t>
  </si>
  <si>
    <t>Medical Director</t>
  </si>
  <si>
    <t>Operating Phase</t>
  </si>
  <si>
    <t>$ / Treatment</t>
  </si>
  <si>
    <t>Net Revenues</t>
  </si>
  <si>
    <t>Direct Expenses</t>
  </si>
  <si>
    <t>Gross Profit</t>
  </si>
  <si>
    <t>General &amp; Administrative</t>
  </si>
  <si>
    <t>Facility, Office &amp; Prof.</t>
  </si>
  <si>
    <t>Bad Debt Expense</t>
  </si>
  <si>
    <t>Interest Expense</t>
  </si>
  <si>
    <t>Pretax Income</t>
  </si>
  <si>
    <t>Operating Expenses Used for Cash Reserve</t>
  </si>
  <si>
    <t>Expenses used of A/P calc.</t>
  </si>
  <si>
    <t>Partner Non-Cash Distribution</t>
  </si>
  <si>
    <t>Income Allocation</t>
  </si>
  <si>
    <t xml:space="preserve">Actual </t>
  </si>
  <si>
    <t>Pharmacy Total</t>
  </si>
  <si>
    <t>% Gross Rev.</t>
  </si>
  <si>
    <t>Valuation Results</t>
  </si>
  <si>
    <t>Public Company Benchmark</t>
  </si>
  <si>
    <t>High Value</t>
  </si>
  <si>
    <t>Transaction Benchmark</t>
  </si>
  <si>
    <t>Top</t>
  </si>
  <si>
    <t>Bottom</t>
  </si>
  <si>
    <t>Low Value</t>
  </si>
  <si>
    <t>Base Case</t>
  </si>
  <si>
    <t>Range of Value</t>
  </si>
  <si>
    <t xml:space="preserve"> </t>
  </si>
  <si>
    <t>Values in $ Thousands</t>
  </si>
  <si>
    <t>Income Approach</t>
  </si>
  <si>
    <t>Market Approach</t>
  </si>
  <si>
    <t>DCF Using Aggregated Financials</t>
  </si>
  <si>
    <t>Market Valuation Using Public Benchmark Companies</t>
  </si>
  <si>
    <t>Market Valuation Using Benchmark Transactions</t>
  </si>
  <si>
    <t>Business Description</t>
  </si>
  <si>
    <t>Benchmark Public Company Business Descriptions</t>
  </si>
  <si>
    <t>Consolidated Financials</t>
  </si>
  <si>
    <t>Transaction Summary Statistics and Metric Valuation</t>
  </si>
  <si>
    <t>NasdaqGS:NXTM</t>
  </si>
  <si>
    <t>NYSE:DVA</t>
  </si>
  <si>
    <t>DB:FME</t>
  </si>
  <si>
    <t>Pharmacy</t>
  </si>
  <si>
    <t>Lab Expense</t>
  </si>
  <si>
    <t>Hemo Dialysis</t>
  </si>
  <si>
    <t>Home Dialysis</t>
  </si>
  <si>
    <t>Acute Care</t>
  </si>
  <si>
    <t>Selected Multiple</t>
  </si>
  <si>
    <t>Footnotes:</t>
  </si>
  <si>
    <t>CUBE:</t>
  </si>
  <si>
    <t>cxmd:bpmFinance</t>
  </si>
  <si>
    <t>Budget</t>
  </si>
  <si>
    <t>001 - Hemodialysis</t>
  </si>
  <si>
    <t>SDC &amp; SCS - Locations</t>
  </si>
  <si>
    <t>bpmScenario</t>
  </si>
  <si>
    <t>Plan</t>
  </si>
  <si>
    <t>Actuals</t>
  </si>
  <si>
    <t>002 - PD</t>
  </si>
  <si>
    <t>SCS</t>
  </si>
  <si>
    <t>bpmCompany</t>
  </si>
  <si>
    <t>Total Company</t>
  </si>
  <si>
    <t>003 - Home Hemo</t>
  </si>
  <si>
    <t>Total Locations</t>
  </si>
  <si>
    <t>bpmDivision</t>
  </si>
  <si>
    <t>Total Divisions</t>
  </si>
  <si>
    <t>Qtr 1</t>
  </si>
  <si>
    <t>004 - Acute Dialysis</t>
  </si>
  <si>
    <t>WBI</t>
  </si>
  <si>
    <t>005 - Nocturnal</t>
  </si>
  <si>
    <t>bpmBook</t>
  </si>
  <si>
    <t>Balance</t>
  </si>
  <si>
    <t>PD &amp; HH</t>
  </si>
  <si>
    <t>bpmYear</t>
  </si>
  <si>
    <t>2011</t>
  </si>
  <si>
    <t>Hemo &amp; PD</t>
  </si>
  <si>
    <t>bpmPeriod</t>
  </si>
  <si>
    <t>Year</t>
  </si>
  <si>
    <t>Qtr 2</t>
  </si>
  <si>
    <t>Hemo &amp; Acute</t>
  </si>
  <si>
    <t>Account</t>
  </si>
  <si>
    <t>Hemo Acute &amp; Nocturnal</t>
  </si>
  <si>
    <t>CXMD:bpmAccount</t>
  </si>
  <si>
    <t>Dialysis</t>
  </si>
  <si>
    <t>Qtr 3</t>
  </si>
  <si>
    <t>cxmd:bpmRevenue_Summary_values</t>
  </si>
  <si>
    <t>cxmd:bpmRevenue_Summary</t>
  </si>
  <si>
    <t>0002</t>
  </si>
  <si>
    <t>Qtr 4</t>
  </si>
  <si>
    <t>Jan YTD</t>
  </si>
  <si>
    <t>bpmLocation</t>
  </si>
  <si>
    <t>in rows</t>
  </si>
  <si>
    <t>Feb YTD</t>
  </si>
  <si>
    <t>All Territories</t>
  </si>
  <si>
    <t>bpmDepartment</t>
  </si>
  <si>
    <t>Mar YTD</t>
  </si>
  <si>
    <t>Region A</t>
  </si>
  <si>
    <t>bpmInsurer</t>
  </si>
  <si>
    <t>Total Insurers</t>
  </si>
  <si>
    <t>Apr YTD</t>
  </si>
  <si>
    <t>The North Bay</t>
  </si>
  <si>
    <t>bpmQMS</t>
  </si>
  <si>
    <t>EPO</t>
  </si>
  <si>
    <t>May YTD</t>
  </si>
  <si>
    <t>Sacramento / Coast</t>
  </si>
  <si>
    <t>Jun YTD</t>
  </si>
  <si>
    <t>MidStates / East Coast</t>
  </si>
  <si>
    <t>Jul YTD</t>
  </si>
  <si>
    <t>The Central Valley</t>
  </si>
  <si>
    <t>bpmRevenue_Msr</t>
  </si>
  <si>
    <t>Units per Treatment</t>
  </si>
  <si>
    <t>Aug YTD</t>
  </si>
  <si>
    <t>Region B</t>
  </si>
  <si>
    <t>Sep YTD</t>
  </si>
  <si>
    <t>SoCal / East Bay</t>
  </si>
  <si>
    <t>Hemo &amp; Noc</t>
  </si>
  <si>
    <t>All Texas</t>
  </si>
  <si>
    <t>Nov YTD</t>
  </si>
  <si>
    <t>The South Bay</t>
  </si>
  <si>
    <t>Dec YTD</t>
  </si>
  <si>
    <t>The Peninsula</t>
  </si>
  <si>
    <t>Dollars</t>
  </si>
  <si>
    <t>Per Treatment</t>
  </si>
  <si>
    <t>EBITDA %</t>
  </si>
  <si>
    <t xml:space="preserve">                  Depreciation/Amortization</t>
  </si>
  <si>
    <t>Other Income / (Expense)</t>
  </si>
  <si>
    <t>Net Income - Operations</t>
  </si>
  <si>
    <t>Values in $ Thousands (except Total Treatments and Patient Count)</t>
  </si>
  <si>
    <t>Values in $ (except Total Treatments and Patient Count)</t>
  </si>
  <si>
    <t>Depreciation/Amortization</t>
  </si>
  <si>
    <t xml:space="preserve">Net Income </t>
  </si>
  <si>
    <t>Other (Income) / Expense</t>
  </si>
  <si>
    <t>Sensitivity Analysis</t>
  </si>
  <si>
    <t>WACC</t>
  </si>
  <si>
    <t>Partial Period Adjustment</t>
  </si>
  <si>
    <t>NYSE:ARA</t>
  </si>
  <si>
    <t>OTCPK:GNOW</t>
  </si>
  <si>
    <t>(1)</t>
  </si>
  <si>
    <t>(2)</t>
  </si>
  <si>
    <t>(3)</t>
  </si>
  <si>
    <t>Lower Quartile</t>
  </si>
  <si>
    <t>IQTR309895463</t>
  </si>
  <si>
    <t>IQTR287234522</t>
  </si>
  <si>
    <t>IQTR241959689</t>
  </si>
  <si>
    <t>IQTR224758361</t>
  </si>
  <si>
    <t>IQTR214248030</t>
  </si>
  <si>
    <t>IQTR208343843</t>
  </si>
  <si>
    <t>IQTR138691695</t>
  </si>
  <si>
    <t>IQTR141272616</t>
  </si>
  <si>
    <t>IQTR119130745</t>
  </si>
  <si>
    <t>IQTR133845111</t>
  </si>
  <si>
    <t>IQTR112218305</t>
  </si>
  <si>
    <t>IQTR100774562</t>
  </si>
  <si>
    <t>Comparable Company</t>
  </si>
  <si>
    <t>P</t>
  </si>
  <si>
    <t>Transaction Description</t>
  </si>
  <si>
    <t>Moody's BAA Rate</t>
  </si>
  <si>
    <t>BAA Rate</t>
  </si>
  <si>
    <t>IQ2668642</t>
  </si>
  <si>
    <t>Weighted Cost</t>
  </si>
  <si>
    <t>Cap IQ</t>
  </si>
  <si>
    <t>Term (years)</t>
  </si>
  <si>
    <t>Risk Free Rate</t>
  </si>
  <si>
    <t>Description</t>
  </si>
  <si>
    <t>United States Treasury Constant Maturity - 20 Year</t>
  </si>
  <si>
    <t>Selected</t>
  </si>
  <si>
    <t>Company-Specific Risk Premium</t>
  </si>
  <si>
    <t>Upper Quartile</t>
  </si>
  <si>
    <t>Weighted Average Cost of Capital - CAPM-Based</t>
  </si>
  <si>
    <t>Capital Structure Components</t>
  </si>
  <si>
    <t>Reference</t>
  </si>
  <si>
    <t>Calculated</t>
  </si>
  <si>
    <t>Applied</t>
  </si>
  <si>
    <t>Pre-Tax Cost Of Debt</t>
  </si>
  <si>
    <t>Post-Tax Cost Of Debt</t>
  </si>
  <si>
    <t>LINK UP</t>
  </si>
  <si>
    <t>Re-Levered Beta</t>
  </si>
  <si>
    <t>&lt;A&gt;</t>
  </si>
  <si>
    <t>&lt;B&gt;</t>
  </si>
  <si>
    <t>(4)</t>
  </si>
  <si>
    <t>Equity Risk Premium</t>
  </si>
  <si>
    <t>&lt;A&gt;*&lt;B&gt;</t>
  </si>
  <si>
    <t>(5)</t>
  </si>
  <si>
    <t>Unsystematic Risk Premium</t>
  </si>
  <si>
    <t>(6)</t>
  </si>
  <si>
    <t>Calculated Cost of Equity</t>
  </si>
  <si>
    <t>(1) Capital structure weighting based on observations of the Guideline Public Companies, as well as company-specific considerations.</t>
  </si>
  <si>
    <t>(2) Based on consideration of the average bond yield for the Moody's Baa Rated Index as of the Valuation Date, and company-specific considerations.</t>
  </si>
  <si>
    <t>(3) Re-levered based on the capital structure weighting portrayed herein.</t>
  </si>
  <si>
    <t>(6) Based on the risk associated with achieving the forecasts.</t>
  </si>
  <si>
    <t>(5) Based on the 25th segment ranked by sales for the Duff &amp; Phelps, LLC Risk Premium Report 2010.</t>
  </si>
  <si>
    <t xml:space="preserve"> Year - 2016</t>
  </si>
  <si>
    <t>premium</t>
  </si>
  <si>
    <t>Mid-cap, 3-5</t>
  </si>
  <si>
    <t>Low-cap, 6-8</t>
  </si>
  <si>
    <t>Micro-cap, 9-10</t>
  </si>
  <si>
    <t>Breakdown of Deciles 1-10</t>
  </si>
  <si>
    <t>1-Largest</t>
  </si>
  <si>
    <t>10-Smallest</t>
  </si>
  <si>
    <t>Breakdown of the 10th Decile</t>
  </si>
  <si>
    <t>10a</t>
  </si>
  <si>
    <t>10b-Smallest</t>
  </si>
  <si>
    <t>Long-horizon expected equity risk premium (supply-side) : historical equity risk premium
minus price-to-earnings ratio calculated using three-year average earnings</t>
  </si>
  <si>
    <t>Beta Calculation</t>
  </si>
  <si>
    <t>Capitalization</t>
  </si>
  <si>
    <t>Guideline Public Companies</t>
  </si>
  <si>
    <t>Pref.</t>
  </si>
  <si>
    <t>Min. Int.</t>
  </si>
  <si>
    <t>Total Debt, Pref., MI</t>
  </si>
  <si>
    <t>Cash &amp; Equiv.</t>
  </si>
  <si>
    <t>Ent. Value</t>
  </si>
  <si>
    <t>EV</t>
  </si>
  <si>
    <t>1st Quartile</t>
  </si>
  <si>
    <t>3rd Quartile</t>
  </si>
  <si>
    <t>Source: Capital IQ</t>
  </si>
  <si>
    <t>LIST</t>
  </si>
  <si>
    <t>M</t>
  </si>
  <si>
    <t>^FTSE</t>
  </si>
  <si>
    <t>^XTO</t>
  </si>
  <si>
    <t>Workpaper 2</t>
  </si>
  <si>
    <t>(Invalid Identifier)</t>
  </si>
  <si>
    <t>n/a</t>
  </si>
  <si>
    <t>Workpapers</t>
  </si>
  <si>
    <t>Revenue</t>
  </si>
  <si>
    <t>Revenue growth rate</t>
  </si>
  <si>
    <t>Higher Quartile</t>
  </si>
  <si>
    <t>Days sales outstanding</t>
  </si>
  <si>
    <t>Days inventory outstanding</t>
  </si>
  <si>
    <t>Days payable outstanding</t>
  </si>
  <si>
    <t>Historical Trends for Comparable Public Companies</t>
  </si>
  <si>
    <t>3-year average</t>
  </si>
  <si>
    <t>EBIT growth rate</t>
  </si>
  <si>
    <t>EBIT Margins</t>
  </si>
  <si>
    <t>nmf</t>
  </si>
  <si>
    <t>Historical Financials</t>
  </si>
  <si>
    <t>DCF</t>
  </si>
  <si>
    <t>Values in $ Millions except Share Price</t>
  </si>
  <si>
    <t xml:space="preserve">(1) </t>
  </si>
  <si>
    <t>Selected Benchmark Transactions Business Descriptions</t>
  </si>
  <si>
    <t>Target Company</t>
  </si>
  <si>
    <t>LTM-1</t>
  </si>
  <si>
    <t>LTM-2</t>
  </si>
  <si>
    <t>Target ID</t>
  </si>
  <si>
    <t>LFR</t>
  </si>
  <si>
    <t>Summary</t>
  </si>
  <si>
    <t>Page 2</t>
  </si>
  <si>
    <t>Page 1</t>
  </si>
  <si>
    <t>Management Service % of Net Rev</t>
  </si>
  <si>
    <t>Bad Debt % of Net Rev</t>
  </si>
  <si>
    <t>Version</t>
  </si>
  <si>
    <t>Historical Trends for Comparable Transactions</t>
  </si>
  <si>
    <t>EBITDA growth rate</t>
  </si>
  <si>
    <t>EBITDA Margins</t>
  </si>
  <si>
    <t>Depr. / Yr.</t>
  </si>
  <si>
    <t>IQTR309873521</t>
  </si>
  <si>
    <t>Announced Date</t>
  </si>
  <si>
    <t>Revenue Forecast</t>
  </si>
  <si>
    <t>EBITDA Forecast</t>
  </si>
  <si>
    <t>EBIT Forecast</t>
  </si>
  <si>
    <t>EBITDA Margin</t>
  </si>
  <si>
    <t>EBIT Margin</t>
  </si>
  <si>
    <t>3-year avg.</t>
  </si>
  <si>
    <t>EBITDA Growth</t>
  </si>
  <si>
    <t>EBIT Growth</t>
  </si>
  <si>
    <t>Revenue Growth</t>
  </si>
  <si>
    <t>Forecasted Trends for Comparable Public Companies</t>
  </si>
  <si>
    <t>4-year CAGR</t>
  </si>
  <si>
    <t>5-year Avg.</t>
  </si>
  <si>
    <t>Terminal Growth Rate</t>
  </si>
  <si>
    <t>Patients (Average)</t>
  </si>
  <si>
    <t>Treatments (Average)</t>
  </si>
  <si>
    <t>IQTR404776897</t>
  </si>
  <si>
    <t>Summary Income Statement</t>
  </si>
  <si>
    <t>=ROUND(H12,2)</t>
  </si>
  <si>
    <t>Management Services (1)</t>
  </si>
  <si>
    <t>Patients - Year End Count</t>
  </si>
  <si>
    <t>In Center</t>
  </si>
  <si>
    <t>Nocturnal</t>
  </si>
  <si>
    <t>Peritoneal</t>
  </si>
  <si>
    <t>Total Patients Year End Count</t>
  </si>
  <si>
    <t>Adjusted Management Services (1)</t>
  </si>
  <si>
    <t>Management fees were charged at a rate higher than 10.0% historically. However, we have considered a 10.0% fee in our forecast, as Management expects to enter into a joint venture. As such, we calculated the adjusted EBITDA based on 10.0% Management fee.</t>
  </si>
  <si>
    <t>Cumulative Adjusted EBITDA</t>
  </si>
  <si>
    <t>Cost Approach</t>
  </si>
  <si>
    <t>C</t>
  </si>
  <si>
    <t>Discounted Cash Flow</t>
  </si>
  <si>
    <t>Home HD</t>
  </si>
  <si>
    <t>Home</t>
  </si>
  <si>
    <t>6-year average</t>
  </si>
  <si>
    <t>Clinical Manager Adjustment</t>
  </si>
  <si>
    <t>Social Worker Adjustment</t>
  </si>
  <si>
    <t>Staffing Adjustment Assumptions</t>
  </si>
  <si>
    <t>DO NOT DELETE</t>
  </si>
  <si>
    <t>Transaction Value/ EBITDA</t>
  </si>
  <si>
    <t>Adjusted Clinical Manager Expense (2)</t>
  </si>
  <si>
    <t>Adjusted Social Worker Expense (3)</t>
  </si>
  <si>
    <t>EBITDA (Adjusted Mgmt @ 10%)</t>
  </si>
  <si>
    <t>First Pricing Date</t>
  </si>
  <si>
    <t>DB:FRE</t>
  </si>
  <si>
    <t xml:space="preserve"> Year - 2017</t>
  </si>
  <si>
    <t>smallest (in millions)</t>
  </si>
  <si>
    <t>largest (in millions)</t>
  </si>
  <si>
    <t>Adjusted EBITDA (1)</t>
  </si>
  <si>
    <t>(1) Indicates figures for FY 2017, 2016 and 2015 respectively</t>
  </si>
  <si>
    <t>Public Company Benchmark Valuation</t>
  </si>
  <si>
    <t>Based on discussions with Management, the center operated with a clinical manager for only half of 2016. As such, RNA adjusted the historical EBITDA to reflect a full time clinical manager for the entire year 2016. RNA applied an adjustment of 50.0% of a full time position.</t>
  </si>
  <si>
    <t>Weighted Average of the Methodologies:</t>
  </si>
  <si>
    <t>(4) Based on the Duff &amp; Phelps 2018 Valuation Handbook.</t>
  </si>
  <si>
    <t>(5) Based on the Duff &amp; Phelps 2018 Valuation Handbook - 10th decile companies.</t>
  </si>
  <si>
    <t xml:space="preserve"> Year - 2018</t>
  </si>
  <si>
    <t>IQTR562093470</t>
  </si>
  <si>
    <t>Labor Loaded Rate</t>
  </si>
  <si>
    <t>Management fees as % of revenue.</t>
  </si>
  <si>
    <t>Enterprise Value /Revenue</t>
  </si>
  <si>
    <t>2019 Financials</t>
  </si>
  <si>
    <t>2020 Financials</t>
  </si>
  <si>
    <t>2019 Enterprise Value Multiples</t>
  </si>
  <si>
    <t>2020 Enterprise Value Multiples</t>
  </si>
  <si>
    <t>EBITDA - 2019</t>
  </si>
  <si>
    <t>EBITDA - 2020</t>
  </si>
  <si>
    <t>Discount Factor (3)</t>
  </si>
  <si>
    <t>Enterprise Value /EBITDA</t>
  </si>
  <si>
    <t>2018 Financials</t>
  </si>
  <si>
    <t>LTM Financials</t>
  </si>
  <si>
    <t>LTM Enterprise Value Multiples</t>
  </si>
  <si>
    <t>2018 Enterprise Value Multiples</t>
  </si>
  <si>
    <t>Page 3</t>
  </si>
  <si>
    <t>Page 4</t>
  </si>
  <si>
    <t>Page 5</t>
  </si>
  <si>
    <t>Revenue - LTM</t>
  </si>
  <si>
    <t>Revenue - 2018</t>
  </si>
  <si>
    <t>Transaction Value/ Revenue</t>
  </si>
  <si>
    <t>Amount</t>
  </si>
  <si>
    <t>Depreciation has been deducted from operating expenses for the terminal year and not added as part of cash flow adjustments.</t>
  </si>
  <si>
    <t xml:space="preserve">(2) </t>
  </si>
  <si>
    <t>Start-up Loss</t>
  </si>
  <si>
    <t>Total</t>
  </si>
  <si>
    <t>Add: Not Capitalized Expenses</t>
  </si>
  <si>
    <t>Less: Accumulated Depreciation</t>
  </si>
  <si>
    <t>Subtotal</t>
  </si>
  <si>
    <t>Total Cost Approach #1</t>
  </si>
  <si>
    <t>RNA used the total of net build-out cost and start-up loss as a proxy for the investment required to replicate the current status/financial position of the facility.</t>
  </si>
  <si>
    <t>Net Build-Out Cost</t>
  </si>
  <si>
    <t>Cumulative Adj. EBITDA to Date</t>
  </si>
  <si>
    <t>Total Cost Approach #2</t>
  </si>
  <si>
    <t>APPLIED COST APPROACH</t>
  </si>
  <si>
    <t xml:space="preserve">(3) </t>
  </si>
  <si>
    <t xml:space="preserve">(4) </t>
  </si>
  <si>
    <t xml:space="preserve">(5) </t>
  </si>
  <si>
    <t>Not Capitalized Expenses</t>
  </si>
  <si>
    <t>RNA used the total of normalized build-out cost and losses to date as a proxy for the value of the operating facility.</t>
  </si>
  <si>
    <t>Factor</t>
  </si>
  <si>
    <t>Normalized Build-Out Cost, FMV Approximation</t>
  </si>
  <si>
    <t>==================</t>
  </si>
  <si>
    <t>======</t>
  </si>
  <si>
    <t>Assets</t>
  </si>
  <si>
    <t>------------------</t>
  </si>
  <si>
    <t>------</t>
  </si>
  <si>
    <t>-------------------------------------------------------------</t>
  </si>
  <si>
    <t>-----------------------------------------------------------------------</t>
  </si>
  <si>
    <t>Net Book</t>
  </si>
  <si>
    <t>Accum Depr</t>
  </si>
  <si>
    <t>Cost Basis</t>
  </si>
  <si>
    <t>Qty</t>
  </si>
  <si>
    <t>Date Added</t>
  </si>
  <si>
    <t>Location ID</t>
  </si>
  <si>
    <t>Asset ID</t>
  </si>
  <si>
    <t>Sorted By:</t>
  </si>
  <si>
    <t>Acquire Date:  First to Last</t>
  </si>
  <si>
    <t>Quantity:      First to Last</t>
  </si>
  <si>
    <t>Pl in Svc Date:First to Last</t>
  </si>
  <si>
    <t>Property Type: First to Last</t>
  </si>
  <si>
    <t>Amort Code:    First to Last</t>
  </si>
  <si>
    <t>Net Book:      First to Last</t>
  </si>
  <si>
    <t>Class ID:      First to Last</t>
  </si>
  <si>
    <t>Accum Depr:    First to Last</t>
  </si>
  <si>
    <t>Cost Basis:    First to Last</t>
  </si>
  <si>
    <t>Asset Type:    First to Last</t>
  </si>
  <si>
    <t>Description:   First to Last</t>
  </si>
  <si>
    <t>Asset ID:      First to Last</t>
  </si>
  <si>
    <t>Ranges:</t>
  </si>
  <si>
    <t>Fixed Assets Inventory List</t>
  </si>
  <si>
    <t>KhababaS</t>
  </si>
  <si>
    <t>User ID:</t>
  </si>
  <si>
    <t>User Date:</t>
  </si>
  <si>
    <t>Page:</t>
  </si>
  <si>
    <t>System:</t>
  </si>
  <si>
    <t>TI</t>
  </si>
  <si>
    <t>Build out cost</t>
  </si>
  <si>
    <t>Net asset balance</t>
  </si>
  <si>
    <t>Reflects net book value for equipment and adjustments to tenant improvements given consideration of economic useful life rather than accelerated depreciation schedules.</t>
  </si>
  <si>
    <t>WB Santa Cruz</t>
  </si>
  <si>
    <t>2128 Soquel Avenue</t>
  </si>
  <si>
    <t>Santa Cruz, CA 95062</t>
  </si>
  <si>
    <t>95076 - WB Santa Cruz</t>
  </si>
  <si>
    <r>
      <t xml:space="preserve">Treatments - </t>
    </r>
    <r>
      <rPr>
        <b/>
        <sz val="8.5"/>
        <color rgb="FFFF0000"/>
        <rFont val="Verdana"/>
        <family val="2"/>
      </rPr>
      <t>Hemo Eqv.</t>
    </r>
  </si>
  <si>
    <t>Net Income (Adjusted Mgmt @ 10%)</t>
  </si>
  <si>
    <t>Satellite Dialysis Centers</t>
  </si>
  <si>
    <t>Structure ID:  First to Last</t>
  </si>
  <si>
    <t>Location ID:   01.002.95076 to 01.002.95076</t>
  </si>
  <si>
    <t>AUTO DOOR OPENER</t>
  </si>
  <si>
    <t>10016-1</t>
  </si>
  <si>
    <t>01.002.95076</t>
  </si>
  <si>
    <t>INSTALL NEW CIRCUIT</t>
  </si>
  <si>
    <t>10017-1</t>
  </si>
  <si>
    <t>4 FORTRESS WHEAT DIALYSIS</t>
  </si>
  <si>
    <t>10481-1</t>
  </si>
  <si>
    <t>ARMOIRE</t>
  </si>
  <si>
    <t>6102-1</t>
  </si>
  <si>
    <t>SANTA CRUZ PD BUILDOUT</t>
  </si>
  <si>
    <t>8462-1</t>
  </si>
  <si>
    <t>FLUID WARMER</t>
  </si>
  <si>
    <t>8463-1</t>
  </si>
  <si>
    <t>MEDICAL REFRIGERATOR</t>
  </si>
  <si>
    <t>8464-1</t>
  </si>
  <si>
    <t>OVERSIZED WHEELCHAIR</t>
  </si>
  <si>
    <t>8465-1</t>
  </si>
  <si>
    <t>6-DRAWER MEDICAL CARTS</t>
  </si>
  <si>
    <t>8466-1</t>
  </si>
  <si>
    <t>ON-SITE AED</t>
  </si>
  <si>
    <t>8467-1</t>
  </si>
  <si>
    <t>NEC SV8100  - TELEPHONE S</t>
  </si>
  <si>
    <t>8468-1</t>
  </si>
  <si>
    <t>COLOR COPIER</t>
  </si>
  <si>
    <t>8469-1</t>
  </si>
  <si>
    <t>REFRIGERATOR</t>
  </si>
  <si>
    <t>8470-1</t>
  </si>
  <si>
    <t>MINI BLINDS</t>
  </si>
  <si>
    <t>8471-1</t>
  </si>
  <si>
    <t>FURNITURE/WORKSTATIONS</t>
  </si>
  <si>
    <t>8472-1</t>
  </si>
  <si>
    <t>BAXTER 620I FLO-GARD IV P</t>
  </si>
  <si>
    <t>8493-1</t>
  </si>
  <si>
    <t>6 DRAWER MEDICAL CART</t>
  </si>
  <si>
    <t>8646-1</t>
  </si>
  <si>
    <t>DRYWALL REPAIR</t>
  </si>
  <si>
    <t>9074-1</t>
  </si>
  <si>
    <t>SIGNAGE</t>
  </si>
  <si>
    <t>9084-1</t>
  </si>
  <si>
    <t>9170-1</t>
  </si>
  <si>
    <t>FLOORING</t>
  </si>
  <si>
    <t>9561-1</t>
  </si>
  <si>
    <t>INSTALL DRYWALL &amp; DOORS</t>
  </si>
  <si>
    <t>9581-1</t>
  </si>
  <si>
    <t>RELOCATE NURSE CALL</t>
  </si>
  <si>
    <t>9772-1</t>
  </si>
  <si>
    <t>HERORIN PUMP</t>
  </si>
  <si>
    <t>THERMOSTATE SET UP</t>
  </si>
  <si>
    <t>FA Not Capitalized Yet</t>
  </si>
  <si>
    <t>Type (Equipment / TI)</t>
  </si>
  <si>
    <t>Equipment</t>
  </si>
  <si>
    <t>Implied Labor Loaded Rate</t>
  </si>
  <si>
    <t>IQTR605577236</t>
  </si>
  <si>
    <t>IQ115544</t>
  </si>
  <si>
    <t>XTRA:FME</t>
  </si>
  <si>
    <t xml:space="preserve">YTD Dec. Actual </t>
  </si>
  <si>
    <t>EBITDA - LTM December 2018</t>
  </si>
  <si>
    <t>GTM</t>
  </si>
  <si>
    <t>GCM</t>
  </si>
  <si>
    <t>Financial Summary</t>
  </si>
  <si>
    <t>Financial Summary / Treatment</t>
  </si>
  <si>
    <t>We noted that there were limited comparable transaction data points for WB Santa Cruz (a single location) given that most of the transactions involved multiple centers being acquired. In cases where single locations were acquired, there were limited publicly available financial data/metrics. As such, RNA relied on its experience in analyzing similar businesses and the guideline public company multiples in determining a transaction multiple to apply in this analysis, which we noted reconciled well with the DCF.</t>
  </si>
  <si>
    <t>WB Santa Cruz is a stand-alone location of a privately held entity, and has lower liquidity as compared to the guideline companies. WB Santa Cruz is a relative mature facility with modestly flat near-term growth expectations and operating margins than the guideline companies. As such, we selected multiples between the first quartile and median range of the observed comparables range.</t>
  </si>
  <si>
    <t>WC Days</t>
  </si>
  <si>
    <t>Contributed WC</t>
  </si>
  <si>
    <t>Include Contributed WC</t>
  </si>
  <si>
    <t>Adjusted Public Company Benchmark</t>
  </si>
  <si>
    <t>Adjusted Transaction Benchmark</t>
  </si>
  <si>
    <t>Add: Contributed Working Capital</t>
  </si>
  <si>
    <t>Concluded Allocation (USD Actuals)</t>
  </si>
  <si>
    <t>D</t>
  </si>
  <si>
    <t>% Interest</t>
  </si>
  <si>
    <t>Conclusion (USD Actuals) (1)</t>
  </si>
  <si>
    <t>Although the Company is exploring the possibility of moving the business to a new location, this valuation excludes the impact of any potential capital costs and investments related to replacement of the existing facility.</t>
  </si>
  <si>
    <t>Discount rate incorporates the DLOM, DLOC, and an additional discount based on the 9-Factor Analysis as outlined in the Workpaper 1 through 10.</t>
  </si>
  <si>
    <t>Value Allocable to 1.0% Interest</t>
  </si>
  <si>
    <t>RNA assumed no contributed working capital (beginning balance) as part of this analysis.</t>
  </si>
  <si>
    <t>AwABTANVU0QBSP////8BRrgCAAAzQ0lRLklRMjg3MjMzMzA0LklRX0VCSVRfTUFSR0lOLjE5OTguOS8xNy8yMDE1LkxGUi5QAQAAABjVHhEDAAAAAABYGEKJgtTWCDI4EaCC1NYIKENJUS5JUVRSMzA5ODk1NDYzLklRX1RSX0lNUExJRURfRVZfRklOQUwBAAAAJ6F4EgIAAAADNjQwAQYAAAAFAAAAAjU0AQAAAAYxMDIwNDUCAAAACTMwOTg5NTQ2MwMAAAAJMzA5ODk1NTM2BAAAAAMxNjAGAAAABUZhbHNleGMneoLU1giu55aIgtTWCBpDSVEuWFRSQTpGTUUuSVFfQ09NUEFOWV9JRAEAAAAK3gUAAwAAAAhJUTM4NDUyMgDg7yZ6gtTWCPQik4iC1NYIQUNJUS5YVFJBOkZNRS5JUV9FQklUX01FRElBTl9FU1RfQ0lRLkZZMjAxNy4xMi8zMS8yMDE4LkNPTi5GLlVTRC5IAQAAAAreBQACAAAACDMwNzAuNDMzAQ4AAAAFAAAAATMBAAAAATACAAAACjEwMDAyNDYxMjcDAAAABjEwMDIxNgQAAAABMwYAAAABMAcAAAADMTYwCAAAAAEwCQAAAAExCgAAAAEwCwAAAAsxMDc2MjcyNTkzOAwAAAABMQ0AAAAIMS8xLzIwMTkQAAAACjEyLzMxLzIwMTdM2Cd6gtTWCMSZnYiC1NYIK0NJUS5OWVNFOkRWQS5JUV9UT1RBTF9SRVYuRlkyMDEzLjEyLzMxLzIwMTgBAAAAPIsAAAIAAAAJMTE3NTkuMTk4AQgAAAAFAAAAATEBAAAACjE3NzgxMzU1NTcDAAAAAzE2MAIAAAACMjgEAAAAATAHAAAACjEyLzMxLzIwMTgIAAAACjEyLzMx</t>
  </si>
  <si>
    <t>LzIwMTMJAAAAATC/xyZ6gtTWCLHck4iC1NYIO0NJUS5JUTQwNDc3NjgxOS5JUV9FQklUXzFZUl9BTk5fR1JPV1RILjE5OTguOS8xNS8yMDE2LkxGUi5QAQAAAHNnIBgDAAAAAABSP0KJgtTWCJIREaCC1NYIIUNJUS5JUVRSNjA1NTc3MjM2LklRX1RSX0JVWUVSTkFNRQEAAAAUYBgkAwAAABxBbWVyaWNhbiBGaW5hbmNlIFRydXN0LCBJbmMuAHhjJ3qC1NYIQCaWiILU1ggvQ0lRLlhUUkE6Rk1FLklRX0VCSVREQS4yMDAwLjEyLzMxLzIwMTguLlAuVVNELkgBAAAACt4FAAIAAAALMzI5Ny43OTcxMTQBCAAAAAUAAAABMQEAAAAKMTk0NjQwODk1NgMAAAADMTYwAgAAAAQ0MDUxBAAAAAEwBwAAAAoxMi8zMS8yMDE4CAAAAAoxMi8zMS8yMDE4CQAAAAEw/HomeoLU1giotZqIgtTWCDJDSVEuTllTRTpBUkEuSVFfVE9UQUxfUkVWLjIwMDAuMTIvMzEvMjAxOC4uUC5VU0QuSAEAAAA9Gy8IAgAAAAc4MTcuMjQ3AQgAAAAFAAAAATEBAAAACjE5MjExNjk0NTYDAAAAAzE2MAIAAAACMjgEAAAAATAHAAAACjEyLzMxLzIwMTgIAAAACTkvMzAvMjAxOAkAAAABMPKhJnqC1NYIp0eYiILU1ggsQ0lRLlhUUkE6Rk1FLklRX1NIQVJFU09VVFNUQU5ESU5HLjEyLzMxLzIwMTgBAAAACt4FAAIAAAAKMzA2Ljg0NTQ1NgDg7yZ6gtTWCEummYiC1NYIJkNJUS5OWVNFOkFSQS5JUV9FQklULkZZMjAxNy4xMi8zMS8yMDE4AQAAAD0b</t>
  </si>
  <si>
    <t>LwgCAAAABzEyMy4zNDEBCAAAAAUAAAABMQEAAAAKMTg3NzE3MTM3OAMAAAADMTYwAgAAAAM0MDAEAAAAATAHAAAACjEyLzMxLzIwMTgIAAAACjEyLzMxLzIwMTcJAAAAATAfVCZ6gtTWCPXLoIiC1NYILENJUS5JUVRSMTMzODQ1MTExLklRX1RSX1RBUkdFVF9FQklUREFfRVFfSU5DAQAAAHdQ+gcCAAAAAACkPCd6gtTWCKi1moiC1NYII0NJUS5JUVRSNTYyMDkzNDcwLklRX1RSX0NMT1NFRF9EQVRFAQAAAJ7dgCEFAAAACTMvMzEvMjAxOAB4Yyd6gtTWCIu8mIiC1NYIIkNJUS5JUVRSNjA1NTc3MjM2LklRX1RSX1RBUkdFVE5BTUUBAAAAFGAYJAMAAAAhRGFWaXRhIERpYWx5c2lzIFByb3BlcnR5IGluIFRleGFzAKQ8J3qC1NYIshuaiILU1gg1Q0lRLklRMzg0NTIyLklRX0VCSVRfMVlSX0FOTl9HUk9XVEguRlkyMDE1LjEyLzMxLzIwMTgBAAAACt4FAAIAAAAGNC45MzEzAQgAAAAFAAAAATEBAAAACjE4NzYwNzE3ODIDAAAAAjUwAgAAAAQ0MTk3BAAAAAEwBwAAAAoxMi8zMS8yMDE4CAAAAAoxMi8zMS8yMDE1CQAAAAEwMI1CiYLU1gisUg6ggtTWCD1DSVEuSVExMzczMDQ4OTMuSVFfVE9UQUxfUkVWXzFZUl9BTk5fR1JPV1RILkZZMjAxNS4xMi8zMS8yMDE4AQAAAD0bLwgCAAAABzE2LjQ1MTEBCAAAAAUAAAABMQEAAAAKMTg3NzE3MTM2MwMAAAADMTYwAgAAAAQ0MTk0BAAAAAEwBwAAAAoxMi8zMS8yMDE4</t>
  </si>
  <si>
    <t>CAAAAAoxMi8zMS8yMDE1CQAAAAEwP2ZCiYLU1ggx2A+ggtTWCCZDSVEuTllTRTpEVkEuSVFfRUJJVC5GWTIwMTQuMTIvMzEvMjAxOAEAAAA8iwAAAgAAAAgxODA4LjkwNwEIAAAABQAAAAExAQAAAAoxODI5MjQ1MjIzAwAAAAMxNjACAAAAAzQwMAQAAAABMAcAAAAKMTIvMzEvMjAxOAgAAAAKMTIvMzEvMjAxNAkAAAABMPx6JnqC1NYIE4mciILU1ghDQ0lRLlhUUkE6Rk1FLklRX0VCSVREQV9NRURJQU5fRVNUX0NJUS5GWTIwMjIuMTIvMzEvMjAxOC5DT04uRi5VU0QuSAEAAAAK3gUAAgAAAAk0NDMyLjM5MzUBDgAAAAUAAAABMwEAAAABMAIAAAAKMTAwMDI0NjEzMgMAAAAGMTAwMTg4BAAAAAEzBgAAAAEwBwAAAAMxNjAIAAAAATAJAAAAATEKAAAAATALAAAACzExMjEzMTQ3NTY4DAAAAAExDQAAAAgxLzEvMjAxORAAAAAKMTIvMzEvMjAxOGGKJ3qC1NYIT/SgiILU1ggyQ0lRLk5ZU0U6RFZBLklRX0VCSVREQS5GWTIwMTYuMTIvMzEvMjAxOC5MLlAuVVNELkgBAAAAPIsAAAIAAAAHMjQwMS44OQEIAAAABQAAAAExAQAAAAoxODc1ODA3Mjk5AwAAAAMxNjACAAAABDQwNTEEAAAAATAHAAAACjEyLzMxLzIwMTgIAAAACjEyLzMxLzIwMTYJAAAAATD8eiZ6gtTWCLIbmoiC1NYIN0NJUS5JUTExNTU0NC5JUV9QUkVGX0VRVUlUWS4yMDAwLjEyLzMxLzIwMTguTEZSLkYuVVNELkgBAAAAWMMBAAMAAAAAAPKhJnqC</t>
  </si>
  <si>
    <t>1NYIVtiViILU1ggiQ0lRLklRVFIyNDE5NTk2ODkuSVFfVFJfVEFSR0VUTkFNRQEAAAAJA2wOAwAAACNEaWFseXNpcyBDZW50ZXIgUHJvcGVydHkgaW4gSW5kaWFuYQB4Yyd6gtTWCK7nloiC1NYIOkNJUS5JUTExNTU0NC5JUV9UT1RBTF9SRVZfMVlSX0FOTl9HUk9XVEguRlkyMDE2LjEyLzMxLzIwMTgBAAAAWMMBAAIAAAAGOS4wMDExAQgAAAAFAAAAATEBAAAACjE4NzQ4MDQ5NzIDAAAAAzE2MAIAAAAENDE5NAQAAAABMAcAAAAKMTIvMzEvMjAxOAgAAAAKMTIvMzEvMjAxNgkAAAABMD9mQomC1NYISzwPoILU1ggsQ0lRLklRVFIxMzg2OTE2OTUuSVFfVFJfVE9UQUxfR1JPU1NfVFZfRklOQUwBAAAAb0RECAIAAAAIMTY5Mi42NDUBBgAAAAUAAAACNTQBAAAABjEwMjA0MwIAAAAJMTM4NjkxNjk1AwAAAAkxMzg2OTE4NTgEAAAAAzE2MAYAAAAFRmFsc2V4Yyd6gtTWCKxXmYiC1NYIKkNJUS5JUVRSMTE5MTMwNzQ1LklRX1RSX1RBUkdFVF9FQklUX0VRX0lOQwEAAAB5yhkHAgAAAAAApDwneoLU1gjd8pmIgtTWCERDSVEuSVExMTU1NDQuSVFfUkVWRU5VRV9NRURJQU5fRVNUX0NJUS5GWTIwMTcuMTIvMzEvMjAxOC5DT04uRi5VU0QuSAEAAABYwwEAAgAAAAUzOTQuOQEOAAAABQAAAAEzAQAAAAEwAgAAAAoxMDAwOTk0MjUxAwAAAAYxMDAxODEEAAAAATIGAAAAATAHAAAAAzE2MAgAAAABMAkAAAABMQoAAAAB</t>
  </si>
  <si>
    <t>MAsAAAALMTA3MzA3Mzk4ODQMAAAAATENAAAACDEvMS8yMDE5EAAAAAoxMi8zMS8yMDE3TNgneoLU1ghNxpuIgtTWCDtDSVEuSVEyODcyMzMzMDQuSVFfRUJJVF8xWVJfQU5OX0dST1dUSC4xOTk5LjkvMTcvMjAxNS5MRlIuUAEAAAAY1R4RAwAAAAAAsuBAiYLU1gh1lRKggtTWCCpDSVEuSVFUUjQwNDc3Njg5Ny5JUV9UUl9UQVJHRVRfRUJJVF9FUV9JTkMBAAAAwWcgGAIAAAAAAKQ8J3qC1NYI/t2aiILU1ggpQ0lRLklRMzYxODM4NDAuSVFfTEFTVFNBTEVQUklDRS41LzIzLzIwMTYBAAAAIB8oAgIAAAAEMi4yMwAfVCZ6gtTWCMIgmIiC1NYIRENJUS5JUTExNTU0NC5JUV9SRVZFTlVFX01FRElBTl9FU1RfQ0lRLkZZMjAyMC4xMi8zMS8yMDE4LkNPTi5GLlVTRC5IAQAAAFjDAQACAAAABzU2Ny40MzIBDgAAAAUAAAABMwEAAAABMAIAAAAKMTAwMDk5NDI2NgMAAAAGMTAwMTgxBAAAAAEyBgAAAAEwBwAAAAMxNjAIAAAAATAJAAAAATEKAAAAATALAAAACzExMTY5OTExOTA0DAAAAAExDQAAAAgxLzEvMjAxORAAAAAKMTIvMzEvMjAxOEzYJ3qC1NYIz3KdiILU1ggkQ0lRLlhUUkE6Rk1FLklRX0JVU0lORVNTX0RFU0NSSVBUSU9OAQAAAAreBQADAAAA0g5GcmVzZW5pdXMgTWVkaWNhbCBDYXJlIEFHICYgQ28uIEtHYUEsIGEga2lkbmV5IGRpYWx5c2lzIGNvbXBhbnksIHByb3ZpZGVzIGRpYWx5c2lzIGNhcmUg</t>
  </si>
  <si>
    <t>YW5kIHJlbGF0ZWQgc2VydmljZXMsIGFuZCBvdGhlciBoZWFsdGggY2FyZSBzZXJ2aWNlcyBpbiBHZXJtYW55LCB0aGUgVW5pdGVkIFN0YXRlcywgYW5kIGludGVybmF0aW9uYWxseS4gSXQgb2ZmZXJzIGRpYWx5c2lzIHRyZWF0bWVudCBhbmQgcmVsYXRlZCBsYWJvcmF0b3J5IGFuZCBkaWFnbm9zdGljIHNlcnZpY2VzIHRocm91Z2ggYSBuZXR3b3JrIG9mIG91dHBhdGllbnQgZGlhbHlzaXMgY2xpbmljczsgbWF0ZXJpYWxzLCB0cmFpbmluZywgYW5kIHBhdGllbnQgc3VwcG9ydCBzZXJ2aWNlcyBjb21wcmlzaW5nIGNsaW5pY2FsIG1vbml0b3JpbmcsIGZvbGxvdy11cCBhc3Npc3RhbmNlLCBhbmQgYXJyYW5naW5nIGZvciBkZWxpdmVyeSBvZiB0aGUgc3VwcGxpZXMgdG8gdGhlIHBhdGllbnTigJlzIHJlc2lkZW5jZTsgYW5kIGRpYWx5c2lzIHNlcnZpY2VzIHVuZGVyIGNvbnRyYWN0IHRvIGhvc3BpdGFscyBpbiB0aGUgVW5pdGVkIFN0YXRlcyBmb3IgdGhlIGhvc3BpdGFsaXplZCBlbmQtc3RhZ2UgcmVuYWwgZGlzZWFzZSAoRVNSRCkgcGF0aWVudHMgYW5kIGZvciBwYXRpZW50cyBzdWZmZXJpbmcgZnJvbSBhY3V0ZSBraWRuZXkgZmFpbHVyZS4gVGhlIGNvbXBhbnkgYWxzbyBkZXZlbG9wcywgbWFudWZhY3R1cmVzLCBhbmQgZGlzdHJpYnV0ZXMgZGlhbHlzaXMgcHJvZHVjdHMsIGluY2x1ZGluZyBo</t>
  </si>
  <si>
    <t>ZW1vZGlhbHlzaXMgbWFjaGluZXMsIHBlcml0b25lYWwgY3ljbGVycywgZGlhbHl6ZXJzLCBwZXJpdG9uZWFsIHNvbHV0aW9ucywgaGVtb2RpYWx5c2lzIGNvbmNlbnRyYXRlcywgc29sdXRpb25zIGFuZCBncmFudWxhdGVzLCBibG9vZGxpbmVzLCByZW5hbCBwaGFybWFjZXV0aWNhbHMsIGFuZCB3YXRlciB0cmVhdG1lbnQgc3lzdGVtcyBmb3IgdGhlIHRyZWF0bWVudCBvZiBFU1JEOyBhbmQgbm9uLWRpYWx5c2lzIHByb2R1Y3RzLCBzdWNoIGFzIGFjdXRlIGNhcmRpb3B1bG1vbmFyeSBhbmQgYXBoZXJlc2lzIHByb2R1Y3RzLiBJbiBhZGRpdGlvbiwgaXQgZGV2ZWxvcHMsIGFjcXVpcmVzLCBhbmQgaW4tbGljZW5zZXMgcmVuYWwgcGhhcm1hY2V1dGljYWxzOyBvZmZlcnMgcmVuYWwgbWVkaWNhdGlvbnMgYW5kIHN1cHBsaWVzIHRvIHBhdGllbnRzIGF0IGhvbWVzIG9yIHRvIGRpYWx5c2lzIGNsaW5pY3M7IGFuZCBwcm92aWRlcyB2YXNjdWxhciwgY2FyZGlvdmFzY3VsYXIsIGVuZG92YXNjdWxhciBzcGVjaWFsdHksIGhvc3BpdGFsaXN0LCBlbWVyZ2VuY3ksIGludGVuc2l2aXN0LCBtZWRpY2FsIGNvc3QgbWFuYWdlbWVudCwgYW1idWxhdG9yeSBzdXJnZXJ5IGNlbnRlciwgaGVhbHRoIHBsYW4sIHVyZ2VudCBjYXJlLCBwaHlzaWNpYW4gbmVwaHJvbG9neSBhbmQgY2FyZGlvbG9neSwgYW5kIGFtYnVs</t>
  </si>
  <si>
    <t>YW50IHRyZWF0bWVudCBzZXJ2aWNlcy4gVGhlIGNvbXBhbnkgc2VsbHMgaXRzIHByb2R1Y3RzIHRvIGNsaW5pY3MsIGhvc3BpdGFscywgYW5kIHNwZWNpYWxpemVkIHRyZWF0bWVudCBjbGluaWNzIGRpcmVjdGx5LCBhcyB3ZWxsIGFzIHRocm91Z2ggbG9jYWwgc2FsZXMgZm9yY2VzLCBpbmRlcGVuZGVudCBkaXN0cmlidXRvcnMsIGRlYWxlcnMsIGFuZCBzYWxlcyBhZ2VudHMuIEFzIG9mIERlY2VtYmVyIDMxLCAyMDE4LCBpdCBvcGVyYXRlZCAzLDkyOCBvdXRwYXRpZW50IGRpYWx5c2lzIGNsaW5pY3MgaW4gYXBwcm94aW1hdGVseSAxNTAgY291bnRyaWVzLiBGcmVzZW5pdXMgTWVkaWNhbCBDYXJlIEFHICYgQ28uIEtHYUEgd2FzIGluY29ycG9yYXRlZCBpbiAxOTk2IGFuZCBpcyBoZWFkcXVhcnRlcmVkIGluIEJhZCBIb21idXJnLCBHZXJtYW55LgDg7yZ6gtTWCKdHmIiC1NYINUNJUS5JUTExNTU0NC5JUV9FQklUXzFZUl9BTk5fR1JPV1RILkZZMjAxNy4xMi8zMS8yMDE4AQAAAFjDAQADAAAAAk5NAQgAAAAFAAAAATEBAAAACjE4NzQ4MDUwMjMDAAAAAzE2MAIAAAAENDE5NwQAAAABMAcAAAAKMTIvMzEvMjAxOAgAAAAKMTIvMzEvMjAxNwkAAAABMDCNQomC1NYIaZANoILU1ggiQ0lRLk5ZU0U6RFZBLklRX0JFVEFfMllSLjUvMjMvMjAxNgEAAAA8iwAAAgAAABEwLjcyNjU0NzAwNTQ1MDU3MgBM2Cd6</t>
  </si>
  <si>
    <t>gtTWCGuKlYiC1NYIO0NJUS5JUTg3OTU1NS5JUV9FQklUREFfTUFSR0lOLkZZMjAxNC4xMi8zMS8yMDE4LkxGUi5QLlVTRC5IAQAAAMNrDQACAAAABzE3LjMwMDEBCAAAAAUAAAABMQEAAAAKMTc4MTczNTAyOAMAAAACNTACAAAABDQwNDcEAAAAATAHAAAACjEyLzMxLzIwMTgIAAAACjEyLzMxLzIwMTQJAAAAATBSP0KJgtTWCJZOEKCC1NYIL0NJUS5OWVNFOkFSQS5JUV9FQklUREEuMjAwMC4xMi8zMS8yMDE4Li5QLlVTRC5IAQAAAD0bLwgCAAAABTE3NC4xAQgAAAAFAAAAATEBAAAACjE5MjExNjk0NTYDAAAAAzE2MAIAAAAENDA1MQQAAAABMAcAAAAKMTIvMzEvMjAxOAgAAAAJOS8zMC8yMDE4CQAAAAEw8qEmeoLU1ghIbZiIgtTWCDJDSVEuSVExMTU1NDQuSVFfREFZU19QQVlBQkxFX09VVC5GWTIwMTcuMTIvMzEvMjAxOAEAAABYwwEAAgAAAAkyMy4yMTA3MTUBCAAAAAUAAAABMQEAAAAKMTg3NDgwNTAyMwMAAAADMTYwAgAAAAQ0MTgzBAAAAAEwBwAAAAoxMi8zMS8yMDE4CAAAAAoxMi8zMS8yMDE3CQAAAAEwTrRCiYLU1ghXlQuggtTWCC9DSVEuSVExMTU1NDQuSVFfRUJJVERBLjIwMDAuMTIvMzEvMjAxOC4uUC5VU0QuSAEAAABYwwEAAgAAAAYyMS42NzUBCAAAAAUAAAABMQEAAAAKMTkxOTk4NjQwMwMAAAADMTYwAgAAAAQ0MDUxBAAAAAEwBwAAAAoxMi8zMS8yMDE4CAAAAAk5LzMwLzIwMTgJAAAA</t>
  </si>
  <si>
    <t>ATDyoSZ6gtTWCEP/lYiC1NYIQUNJUS5EQjpGUkUuSVFfRUJJVERBX01FRElBTl9FU1RfQ0lRLkZZMjAxOC4xMi8zMS8yMDE4LkNPTi5GLlVTRC5IAQAAAMNrDQACAAAAEDcxNTMuNjIwOTg2MjE2NDYBDgAAAAUAAAABMwEAAAABMAIAAAAKMTAwMDM4ODQ2NAMAAAAGMTAwMTg4BAAAAAEzBgAAAAEwBwAAAAMxNjAIAAAAATAJAAAAATEKAAAAATALAAAACzExMjE1NzMzNjI1DAAAAAExDQAAAAgxLzEvMjAxORAAAAAKMTIvMzEvMjAxOEzYJ3qC1NYIBLCciILU1gg8Q0lRLklRMTQxMjcxODY4LklRX0VCSVRfMVlSX0FOTl9HUk9XVEguMTk5OS4xMi8zMS8yMDE1LkxGUi5QAQAAADyjawgDAAAAAABSP0KJgtTWCPLrEKCC1NYIMENJUS5EQjpGUkUuSVFfRUJJVERBLkZZMjAxNi4xMi8zMS8yMDE4LkwuUC5VU0QuSAEAAADDaw0AAgAAAAs1NzIxLjUyNDMzNAEIAAAABQAAAAExAQAAAAoxODc5Njg4OTkwAwAAAAMxNjACAAAABDQwNTEEAAAAATAHAAAACjEyLzMxLzIwMTgIAAAACjEyLzMxLzIwMTYJAAAAATD8eiZ6gtTWCBJpmoiC1NYIQ0NJUS5OWVNFOkFSQS5JUV9FQklUREFfTUVESUFOX0VTVF9DSVEuRlkyMDIxLjEyLzMxLzIwMTguQ09OLkYuVVNELkgBAAAAPRsvCAMAAAAAAGGKJ3qC1NYILX+giILU1gghQ0lRLklRVFIyNDE5NTk2ODkuSVFfVFJfQlVZRVJOQU1FAQAAAAkDbA4DAAAAKENhcnRlci9WYWxp</t>
  </si>
  <si>
    <t>ZHVzIE9wZXJhdGluZyBQYXJ0bmVyc2hpcCwgTFAAeGMneoLU1ggvdJaIgtTWCClDSVEuSVFUUjMwOTg3MzUyMS5JUV9CVVNJTkVTU19ERVNDUklQVElPTgEAAADpYvwCAwAAAKcIUmVuYWwgVmVudHVyZXMgTWFuYWdlbWVudCwgTExDIHByb3ZpZGVzIGRpYWx5c2lzIGNhcmUgYW5kIGluZm9ybWF0aW9uIGZvciBwZW9wbGUgbGl2aW5nIHdpdGggY2hyb25pYyBraWRuZXkgZGlzZWFzZSBpbiB0aGUgVW5pdGVkIFN0YXRlcy4gVGhlIGNvbXBhbnkgYWxzbyBwcm92aWRlcyBzdXBwb3J0aW5nIHNlcnZpY2VzLCBzdWNoIGFzIGluc3VyYW5jZSBhbmQgbWFuYWdlZCBjYXJlIGNvbnRyYWN0IG5lZ290aWF0aW9uLCBhY2hpZXZpbmcgZmF2b3JhYmxlIHByaWNpbmcgd2l0aCB2ZW5kb3JzLCBhY2NvdW50cyByZWNlaXZhYmxlIGFuZCBjb2xsZWN0aW9ucywgaW5mb3JtYXRpb24gdGVjaG5vbG9neSBJVCBzdXBwb3J0LCBhbmQgb25nb2luZyBlZHVjYXRpb24uIFJlbmFsIFZlbnR1cmVzIE1hbmFnZW1lbnQsIExMQyB3YXMgaW5jb3Jwb3JhdGVkIGluIDE5OTcgYW5kIGlzIGhlYWRxdWFydGVyZWQgaW4gTGFrZXdvb2QsIENvbG9yYWRvLiBJdCBoYXMgZGlhbHlzaXMgY2VudGVycyBpbiBNb3VudGFpbiBIb21lLCBBcmthbnNhczsgU3Rvcm0gTGFrZSBhbmQgRm9ydCBEb2RnZSwgSW93YTsgUGhpbGFkZWxwaGlhLCBQ</t>
  </si>
  <si>
    <t>ZW5uc3lsdmFuaWE7IEJheW9ubmUsIEJyaWNrLCBDbGlmdG9uLCBFbmdsZXdvb2QsIE1vcnJpc3Rvd24sIE5ld3RvbiwgTmV3YXJrLCBTZXdlbGwsIFNvbWVydmlsbGUsIFN1Y2Nhc3VubmEsIFRyZW50b24sIGFuZCBXZXN0d29vZCwgTmV3IEplcnNleTsgQmVhdW1vbnQsIFdlc3QgQmVhdW1vbnQsIENhcnJvbGx0b24sIERhbGxhcywgRGVudG9uLCBGb3J0IFdvcnRoLCBGcmlzY28sIEtlbGxlciwgTGV3aXN2aWxsZSwgTmVkZXJsYW5kLCBOb3J0aCBSaWNobGFuZCBIaWxscywgT3JhbmdlLCBQbGFubywgUG9ydCBBcnRodXIsIFR5bGVyLCBGbG93ZXIgTW91bmQsIGFuZCBUeWxlciBXYXRlcnRvbiwgVGV4YXM7IGFuZCBNb29yZWZpZWxkIGFuZCBLZXlzZXIsIFdlc3QgVmlyZ2luaWEuIEFzIG9mIE1heSAxLCAyMDE3LCBSZW5hbCBWZW50dXJlcyBNYW5hZ2VtZW50LCBMTEMgb3BlcmF0ZXMgYXMgYSBzdWJzaWRpYXJ5IG9mIERhVml0YSBLaWRuZXkgQ2FyZQDg7yZ6gtTWCAqckYiC1NYIK0NJUS5YVFJBOkZNRS5JUV9UT1RBTF9SRVYuRlkyMDE2LjEyLzMxLzIwMTgBAAAACt4FAAIAAAAMMTc0OTEuNTE4MDA1AQgAAAAFAAAAATEBAAAACjE4NzYwNzE3ODMDAAAAAzE2MAIAAAACMjgEAAAAATAHAAAACjEyLzMxLzIwMTgIAAAACjEyLzMxLzIwMTYJAAAAATC/xyZ6gtTWCK/nnYiC1NYINENJUS5JUTg3OTU1</t>
  </si>
  <si>
    <t>NS5JUV9EQVlTX0lOVkVOVE9SWV9PVVQuRlkyMDE1LjEyLzMxLzIwMTgBAAAAw2sNAAIAAAAJNDkuNjM5NjM1AQgAAAAFAAAAATEBAAAACjE4MzMwNDA4NTkDAAAAAjUwAgAAAAQ0MDM1BAAAAAEwBwAAAAoxMi8zMS8yMDE4CAAAAAoxMi8zMS8yMDE1CQAAAAEwMI1CiYLU1ggg9AyggtTWCCpDSVEuSVFUUjE0MTI3MjYxNi5JUV9UUl9UQVJHRVRfRUJJVF9FUV9JTkMBAAAAKKZrCAIAAAAAAHhjJ3qC1NYIrueWiILU1ghBQ0lRLklRMTE1NTQ0LklRX0VCSVRfTUVESUFOX0VTVF9DSVEuRlkyMDE3LjEyLzMxLzIwMTguQ09OLkYuVVNELkgBAAAAWMMBAAIAAAAHLTE0LjE1MQEOAAAABQAAAAEzAQAAAAEwAgAAAAoxMDAwOTk0MjUxAwAAAAYxMDAyMTYEAAAAATIGAAAAATAHAAAAAzE2MAgAAAABMAkAAAABMQoAAAABMAsAAAALMTA2NDA1MDgzODIMAAAAATENAAAACDEvMS8yMDE5EAAAAAoxMi8zMS8yMDE3VrEneoLU1giZg56IgtTWCDdDSVEuSVEzODQ1MjIuSVFfRUJJVERBXzFZUl9BTk5fR1JPV1RILkZZMjAxMy4xMi8zMS8yMDE4AQAAAAreBQACAAAABjMuOTkyOAEIAAAABQAAAAExAQAAAAoxNzc3ODI1NzMxAwAAAAMxNjACAAAABDQxOTYEAAAAATAHAAAACjEyLzMxLzIwMTgIAAAACjEyLzMxLzIwMTMJAAAAATBSP0KJgtTWCP5zEKCC1NYILkNJUS5YVFJBOkZNRS5JUV9MQVNUU0FMRVBSSUNFLjEyLzMx</t>
  </si>
  <si>
    <t>LzIwMTguVVNELkgBAAAACt4FAAIAAAAJNjQuODUwMDExAB9UJnqC1NYIS6aZiILU1ggrQ0lRLk5ZU0U6RFZBLklRX1RPVEFMX1JFVi5GWTIwMTUuMTIvMzEvMjAxOAEAAAA8iwAAAgAAAAg5OTczLjAwNQEIAAAABQAAAAExAQAAAAoxODc1ODA3Mjg5AwAAAAMxNjACAAAAAjI4BAAAAAEwBwAAAAoxMi8zMS8yMDE4CAAAAAoxMi8zMS8yMDE1CQAAAAEw/HomeoLU1gjaS52IgtTWCChDSVEuTllTRTpEVkEuSVFfRUJJVERBLkZZMjAxNi4xMi8zMS8yMDE4AQAAADyLAAACAAAABzI0MDEuODkBCAAAAAUAAAABMQEAAAAKMTg3NTgwNzI5OQMAAAADMTYwAgAAAAQ0MDUxBAAAAAEwBwAAAAoxMi8zMS8yMDE4CAAAAAoxMi8zMS8yMDE2CQAAAAEw8qEmeoLU1gicvJ+IgtTWCDBDSVEuREI6RlJFLklRX1RPVEFMX1JFVi4yMDAwLjEyLzMxLzIwMTguLlAuVVNELkgBAAAAw2sNAAIAAAAMMzgzOTAuMTk5MjE4AQgAAAAFAAAAATEBAAAACjE5NTA0NDI1OTcDAAAAAzE2MAIAAAACMjgEAAAAATAHAAAACjEyLzMxLzIwMTgIAAAACjEyLzMxLzIwMTgJAAAAATDyoSZ6gtTWCCrCloiC1NYIOUNJUS5JUTUwMDk0ODI1LklRX0VCSVRfMVlSX0FOTl9HUk9XVEguMTk5OS41LzEvMjAxNy5MRlIuUAEAAADpYvwCAwAAAAAAWBhCiYLU1gjCXRGggtTWCC9DSVEuSVExMTU1NDQuSVFfRUJJVERBLjEwMDAuMTIvMzEvMjAxOC4uUC5V</t>
  </si>
  <si>
    <t>U0QuSAEAAABYwwEAAgAAAAYxMi45MDMBCAAAAAUAAAABMQEAAAAKMTg3NDgwNTAyMwMAAAADMTYwAgAAAAQ0MDUxBAAAAAEwBwAAAAoxMi8zMS8yMDE4CAAAAAoxMi8zMS8yMDE3CQAAAAEw8qEmeoLU1giLvJiIgtTWCDRDSVEuSVE2MDU1NzcyMDMuSVFfRUJJVF9NQVJHSU4uMTk5OC4xMi8zMS8yMDE4LkxGUi5QAQAAAPNfGCQDAAAAAADB8UGJgtTWCPYhEqCC1NYIIENJUS5JUVRSMzA5ODczNTIxLklRX1RSX0FOTl9EQVRFAQAAAHFLeBIFAAAACTgvMjQvMjAxNQEGAAAABQAAAAI1NAEAAAAGNjAwOTA3AgAAAAkzMDk4NzM1MjEDAAAACTMwOTg3MzUyMQQAAAADMTYwBgAAAARUcnVleGMneoLU1ggvdJaIgtTWCCZDSVEuTllTRTpEVkEuSVFfRUJJVC5GWTIwMTUuMTIvMzEvMjAxOAEAAAA8iwAAAgAAAAgxNjIxLjkxMwEIAAAABQAAAAExAQAAAAoxODc1ODA3Mjg5AwAAAAMxNjACAAAAAzQwMAQAAAABMAcAAAAKMTIvMzEvMjAxOAgAAAAKMTIvMzEvMjAxNQkAAAABMPx6JnqC1NYIr5WfiILU1gghQ0lRLklRVFI0MDQ3NzY4OTcuSVFfVFJfQlVZRVJOQU1FAQAAAMFnIBgDAAAAHUFtZXJpY2FuIFJlbmFsIEFzc29jaWF0ZXMgTExDAHhjJ3qC1NYIrFeZiILU1gg5Q0lRLklRNDkzNTk1Ni5JUV9FQklUXzFZUl9BTk5fR1JPV1RILjIwMDAuMi8yOC8yMDEyLkxGUi5QAQAAABRRSwADAAAAAADB8UGJgtTWCAD7</t>
  </si>
  <si>
    <t>EaCC1NYIJENJUS5EQjpGUkUuSVFfRUJJVC5GWTIwMTcuMTIvMzEvMjAxOAEAAADDaw0AAgAAAAs1NDU1LjA5MTI1OQEIAAAABQAAAAExAQAAAAoxODc5Njg4OTkzAwAAAAMxNjACAAAAAzQwMAQAAAABMAcAAAAKMTIvMzEvMjAxOAgAAAAKMTIvMzEvMjAxNwkAAAABMB9UJnqC1NYIiaagiILU1ggzQ0lRLklRNDA0Nzc2ODE5LklRX0VCSVRfTUFSR0lOLjE5OTguOS8xNS8yMDE2LkxGUi5QAQAAAHNnIBgDAAAAAABSP0KJgtTWCJIREaCC1NYIOkNJUS5OWVNFOkFSQS5JUV9DQVNIX1NUX0lOVkVTVC4yMDAwLjEyLzMxLzIwMTguTEZSLkYuVVNELkgBAAAAPRsvCAIAAAAGNjIuODk5AQgAAAAFAAAAATEBAAAACjE5MjExNjk0NTYDAAAAAzE2MAIAAAAEMTAwMgQAAAABMAcAAAAKMTIvMzEvMjAxOAgAAAAJOS8zMC8yMDE4CQAAAAEwv8cmeoLU1gi8SZOIgtTWCCNDSVEuSVFUUjEzMzg0NTExMS5JUV9UUl9DTE9TRURfREFURQEAAAB3UPoHBQAAAAk0LzI4LzIwMTEAeGMneoLU1ghD/5WIgtTWCCZDSVEuREI6RlJFLklRX0VCSVREQS5GWTIwMTUuMTIvMzEvMjAxOAEAAADDaw0AAgAAAAs1Mzc2LjA1MjEzMwEIAAAABQAAAAExAQAAAAoxODMzMDQwODU5AwAAAAMxNjACAAAABDQwNTEEAAAAATAHAAAACjEyLzMxLzIwMTgIAAAACjEyLzMxLzIwMTUJAAAAATD8eiZ6gtTWCK/nnYiC1NYIJkNJUS5YVFJBOkZNRS5J</t>
  </si>
  <si>
    <t>UV9FQklULkZZMjAxMy4xMi8zMS8yMDE4AQAAAAreBQACAAAACDIyMzAuMDkxAQgAAAAFAAAAATEBAAAACjE3Nzc4MjU3MzEDAAAAAzE2MAIAAAADNDAwBAAAAAEwBwAAAAoxMi8zMS8yMDE4CAAAAAoxMi8zMS8yMDEzCQAAAAEw/HomeoLU1gjaS52IgtTWCDlDSVEuSVEzODQ1MjIuSVFfRUJJVF9NQVJHSU4uRlkyMDE1LjEyLzMxLzIwMTguTEZSLlAuVVNELkgBAAAACt4FAAIAAAAHMTMuOTM4OAEIAAAABQAAAAExAQAAAAoxODc2MDcxNzgyAwAAAAI1MAIAAAAENDA1MwQAAAABMAcAAAAKMTIvMzEvMjAxOAgAAAAKMTIvMzEvMjAxNQkAAAABMDCNQomC1NYIwQQOoILU1ggqQ0lRLklRVFIxMzM4NDUxMTEuSVFfVFJfVEFSR0VUX0VCSVRfRVFfSU5DAQAAAHdQ+gcCAAAAAAB4Yyd6gtTWCEhtmIiC1NYIKUNJUS5JUTI2Njg2NDIuSVFfTEFTVFNBTEVQUklDRS4xMi8zMS8yMDE4AQAAAGK4KAACAAAABDUuMTQAH1QmeoLU1gjtNpeIgtTWCDJDSVEuREI6RlJFLklRX0VCSVREQV9FU1QuMTAwMDEuMTIvMzEvMjAxOC4uUC5VU0QuSAEAAADDaw0AAgAAABA3MjY3LjUzMzYwMzU2MjI3AQ4AAAAFAAAAAjExAQAAAAEwAgAAAAoxMDAwMzg4NDY1AwAAAAYxMDAxODcEAAAAATMGAAAAATAHAAAAAzE2MAgAAAABMAkAAAABMQoAAAABMAsAAAALMTEyMTU3MzM1NDYMAAAAATcNAAAACDEvMS8yMDE5EAAAAAoxMi8zMS8y</t>
  </si>
  <si>
    <t>MDE4TNgneoLU1ggvdJaIgtTWCDNDSVEuSVExMzczMDQ4OTMuSVFfREFZU19TQUxFU19PVVQuRlkyMDE1LjEyLzMxLzIwMTgBAAAAPRsvCAIAAAAINDEuMzIyMzgBCAAAAAUAAAABMQEAAAAKMTg3NzE3MTM2MwMAAAADMTYwAgAAAAQ0MDQyBAAAAAEwBwAAAAoxMi8zMS8yMDE4CAAAAAoxMi8zMS8yMDE1CQAAAAEwMI1CiYLU1gj2QQ2ggtTWCDFDSVEuSVE1MDA5NDgyNS5JUV9FQklUX01BUkdJTi4yMDAwLjUvMS8yMDE3LkxGUi5QAQAAAOli/AIDAAAAAABYGEKJgtTWCPuFEaCC1NYIJkNJUS5YVFJBOkZNRS5JUV9FQklULkZZMjAxNi4xMi8zMS8yMDE4AQAAAAreBQACAAAACzI0ODEuMDEyMzUyAQgAAAAFAAAAATEBAAAACjE4NzYwNzE3ODMDAAAAAzE2MAIAAAADNDAwBAAAAAEwBwAAAAoxMi8zMS8yMDE4CAAAAAoxMi8zMS8yMDE2CQAAAAEw/HomeoLU1ghyWKCIgtTWCDdDSVEuSVEzODQzMzEuSVFfRUJJVF8xWVJfQU5OX0dST1dUSC4xOTk4LjYvMS8yMDEwLkxGUi5QAQAAAEvdBQACAAAABzE5LjQyMzIBCAAAAAUAAAABMQEAAAAKMTI1MTM0NDMyOQMAAAADMTYwAgAAAAQ0MTk3BAAAAAEwBwAAAAg2LzEvMjAxMAgAAAAJOS8zMC8yMDA5CQAAAAEwWBhCiYLU1ggNrRGggtTWCDRDSVEuSVExNDEyNzE4NjguSVFfRUJJVF9NQVJHSU4uMjAwMC4xMi8zMS8yMDE1LkxGUi5QAQAAADyjawgDAAAAAADB8UGJ</t>
  </si>
  <si>
    <t>gtTWCAD7EaCC1NYIIkNJUS5JUVRSMTAwNzc0NTYyLklRX1RSX1RBUkdFVE5BTUUBAAAAorIBBgMAAAAlRGlhbHlzaXMgQ29ycG9yYXRpb24gb2YgQW1lcmljYSwgSW5jLgB4Yyd6gtTWCC90loiC1NYIKENJUS5JUVRSMjE0MjQ4MDMwLklRX1RSX0lNUExJRURfRVZfRklOQUwBAAAAXirFDAIAAAAINDIuMDQwODEApDwneoLU1gj+3ZqIgtTWCDVDSVEuSVExMTU1NDQuSVFfRUJJVF8xWVJfQU5OX0dST1dUSC5GWTIwMTYuMTIvMzEvMjAxOAEAAABYwwEAAwAAAAJOTQEIAAAABQAAAAExAQAAAAoxODc0ODA0OTcyAwAAAAMxNjACAAAABDQxOTcEAAAAATAHAAAACjEyLzMxLzIwMTgIAAAACjEyLzMxLzIwMTYJAAAAATAwjUKJgtTWCMEEDqCC1NYIKENJUS5JUTExNTU0NC5JUV9FQklUREEuRlkyMDE0LjEyLzMxLzIwMTgBAAAAWMMBAAIAAAAFLTguODkBCAAAAAUAAAABMQEAAAAKMTgzMDE2NTY2OQMAAAADMTYwAgAAAAQ0MDUxBAAAAAEwBwAAAAoxMi8zMS8yMDE4CAAAAAoxMi8zMS8yMDE0CQAAAAEw/HomeoLU1gg+7ZuIgtTWCCpDSVEuREI6RlJFLklRX1NIQVJFU09VVFNUQU5ESU5HLjEyLzMxLzIwMTgBAAAAw2sNAAIAAAAKNTU2LjA4NDI0MwDg7yZ6gtTWCMn5l4iC1NYIJkNJUS5JUTExNTU0NC5JUV9FQklULkZZMjAxMy4xMi8zMS8yMDE4AQAAAFjDAQACAAAABy0xNy43OTgBCAAAAAUAAAABMQEAAAAK</t>
  </si>
  <si>
    <t>MTc3NTg1MTMwNQMAAAADMTYwAgAAAAM0MDAEAAAAATAHAAAACjEyLzMxLzIwMTgIAAAACjEyLzMxLzIwMTMJAAAAATD8eiZ6gtTWCPrWnIiC1NYILUNJUS5OWVNFOkRWQS5JUV9FQklULjIwMDAuMTIvMzEvMjAxOC4uUC5VU0QuSAEAAAA8iwAAAgAAAAgxNDkwLjE0OQEIAAAABQAAAAExAQAAAAoxOTQ2NjY2NjAwAwAAAAMxNjACAAAAAzQwMAQAAAABMAcAAAAKMTIvMzEvMjAxOAgAAAAKMTIvMzEvMjAxOAkAAAABMPKhJnqC1NYIF+KYiILU1gg5Q0lRLklRMzg0NTIyLklRX0VCSVRfTUFSR0lOLkZZMjAxNy4xMi8zMS8yMDE4LkxGUi5QLlVTRC5IAQAAAAreBQACAAAABzEyLjkwNjUBCAAAAAUAAAABMQEAAAAKMTg3NjA3MTc4OQMAAAACNTACAAAABDQwNTMEAAAAATAHAAAACjEyLzMxLzIwMTgIAAAACjEyLzMxLzIwMTcJAAAAATBOtEKJgtTWCBbNDKCC1NYIOUNJUS5JUTg3OTU1NS5JUV9FQklUX01BUkdJTi5GWTIwMTcuMTIvMzEvMjAxOC5MRlIuUC5VU0QuSAEAAADDaw0AAgAAAAcxMy40MDY3AQgAAAAFAAAAATEBAAAACjE4Nzk2ODg5OTMDAAAAAjUwAgAAAAQ0MDUzBAAAAAEwBwAAAAoxMi8zMS8yMDE4CAAAAAoxMi8zMS8yMDE3CQAAAAEwTrRCiYLU1ggWzQyggtTWCEFDSVEuSVExMTU1NDQuSVFfRUJJVF9NRURJQU5fRVNUX0NJUS5GWTIwMTguMTIvMzEvMjAxOC5DT04uRi5VU0QuSAEAAABYwwEA</t>
  </si>
  <si>
    <t>AgAAAActMy4wNzU1AQ4AAAAFAAAAATMBAAAAATACAAAACjEwMDA5OTQyNTYDAAAABjEwMDIxNgQAAAABMgYAAAABMAcAAAADMTYwCAAAAAEwCQAAAAExCgAAAAEwCwAAAAsxMTE3MTc3MzY5NwwAAAABMQ0AAAAIMS8xLzIwMTkQAAAACjEyLzMxLzIwMThM2Cd6gtTWCNvAnYiC1NYIMkNJUS5JUTExNTU0NC5JUV9EQVlTX1BBWUFCTEVfT1VULkZZMjAxNi4xMi8zMS8yMDE4AQAAAFjDAQACAAAACTIwLjUyOTY3MgEIAAAABQAAAAExAQAAAAoxODc0ODA0OTcyAwAAAAMxNjACAAAABDQxODMEAAAAATAHAAAACjEyLzMxLzIwMTgIAAAACjEyLzMxLzIwMTYJAAAAATBOtEKJgtTWCDblC6CC1NYIO0NJUS5JUTQwNDc3NjgxOS5JUV9FQklUXzFZUl9BTk5fR1JPV1RILjIwMDAuOS8xNS8yMDE2LkxGUi5QAQAAAHNnIBgDAAAAAABSP0KJgtTWCJIREaCC1NYIMUNJUS5JUTQ5MzU5NTYuSVFfRUJJVF9NQVJHSU4uMTk5OC4yLzI4LzIwMTIuTEZSLlABAAAAFFFLAAMAAAAAAFgYQomC1NYIwl0RoILU1ggyQ0lRLklRMzg0NTIyLklRX0RBWVNfUEFZQUJMRV9PVVQuRlkyMDE3LjEyLzMxLzIwMTgBAAAACt4FAAIAAAAIMjQuNTM2MDMBCAAAAAUAAAABMQEAAAAKMTg3NjA3MTc4OQMAAAACNTACAAAABDQxODMEAAAAATAHAAAACjEyLzMxLzIwMTgIAAAACjEyLzMxLzIwMTcJAAAAATBOtEKJgtTWCGm8C6CC1NYIPkNJUS5J</t>
  </si>
  <si>
    <t>UTEzNzMwNDg5My5JUV9FQklUREFfTUFSR0lOLkZZMjAxNy4xMi8zMS8yMDE4LkxGUi5QLlVTRC5IAQAAAD0bLwgCAAAABzIxLjYwNDMBCAAAAAUAAAABMQEAAAAKMTg3NzE3MTM3OAMAAAADMTYwAgAAAAQ0MDQ3BAAAAAEwBwAAAAoxMi8zMS8yMDE4CAAAAAoxMi8zMS8yMDE3CQAAAAEwMI1CiYLU1gjM3Q2ggtTWCCNDSVEuSVFUUjIwODM0Mzg0My5JUV9UUl9DTE9TRURfREFURQEAAAAjE2sMBQAAAAg3LzIvMjAxMgBhiid6gtTWCHWxlYiC1NYIN0NJUS5JUTg3OTU1NS5JUV9FQklUREFfMVlSX0FOTl9HUk9XVEguRlkyMDE0LjEyLzMxLzIwMTgBAAAAw2sNAAIAAAAGNC44MjUyAQgAAAAFAAAAATEBAAAACjE3ODE3MzUwMjgDAAAAAjUwAgAAAAQ0MTk2BAAAAAEwBwAAAAoxMi8zMS8yMDE4CAAAAAoxMi8zMS8yMDE0CQAAAAEwUj9CiYLU1gj+cxCggtTWCCxDSVEuSVFUUjQwNDc3Njg5Ny5JUV9UUl9UQVJHRVRfRUJJVERBX0VRX0lOQwEAAADBZyAYAgAAAAAAkhUneoLU1girK5uIgtTWCCRDSVEuT1RDUEs6R05PVy5JUV9CRVRBXzJZUi41LzIzLzIwMTYBAAAAIWg9AQIAAAAQMS4xMDE5MDkxNTcyODE1NABM2Cd6gtTWCJ6VmIiC1NYIM0NJUS5JUTU2MjA5MzQ1OC5JUV9FQklUX01BUkdJTi4xOTk4LjMvMzEvMjAxOC5MRlIuUAEAAACS3YAhAwAAAAAAWBhCiYLU1gj7hRGggtTWCChDSVEuTllTRTpEVkEu</t>
  </si>
  <si>
    <t>SVFfRUJJVERBLkZZMjAxNy4xMi8zMS8yMDE4AQAAADyLAAACAAAACDI0MDguOTU3AQgAAAAFAAAAATEBAAAACjE4NzU4MDcyMTYDAAAAAzE2MAIAAAAENDA1MQQAAAABMAcAAAAKMTIvMzEvMjAxOAgAAAAKMTIvMzEvMjAxNwkAAAABMB9UJnqC1NYIjTGgiILU1ggoQ0lRLklRVFI2MDU1NzcyMzYuSVFfVFJfSU1QTElFRF9FVl9GSU5BTAEAAAAUYBgkAgAAAAMyLjYBBgAAAAUAAAACNTQBAAAABjEwMjA0NQIAAAAJNjA1NTc3MjM2AwAAAAk2MDU1Nzc1ODcEAAAAAzE2MAYAAAAFRmFsc2V4Yyd6gtTWCEP/lYiC1NYIPkNJUS5JUTEzNzMwNDg5My5JUV9FQklUREFfTUFSR0lOLkZZMjAxNS4xMi8zMS8yMDE4LkxGUi5QLlVTRC5IAQAAAD0bLwgCAAAABzI4LjI5ODIBCAAAAAUAAAABMQEAAAAKMTg3NzE3MTM2MwMAAAADMTYwAgAAAAQ0MDQ3BAAAAAEwBwAAAAoxMi8zMS8yMDE4CAAAAAoxMi8zMS8yMDE1CQAAAAEwP2ZCiYLU1ghLPA+ggtTWCCpDSVEuSVFUUjIxNDI0ODAzMC5JUV9UUl9UQVJHRVRfRUJJVF9FUV9JTkMBAAAAXirFDAIAAAAIMy44NzQ5NDgBBgAAAAUAAAACMzcBAAAACjE1NTgyOTc5MjICAAAABTIxNjc1AwAAAAMxNjAEAAAAATAHAAAACDEvMS8xOTAwpDwneoLU1giyG5qIgtTWCCFDSVEuSVFUUjExMjIxODMwNS5JUV9UUl9CVVlFUk5BTUUBAAAAwVCwBgMAAAA2S2luZHJlZCBIZWFsdGhj</t>
  </si>
  <si>
    <t>YXJlLCBJbmMuIChua2E6S2luZHJlZCBIZWFsdGhjYXJlLCBMTEMpAKQ8J3qC1NYIWn+ZiILU1ggoQ0lRLlhUUkE6Rk1FLklRX0VCSVREQS5GWTIwMTUuMTIvMzEvMjAxOAEAAAAK3gUAAgAAAAszMDQzLjYwMzU4NQEIAAAABQAAAAExAQAAAAoxODc2MDcxNzgyAwAAAAMxNjACAAAABDQwNTEEAAAAATAHAAAACjEyLzMxLzIwMTgIAAAACjEyLzMxLzIwMTUJAAAAATD8eiZ6gtTWCPernoiC1NYIOkNJUS5JUTExNTU0NC5JUV9DQVNIX1NUX0lOVkVTVC4yMDAwLjEyLzMxLzIwMTguTEZSLkYuVVNELkgBAAAAWMMBAAIAAAAGODEuOTQ0AQgAAAAFAAAAATEBAAAACjE5MTk5ODY0MDMDAAAAAzE2MAIAAAAEMTAwMgQAAAABMAcAAAAKMTIvMzEvMjAxOAgAAAAJOS8zMC8yMDE4CQAAAAEwv8cmeoLU1gjq+5KIgtTWCCRDSVEuREI6RlJFLklRX0VCSVQuRlkyMDE2LjEyLzMxLzIwMTgBAAAAw2sNAAIAAAALNDUwNi40OTIxMzcBCAAAAAUAAAABMQEAAAAKMTg3OTY4ODk5MAMAAAADMTYwAgAAAAM0MDAEAAAAATAHAAAACjEyLzMxLzIwMTgIAAAACjEyLzMxLzIwMTYJAAAAATD8eiZ6gtTWCC1/oIiC1NYINkNJUS5JUTM1NjQ0LklRX0VCSVREQV8xWVJfQU5OX0dST1dUSC5GWTIwMTUuMTIvMzEvMjAxOAEAAAA8iwAAAgAAAAYtNS43NzMBCAAAAAUAAAABMQEAAAAKMTg3NTgwNzI4OQMAAAADMTYwAgAAAAQ0MTk2BAAA</t>
  </si>
  <si>
    <t>AAEwBwAAAAoxMi8zMS8yMDE4CAAAAAoxMi8zMS8yMDE1CQAAAAEwP2ZCiYLU1ggGFg+ggtTWCEJDSVEuREI6RlJFLklRX1JFVkVOVUVfTUVESUFOX0VTVF9DSVEuRlkyMDE3LjEyLzMxLzIwMTguQ09OLkYuVVNELkgBAAAAw2sNAAIAAAAQNDA3NzkuMTc1Njc4MDQxNgEOAAAABQAAAAEzAQAAAAEwAgAAAAoxMDAwMzg4NDYzAwAAAAYxMDAxODEEAAAAATMGAAAAATAHAAAAAzE2MAgAAAABMAkAAAABMQoAAAABMAsAAAALMTA3NjE4OTMxNTYMAAAAATENAAAACDEvMS8yMDE5EAAAAAoxMi8zMS8yMDE3TNgneoLU1ggkO5yIgtTWCEFDSVEuREI6RlJFLklRX0VCSVREQV9NRURJQU5fRVNUX0NJUS5GWTIwMjIuMTIvMzEvMjAxOC5DT04uRi5VU0QuSAEAAADDaw0AAgAAAA84OTE4Ljg4MDc1MjQ2NjEBDgAAAAUAAAABMwEAAAABMAIAAAAKMTAwMDM4ODQ2OAMAAAAGMTAwMTg4BAAAAAEzBgAAAAEwBwAAAAMxNjAIAAAAATAJAAAAATEKAAAAATALAAAACzExMjEzMTI0MTg2DAAAAAExDQAAAAgxLzEvMjAxORAAAAAKMTIvMzEvMjAxOGGKJ3qC1NYIT/SgiILU1ggpQ0lRLklRVFIyODcyMzQ1MjIuSVFfQlVTSU5FU1NfREVTQ1JJUFRJT04BAAAAGNUeEQMAAACQAkNvbXByZWhlbnNpdmUgRGlhbHlzaXMgQ2VudGVyIG9mIFdOWSBJbmMuIHByb3ZpZGVzIHJlbmFsIGRpYWx5c2lzIG9uIHNpdGUgYW5kIHRocm91Z2gg</t>
  </si>
  <si>
    <t>aG9tZS1iYXNlZCBzZXJ2aWNlLiBUaGUgY29tcGFueSBpcyBiYXNlZCBpbiBXaWxsaWFtc3ZpbGxlLCBOZXcgWW9yay4gQXMgb2YgU2VwdGVtYmVyIDE3LCAyMDE1LCBDb21wcmVoZW5zaXZlIERpYWx5c2lzIENlbnRlciBvZiBXTlkgSW5jLiBvcGVyYXRlcyBhcyBhIHN1YnNpZGlhcnkgb2YgUHVyZSBMaWZlIFJlbmFsLCBMTEMuAODvJnqC1NYIsdyTiILU1gg8Q0lRLklRNjA1NTc3MjAzLklRX0VCSVRfMVlSX0FOTl9HUk9XVEguMTk5OC4xMi8zMS8yMDE4LkxGUi5QAQAAAPNfGCQDAAAAAADB8UGJgtTWCPYhEqCC1NYIL0NJUS5JUTM4NDMzMS5JUV9FQklUX01BUkdJTi4xOTk4LjYvMS8yMDEwLkxGUi5QAQAAAEvdBQACAAAABjcuMDkxNAEIAAAABQAAAAExAQAAAAoxMjUxMzQ0MzI5AwAAAAMxNjACAAAABDQwNTMEAAAAATAHAAAACDYvMS8yMDEwCAAAAAk5LzMwLzIwMDkJAAAAATDB8UGJgtTWCCTUEaCC1NYIJkNJUS5EQjpGUkUuSVFfRUJJVERBLkZZMjAxNC4xMi8zMS8yMDE4AQAAAMNrDQACAAAACzQ4NjQuNzM0MDA5AQgAAAAFAAAAATEBAAAACjE3ODE3MzUwMjgDAAAAAzE2MAIAAAAENDA1MQQAAAABMAcAAAAKMTIvMzEvMjAxOAgAAAAKMTIvMzEvMjAxNAkAAAABMPx6JnqC1NYITcabiILU1gg3Q0lRLklRMzg0NTIyLklRX0VCSVREQV8xWVJfQU5OX0dST1dUSC5GWTIwMTUuMTIvMzEvMjAxOAEA</t>
  </si>
  <si>
    <t>AAAK3gUAAgAAAAYzLjkxMTkBCAAAAAUAAAABMQEAAAAKMTg3NjA3MTc4MgMAAAACNTACAAAABDQxOTYEAAAAATAHAAAACjEyLzMxLzIwMTgIAAAACjEyLzMxLzIwMTUJAAAAATA/ZkKJgtTWCF1jD6CC1NYILENJUS5JUVRSMTMzODQ1MTExLklRX1RSX1RPVEFMX0dST1NTX1RWX0ZJTkFMAQAAAHdQ+gcCAAAABjM5LjE4NACkPCd6gtTWCKxXmYiC1NYIKENJUS5OWVNFOkFSQS5JUV9FQklUREEuRlkyMDE2LjEyLzMxLzIwMTgBAAAAPRsvCAIAAAAHMTcxLjMzNwEIAAAABQAAAAExAQAAAAoxODc3MTcxMzY2AwAAAAMxNjACAAAABDQwNTEEAAAAATAHAAAACjEyLzMxLzIwMTgIAAAACjEyLzMxLzIwMTYJAAAAATDyoSZ6gtTWCLH5noiC1NYIIkNJUS5JUVRSMjg3MjM0NTIyLklRX1RSX1RBUkdFVE5BTUUBAAAA2tkeEQMAAAApQ29tcHJlaGVuc2l2ZSBEaWFseXNpcyBDZW50ZXIgb2YgV05ZIEluYy4AYYoneoLU1ghD/5WIgtTWCClDSVEuSVFUUjEwMDc3NDU2Mi5JUV9CVVNJTkVTU19ERVNDUklQVElPTgEAAABL3QUAAwAAAJgIQXMgb2YgSnVuZSAxLCAyMDEwLCBEaWFseXNpcyBDb3Jwb3JhdGlvbiBvZiBBbWVyaWNhLCBJbmMuIHdhcyBhY3F1aXJlZCBieSBVLlMuIFJlbmFsIENhcmUgSW5jLiBEaWFseXNpcyBDb3Jwb3JhdGlvbiBvZiBBbWVyaWNhLCBJbmMuIG9mZmVycyBraWRuZXkgaGVtb2RpYWx5c2lz</t>
  </si>
  <si>
    <t>IGFuZCBwZXJpdG9uZWFsIGRpYWx5c2lzIHNlcnZpY2VzIHZpYSBhIG5ldHdvcmsgb2YgZnJlZXN0YW5kaW5nIGNlbnRlcnMuIFRoZSBjb21wYW55IG9mZmVycyBjaHJvbmljIGtpZG5leSBkaXNlYXNlIHNlcnZpY2VzLCBpbmNsdWRpbmcgaW4tY2VudGVyLCBhY3V0ZSwgb3IgYXQtaG9tZSBoZW1vZGlhbHlzaXMsIGFzIHdlbGwgYXMgdHJhaW5pbmcgYW5kIHN1cHBvcnQgZm9yIGhvbWUtYmFzZWQgdGhlcmFwaWVzLCBhbmQgcmVmZXJyYWwgZm9yIHRyYW5zcGxhbnQgZXZhbHVhdGlvbi4gRGlhbHlzaXMgQ29ycG9yYXRpb24gb2YgQW1lcmljYSwgSW5jLiBhbHNvIGFzc2lzdHMgcGF0aWVudHMgd2l0aCB0aGVpciBudXRyaXRpb25hbCwgbWVkaWNhbCwgYW5kIHBzeWNob3NvY2lhbCBuZWVkczsgYW5kIHByb3ZpZGVzIGRpc2Vhc2Ugc3RhdGUgYW5kIGRpYWx5c2lzIHRyZWF0bWVudCBlZHVjYXRpb24gdG8gaW5kaXZpZHVhbHMgdGhyb3VnaCBSZW5hbCBDaG9pY2VzLCBhIHByb2dyYW0gaGVscGluZyBwYXRpZW50cyBjaG9vc2UgYSBkaWFseXNpcyB0cmVhdG1lbnQgb3B0aW9uIHRoYXQgZml0cyB0aGVpciBsaWZlc3R5bGUuIEluIGFkZGl0aW9uLCB0aGUgY29tcGFueSBvZmZlcnMgaW4taG9zcGl0YWwgZGlhbHlzaXMgc2VydmljZXMgb24gYSBjb250cmFjdCBiYXNpcyB0byB2YXJpb3VzIGhvc3BpdGFs</t>
  </si>
  <si>
    <t>cy4gRGlhbHlzaXMgQ29ycG9yYXRpb24gb2YgQW1lcmljYSwgSW5jLiB3YXMgZm91bmRlZCBpbiAxOTc2IGFuZCBpcyBiYXNlZCBpbiBMaW50aGljdW0sIE1hcnlsYW5kLiBJdCBoYXMgZGlhbHlzaXMgZmFjaWxpdGllcyBpbiBWaXJnaW5pYSwgUGVubnN5bHZhbmlhLCBOZXcgSmVyc2V5LCBPaGlvLCBHZW9yZ2lhLCBTb3V0aCBDYXJvbGluYSwgYW5kIE1hcnlsYW5kLgDg7yZ6gtTWCOtdl4iC1NYIRENJUS5OWVNFOkFSQS5JUV9SRVZFTlVFX01FRElBTl9FU1RfQ0lRLkZZMjAyMi4xMi8zMS8yMDE4LkNPTi5GLlVTRC5IAQAAAD0bLwgDAAAAAABhiid6gtTWCHJYoIiC1NYIIENJUS5JUVRSMTQxMjcyNjE2LklRX1RSX0FOTl9EQVRFAQAAACimawgFAAAACDkvMi8yMDExAHhjJ3qC1NYI4ISXiILU1gggQ0lRLklRVFIyMTQyNDgwMzAuSVFfVFJfQU5OX0RBVEUBAAAAXirFDAUAAAAJNy8xNi8yMDEyAJIVJ3qC1NYIcJ+biILU1ggnQ0lRLk5BU0RBUUdTOk5YVE0uSVFfQkVUQV8yWVIuNS8yMy8yMDE2BQAAAAAAAAAIAAAAFChJbnZhbGlkIElkZW50aWZpZXIpTNgneoLU1girK5uIgtTWCDNDSVEuWFRSQTpGTUUuSVFfVE9UQUxfREVCVC4yMDAwLjEyLzMxLzIwMTguLlAuVVNELkgBAAAACt4FAAIAAAALODY0MC4wNTk1MzcBCAAAAAUAAAABMQEAAAAKMTk0NjQwODk1NgMAAAADMTYwAgAAAAQ0MTczBAAAAAEw</t>
  </si>
  <si>
    <t>BwAAAAoxMi8zMS8yMDE4CAAAAAoxMi8zMS8yMDE4CQAAAAEw8qEmeoLU1gjH0peIgtTWCCBDSVEuSVFUUjExOTEzMDc0NS5JUV9UUl9BTk5fREFURQEAAAB5yhkHBQAAAAgyLzQvMjAxMQBhiid6gtTWCB1ilYiC1NYIQUNJUS5JUTExNTU0NC5JUV9FQklUX01FRElBTl9FU1RfQ0lRLkZZMjAyMS4xMi8zMS8yMDE4LkNPTi5GLlVTRC5IAQAAAFjDAQADAAAAAABhiid6gtTWCPXLoIiC1NYIKkNJUS5JUVRSMTAwNzc0NTYyLklRX1RSX1RBUkdFVF9FQklUX0VRX0lOQwEAAACisgEGAgAAAAU2LjUzMgEGAAAABQAAAAIzNwEAAAAKMTM2NTUxMTY2MgIAAAAFMjE2NzUDAAAAAzE2MAQAAAABMAcAAAAIMS8xLzE5MDCkPCd6gtTWCLIbmoiC1NYIKENJUS5JUTExNTU0NC5JUV9FQklUREEuRlkyMDE1LjEyLzMxLzIwMTgBAAAAWMMBAAIAAAAFMi43ODYBCAAAAAUAAAABMQEAAAAKMTg3NDgwNTA0NAMAAAADMTYwAgAAAAQ0MDUxBAAAAAEwBwAAAAoxMi8zMS8yMDE4CAAAAAoxMi8zMS8yMDE1CQAAAAEw/HomeoLU1gjEmZ2IgtTWCCxDSVEuSVFUUjEwMDc3NDU2Mi5JUV9UUl9UQVJHRVRfRUJJVERBX0VRX0lOQwEAAACisgEGAgAAAAU5LjYwMwEGAAAABQAAAAIzNwEAAAAKMTM2NTUxMTY2MgIAAAAFMjE2NzcDAAAAAzE2MAQAAAABMAcAAAAIMS8xLzE5MDCkPCd6gtTWCCQFm4iC1NYIMENJUS5JUTExNTU0NC5JUV9E</t>
  </si>
  <si>
    <t>QVlTX1NBTEVTX09VVC5GWTIwMTcuMTIvMzEvMjAxOAEAAABYwwEAAgAAAAkyOS42MDc3MDUBCAAAAAUAAAABMQEAAAAKMTg3NDgwNTAyMwMAAAADMTYwAgAAAAQ0MDQyBAAAAAEwBwAAAAoxMi8zMS8yMDE4CAAAAAoxMi8zMS8yMDE3CQAAAAEwTrRCiYLU1gg5MQyggtTWCChDSVEuSVFUUjI4NzIzNDUyMi5JUV9UUl9UQVJHRVRfVE9UQUxfUkVWAQAAANrZHhECAAAAAAB4Yyd6gtTWCMfSl4iC1NYIOENJUS5EQjpGUkUuSVFfQ0FTSF9TVF9JTlZFU1QuMjAwMC4xMi8zMS8yMDE4LkxGUi5GLlVTRC5IAQAAAMNrDQACAAAACzI4NTMuNDkxMzQ1AQgAAAAFAAAAATEBAAAACjE5MTc3Njc2MDkDAAAAAzE2MAIAAAAEMTAwMgQAAAABMAcAAAAKMTIvMzEvMjAxOAgAAAAJOS8zMC8yMDE4CQAAAAEw8qEmeoLU1gjrXZeIgtTWCCBDSVEuSVFUUjI0MTk1OTY4OS5JUV9UUl9BTk5fREFURQEAAAAJA2wOBQAAAAk2LzE0LzIwMTMApDwneoLU1ggkBZuIgtTWCCBDSVEuSVFUUjIwODM0Mzg0My5JUV9UUl9BTk5fREFURQEAAAAjE2sMBQAAAAg2LzQvMjAxMgB4Yyd6gtTWCMn5l4iC1NYIQ0NJUS5JUTExNTU0NC5JUV9FQklUREFfTUVESUFOX0VTVF9DSVEuRlkyMDE3LjEyLzMxLzIwMTguQ09OLkYuVVNELkgBAAAAWMMBAAIAAAAGMTguMDAzAQ4AAAAFAAAAATMBAAAAATACAAAACjEwMDA5OTQyNTEDAAAABjEwMDE4OAQA</t>
  </si>
  <si>
    <t>AAABMgYAAAABMAcAAAADMTYwCAAAAAEwCQAAAAExCgAAAAEwCwAAAAsxMDcyMjcyOTI0MwwAAAABMQ0AAAAIMS8xLzIwMTkQAAAACjEyLzMxLzIwMTdM2Cd6gtTWCBOJnIiC1NYIPUNJUS5JUTEzNzMwNDg5My5JUV9UT1RBTF9SRVZfMVlSX0FOTl9HUk9XVEguRlkyMDE0LjEyLzMxLzIwMTgBAAAAPRsvCAIAAAAGMTMuMDY4AQgAAAAFAAAAATEBAAAACjE4MzExMDQxNzkDAAAAAzE2MAIAAAAENDE5NAQAAAABMAcAAAAKMTIvMzEvMjAxOAgAAAAKMTIvMzEvMjAxNAkAAAABMFI/QomC1NYIg8MQoILU1ghDQ0lRLk5ZU0U6RFZBLklRX0VCSVREQV9NRURJQU5fRVNUX0NJUS5GWTIwMjAuMTIvMzEvMjAxOC5DT04uRi5VU0QuSAEAAAA8iwAAAgAAAAgyMjk5LjQ0NQEOAAAABQAAAAEzAQAAAAEwAgAAAAoxMDAxNjkzNjQwAwAAAAYxMDAxODgEAAAAATIGAAAAATAHAAAAAzE2MAgAAAABMAkAAAABMQoAAAABMAsAAAALMTEyMTM3OTM1NjUMAAAAATENAAAACDEvMS8yMDE5EAAAAAoxMi8zMS8yMDE4VrEneoLU1gix+Z6IgtTWCDJDSVEuSVExMTU1NDQuSVFfVE9UQUxfUkVWLjIwMDAuMTIvMzEvMjAxOC4uUC5VU0QuSAEAAABYwwEAAgAAAAc0MjUuOTkxAQgAAAAFAAAAATEBAAAACjE5MTk5ODY0MDMDAAAAAzE2MAIAAAACMjgEAAAAATAHAAAACjEyLzMxLzIwMTgIAAAACTkvMzAvMjAxOAkAAAABMPx6JnqC1NYI</t>
  </si>
  <si>
    <t>3fKZiILU1ggwQ0lRLklRMTE1NTQ0LklRX0VCSVQuRlkyMDE2LjEyLzMxLzIwMTguTC5QLlVTRC5IAQAAAFjDAQACAAAABi0zLjc4NQEIAAAABQAAAAExAQAAAAoxODc0ODA0OTcyAwAAAAMxNjACAAAAAzQwMAQAAAABMAcAAAAKMTIvMzEvMjAxOAgAAAAKMTIvMzEvMjAxNgkAAAABMPKhJnqC1NYIx9KXiILU1gg3Q0lRLklRODc5NTU1LklRX0VCSVREQV8xWVJfQU5OX0dST1dUSC5GWTIwMTUuMTIvMzEvMjAxOAEAAADDaw0AAgAAAAcyMy4xNjQ5AQgAAAAFAAAAATEBAAAACjE4MzMwNDA4NTkDAAAAAjUwAgAAAAQ0MTk2BAAAAAEwBwAAAAoxMi8zMS8yMDE4CAAAAAoxMi8zMS8yMDE1CQAAAAEwP2ZCiYLU1ghnig+ggtTWCENDSVEuSVExMTU1NDQuSVFfRUJJVERBX01FRElBTl9FU1RfQ0lRLkZZMjAxOC4xMi8zMS8yMDE4LkNPTi5GLlVTRC5IAQAAAFjDAQACAAAABTMzLjIxAQ4AAAAFAAAAATMBAAAAATACAAAACjEwMDA5OTQyNTYDAAAABjEwMDE4OAQAAAABMgYAAAABMAcAAAADMTYwCAAAAAEwCQAAAAExCgAAAAEwCwAAAAsxMTE2OTkxMjMwMQwAAAABMQ0AAAAIMS8xLzIwMTkQAAAACjEyLzMxLzIwMThM2Cd6gtTWCO/9nIiC1NYIKkNJUS5OWVNFOkFSQS5JUV9NQVJLRVRDQVAuMTIvMzEvMjAxOC5VU0QuSAEAAAA9Gy8IAgAAAAozNzQuNTk2NTg5AQYAAAAFAAAAATEBAAAACjE5MjExNjY4NTUDAAAA</t>
  </si>
  <si>
    <t>AzE2MAIAAAAGMTAwMDU0BAAAAAEwBwAAAAoxMi8zMS8yMDE4khUneoLU1gjNXpKIgtTWCCFDSVEuSVFUUjI4NzIzNDUyMi5JUV9UUl9UQVJHRVRfSUQBAAAA2tkeEQMAAAALSVEyODcyMzMzMDQAYYoneoLU1gjtEZKIgtTWCDpDSVEuSVExMTU1NDQuSVFfVE9UQUxfUkVWXzFZUl9BTk5fR1JPV1RILkZZMjAxNy4xMi8zMS8yMDE4AQAAAFjDAQACAAAABjcuNTIzMQEIAAAABQAAAAExAQAAAAoxODc0ODA1MDIzAwAAAAMxNjACAAAABDQxOTQEAAAAATAHAAAACjEyLzMxLzIwMTgIAAAACjEyLzMxLzIwMTcJAAAAATA/ZkKJgtTWCIzHDqCC1NYILENJUS5JUVRSMjE0MjQ4MDMwLklRX1RSX1RBUkdFVF9FQklUREFfRVFfSU5DAQAAAF4qxQwCAAAABzQuNTcwNjMBBgAAAAUAAAACMzcBAAAACjE1NTgyOTc5MjICAAAABTIxNjc3AwAAAAMxNjAEAAAAATAHAAAACDEvMS8xOTAweGMneoLU1gjghJeIgtTWCCBDSVEuTllTRTpBUkEuSVFfRklSU1RQUklDSU5HREFURQEAAAA9Gy8IBQAAAAk0LzIyLzIwMTYAkhUneoLU1ggKnJGIgtTWCC5DSVEuTllTRTpBUkEuSVFfTEFTVFNBTEVQUklDRS4xMi8zMS8yMDE4LlVTRC5IAQAAAD0bLwgCAAAABTExLjUyAB9UJnqC1NYIyfmXiILU1ggzQ0lRLklRNTYyMDkzNDU4LklRX0VCSVRfTUFSR0lOLjIwMDAuMy8zMS8yMDE4LkxGUi5QAQAAAJLdgCEDAAAAAABYGEKJgtTWCPuF</t>
  </si>
  <si>
    <t>EaCC1NYIMENJUS5JUTg3OTU1NS5JUV9EQVlTX1NBTEVTX09VVC5GWTIwMTcuMTIvMzEvMjAxOAEAAADDaw0AAgAAAAg2Mi4wMDU0NwEIAAAABQAAAAExAQAAAAoxODc5Njg4OTkzAwAAAAI1MAIAAAAENDA0MgQAAAABMAcAAAAKMTIvMzEvMjAxOAgAAAAKMTIvMzEvMjAxNwkAAAABME60QomC1NYINlgMoILU1ggkQ0lRLk5ZU0U6RFZBLklRX1RFVi4xMi8zMS8yMDE4LlVTRC5IAQAAADyLAAACAAAACzE5NTgyLjM3OTM0AQYAAAAFAAAAATEBAAAACjE5MjAzMTgyMjkDAAAAAzE2MAIAAAAGMTAwMDYwBAAAAAEwBwAAAAoxMi8zMS8yMDE4khUneoLU1gh8PJWIgtTWCERDSVEuTllTRTpEVkEuSVFfUkVWRU5VRV9NRURJQU5fRVNUX0NJUS5GWTIwMTkuMTIvMzEvMjAxOC5DT04uRi5VU0QuSAEAAAA8iwAAAgAAAAsxMjAzMy40ODI4NwEOAAAABQAAAAEzAQAAAAEwAgAAAAoxMDAxNjkzNjM1AwAAAAYxMDAxODEEAAAAATIGAAAAATAHAAAAAzE2MAgAAAABMAkAAAABMQoAAAABMAsAAAALMTEyMTM4MzMxOTkMAAAAATENAAAACDEvMS8yMDE5EAAAAAoxMi8zMS8yMDE4TNgneoLU1gjv/ZyIgtTWCChDSVEuSVFUUjEzODY5MTY5NS5JUV9UUl9UQVJHRVRfVE9UQUxfUkVWAQAAAG9ERAgCAAAABDEwMDAAeGMneoLU1ghAJpaIgtTWCCxDSVEuTllTRTpEVkEuSVFfU0hBUkVTT1VUU1RBTkRJTkcuMTIvMzEvMjAxOAEA</t>
  </si>
  <si>
    <t>AAA8iwAAAgAAAAkxNjUuOTg0NDgA4O8meoLU1gjH0peIgtTWCENDSVEuWFRSQTpGTUUuSVFfRUJJVERBX01FRElBTl9FU1RfQ0lRLkZZMjAxOC4xMi8zMS8yMDE4LkNPTi5GLlVTRC5IAQAAAAreBQACAAAACDM2NTQuMTk5AQ4AAAAFAAAAATMBAAAAATACAAAACjEwMDAyNDYxMjgDAAAABjEwMDE4OAQAAAABMwYAAAABMAcAAAADMTYwCAAAAAEwCQAAAAExCgAAAAEwCwAAAAsxMTIxNzgyNTg1OQwAAAABMQ0AAAAIMS8xLzIwMTkQAAAACjEyLzMxLzIwMThM2Cd6gtTWCOQknYiC1NYIMUNJUS5JUTI2OTk3ODMzLklRX0VCSVRfTUFSR0lOLjE5OTkuOS8yLzIwMTEuTEZSLlABAAAASfSbAQMAAAAAALLgQImC1NYItW4SoILU1gggQ0lRLklRVFI1NjIwOTM0NzAuSVFfVFJfQU5OX0RBVEUBAAAAnt2AIQUAAAAINS8zLzIwMTgBBgAAAAUAAAACNTQBAAAABjYwMDkwNwIAAAAJNTYyMDkzNDcwAwAAAAk1NjIwOTM0NzAEAAAAAzE2MAYAAAAEVHJ1ZXhjJ3qC1NYIQCaWiILU1ggxQ0lRLklRNDkzNTk1Ni5JUV9FQklUX01BUkdJTi4xOTk5LjIvMjgvMjAxMi5MRlIuUAEAAAAUUUsAAwAAAAAAwfFBiYLU1ggA+xGggtTWCDZDSVEuSVEzNTY0NC5JUV9FQklUREFfMVlSX0FOTl9HUk9XVEguRlkyMDE0LjEyLzMxLzIwMTgBAAAAPIsAAAIAAAAFMC42NjIBCAAAAAUAAAABMQEAAAAKMTgyOTI0NTIyMwMAAAADMTYwAgAA</t>
  </si>
  <si>
    <t>AAQ0MTk2BAAAAAEwBwAAAAoxMi8zMS8yMDE4CAAAAAoxMi8zMS8yMDE0CQAAAAEwUj9CiYLU1gj+cxCggtTWCDVDSVEuSVE4Nzk1NTUuSVFfRUJJVF8xWVJfQU5OX0dST1dUSC5GWTIwMTYuMTIvMzEvMjAxOAEAAADDaw0AAgAAAAcxMC4xNjc3AQgAAAAFAAAAATEBAAAACjE4Nzk2ODg5OTADAAAAAjUwAgAAAAQ0MTk3BAAAAAEwBwAAAAoxMi8zMS8yMDE4CAAAAAoxMi8zMS8yMDE2CQAAAAEwMI1CiYLU1gjBBA6ggtTWCDlDSVEuSVExMTU1NDQuSVFfRUJJVF9NQVJHSU4uRlkyMDE3LjEyLzMxLzIwMTguTEZSLlAuVVNELkgBAAAAWMMBAAIAAAAGLTEuNzM5AQgAAAAFAAAAATEBAAAACjE4NzQ4MDUwMjMDAAAAAzE2MAIAAAAENDA1MwQAAAABMAcAAAAKMTIvMzEvMjAxOAgAAAAKMTIvMzEvMjAxNwkAAAABMDCNQomC1NYI9kENoILU1ghEQ0lRLk5ZU0U6RFZBLklRX1JFVkVOVUVfTUVESUFOX0VTVF9DSVEuRlkyMDE4LjEyLzMxLzIwMTguQ09OLkYuVVNELkgBAAAAPIsAAAIAAAAHMTE1MTcuOAEOAAAABQAAAAEzAQAAAAEwAgAAAAoxMDAxNjkzNjMwAwAAAAYxMDAxODEEAAAAATIGAAAAATAHAAAAAzE2MAgAAAABMAkAAAABMQoAAAABMAsAAAALMTEyMTM4MzMzMTQMAAAAATENAAAACDEvMS8yMDE5EAAAAAoxMi8zMS8yMDE4TNgneoLU1ghwn5uIgtTWCChDSVEuSVFUUjU2MjA5MzQ3MC5JUV9UUl9UQVJH</t>
  </si>
  <si>
    <t>RVRfVE9UQUxfUkVWAQAAAJ7dgCECAAAAAACkPCd6gtTWCN3ymYiC1NYIOUNJUS5JUTQ5MzU5NTYuSVFfRUJJVF8xWVJfQU5OX0dST1dUSC4xOTk5LjIvMjgvMjAxMi5MRlIuUAEAAAAUUUsAAwAAAAAAwfFBiYLU1ggA+xGggtTWCDlDSVEuSVE0OTM1OTU2LklRX0VCSVRfMVlSX0FOTl9HUk9XVEguMTk5OC4yLzI4LzIwMTIuTEZSLlABAAAAFFFLAAMAAAAAAFgYQomC1NYIwl0RoILU1ggqQ0lRLklRVFIyNDE5NTk2ODkuSVFfVFJfVEFSR0VUX0VCSVRfRVFfSU5DAQAAAAkDbA4CAAAAAAB4Yyd6gtTWCKdHmIiC1NYIKENJUS5OWVNFOkFSQS5JUV9FQklUREEuRlkyMDE3LjEyLzMxLzIwMTgBAAAAPRsvCAIAAAAHMTYwLjk3NQEIAAAABQAAAAExAQAAAAoxODc3MTcxMzc4AwAAAAMxNjACAAAABDQwNTEEAAAAATAHAAAACjEyLzMxLzIwMTgIAAAACjEyLzMxLzIwMTcJAAAAATD8eiZ6gtTWCHnjn4iC1NYIN0NJUS5OWVNFOkFSQS5JUV9QUkVGX0VRVUlUWS4yMDAwLjEyLzMxLzIwMTguTEZSLkYuVVNELkgBAAAAPRsvCAMAAAAAAPKhJnqC1NYInu6UiILU1ghBQ0lRLkRCOkZSRS5JUV9FQklUREFfTUVESUFOX0VTVF9DSVEuRlkyMDIwLjEyLzMxLzIwMTguQ09OLkYuVVNELkgBAAAAw2sNAAIAAAAONzU3Ny4yODQxNzYwMDYBDgAAAAUAAAABMwEAAAABMAIAAAAKMTAwMDM4ODQ2NgMAAAAGMTAwMTg4BAAAAAEz</t>
  </si>
  <si>
    <t>BgAAAAEwBwAAAAMxNjAIAAAAATAJAAAAATEKAAAAATALAAAACzExMjE1NzMzNDYzDAAAAAExDQAAAAgxLzEvMjAxORAAAAAKMTIvMzEvMjAxOFaxJ3qC1NYI5CCfiILU1ggrQ0lRLk5ZU0U6QVJBLklRX1RPVEFMX1JFVi5GWTIwMTUuMTIvMzEvMjAxOAEAAAA9Gy8IAgAAAAc2NTIuOTgxAQgAAAAFAAAAATEBAAAACjE4NzcxNzEzNjMDAAAAAzE2MAIAAAACMjgEAAAAATAHAAAACjEyLzMxLzIwMTgIAAAACjEyLzMxLzIwMTUJAAAAATD8eiZ6gtTWCO/9nIiC1NYIHENJUS5YVFJBOkZNRS5JUV9DT01QQU5ZX05BTUUBAAAACt4FAAMAAAAkRnJlc2VuaXVzIE1lZGljYWwgQ2FyZSBBRyAmIENvLiBLR2FBAODvJnqC1NYIKU2WiILU1gg/Q0lRLkRCOkZSRS5JUV9FQklUX01FRElBTl9FU1RfQ0lRLkZZMjAxNy4xMi8zMS8yMDE4LkNPTi5GLlVTRC5IAQAAAMNrDQACAAAAEDU4MjcuMjkzMTkyNDQ0NDkBDgAAAAUAAAABMwEAAAABMAIAAAAKMTAwMDM4ODQ2MwMAAAAGMTAwMjE2BAAAAAEzBgAAAAEwBwAAAAMxNjAIAAAAATAJAAAAATEKAAAAATALAAAACzEwNzYxODkzMTI2DAAAAAExDQAAAAgxLzEvMjAxORAAAAAKMTIvMzEvMjAxN0zYJ3qC1NYIxJmdiILU1ggjQ0lRLklRVFIxMDA3NzQ1NjIuSVFfVFJfQ0xPU0VEX0RBVEUBAAAAorIBBgUAAAAINi8xLzIwMTAApDwneoLU1gggQpqIgtTWCERDSVEuSVExMTU1</t>
  </si>
  <si>
    <t>NDQuSVFfUkVWRU5VRV9NRURJQU5fRVNUX0NJUS5GWTIwMjIuMTIvMzEvMjAxOC5DT04uRi5VU0QuSAEAAABYwwEAAwAAAAAAVrEneoLU1gh545+IgtTWCDdDSVEuSVExMzczMDQ4OTMuSVFfREFZU19JTlZFTlRPUllfT1VULkZZMjAxNi4xMi8zMS8yMDE4AQAAAD0bLwgCAAAACDMuNjI2Njk0AQgAAAAFAAAAATEBAAAACjE4NzcxNzEzNjYDAAAAAzE2MAIAAAAENDAzNQQAAAABMAcAAAAKMTIvMzEvMjAxOAgAAAAKMTIvMzEvMjAxNgkAAAABME60QomC1NYINlgMoILU1ghDQ0lRLlhUUkE6Rk1FLklRX0VCSVREQV9NRURJQU5fRVNUX0NJUS5GWTIwMjAuMTIvMzEvMjAxOC5DT04uRi5VU0QuSAEAAAAK3gUAAgAAAAgzOTU3LjA3MwEOAAAABQAAAAEzAQAAAAEwAgAAAAoxMDAwMjQ2MTMwAwAAAAYxMDAxODgEAAAAATMGAAAAATAHAAAAAzE2MAgAAAABMAkAAAABMQoAAAABMAsAAAALMTEyMTc4MjU0NTEMAAAAATENAAAACDEvMS8yMDE5EAAAAAoxMi8zMS8yMDE4VrEneoLU1ghn0Z6IgtTWCCtDSVEuTllTRTpEVkEuSVFfVE9UQUxfUkVWLkZZMjAxNC4xMi8zMS8yMDE4AQAAADyLAAACAAAACTEyNzgwLjY1MwEIAAAABQAAAAExAQAAAAoxODI5MjQ1MjIzAwAAAAMxNjACAAAAAjI4BAAAAAEwBwAAAAoxMi8zMS8yMDE4CAAAAAoxMi8zMS8yMDE0CQAAAAEw/HomeoLU1ggkO5yIgtTWCClDSVEuSVFUUjE0MTI3</t>
  </si>
  <si>
    <t>MjYxNi5JUV9CVVNJTkVTU19ERVNDUklQVElPTgEAAAA8o2sIAwAAAM4FRGlhbHlzaXMgTmV3Y28sIEluYy4sIGRvaW5nIGJ1c2luZXNzIGFzIERTSSBSZW5hbCBJbmMuLCBvd25zIGFuZCBvcGVyYXRlcyBkaWFseXNpcyBjbGluaWNzIGluIHRoZSBVbml0ZWQgU3RhdGVzLiBUaGUgY29tcGFueSBvZmZlcnMgZGlhbHlzaXMgc2VydmljZXMgZm9yIHBhdGllbnRzIHN1ZmZlcmluZyBmcm9tIGNocm9uaWMga2lkbmV5IGZhaWx1cmUgYW5kIHJlbmFsIGRpc2Vhc2UuIEl0IHByb3ZpZGVzIGhlbW9kaWFseXNpcyBhbmQgbm9jdHVybmFsIGhlbW9kaWFseXNpcyBzZXJ2aWNlcyBhdCB0aGUgY2xpbmljOyBoZW1vZGlhbHlzaXMvTnhTdGFnZSBhbmQgcGVyaXRvbmVhbCBkaWFseXNpcyBhdCB0aGUgcGF0aWVudOKAmXMgaG9tZTsgYW5kIGtpZG5leSB0cmFuc3BsYW50YXRpb24gc2VydmljZXMuIERpYWx5c2lzIE5ld2NvLCBJbmMuIHdhcyBmb3JtZXJseSBrbm93biBhcyBEYVZpdGEgSW5jLiwgMzAgRGlhbHlzaXMgQ2xpbmljcyBhbmQgY2hhbmdlZCBpdHMgbmFtZSB0byBEaWFseXNpcyBOZXdjbywgSW5jLiBpbiBTZXB0ZW1iZXIsIDIwMTEuIERpYWx5c2lzIE5ld2NvLCBJbmMuIHdhcyBmb3VuZGVkIGluIDIwMTEgYW5kIGlzIGJhc2VkIGluIE5hc2h2aWxsZSwgVGVubmVzc2VlLiBBcyBvZiBEZWNlbWJlciAz</t>
  </si>
  <si>
    <t>MSwgMjAxNSwgRGlhbHlzaXMgTmV3Y28sIEluYy4gb3BlcmF0ZXMgYXMgYSBzdWJzaWRpYXJ5IG9mIFUuUy4gUmVuYWwgQ2FyZSwgSW5jLgDg7yZ6gtTWCOr7koiC1NYIOkNJUS5YVFJBOkZNRS5JUV9DQVNIX1NUX0lOVkVTVC4yMDAwLjEyLzMxLzIwMTguTEZSLkYuVVNELkgBAAAACt4FAAIAAAALMjAzNy45MzY1NjMBCAAAAAUAAAABMQEAAAAKMTkxNzI4NDQ2NwMAAAADMTYwAgAAAAQxMDAyBAAAAAEwBwAAAAoxMi8zMS8yMDE4CAAAAAk5LzMwLzIwMTgJAAAAATC/xyZ6gtTWCM1ekoiC1NYIQUNJUS5YVFJBOkZNRS5JUV9FQklUX01FRElBTl9FU1RfQ0lRLkZZMjAxOC4xMi8zMS8yMDE4LkNPTi5GLlVTRC5IAQAAAAreBQACAAAABzMzNzEuNTYBDgAAAAUAAAABMwEAAAABMAIAAAAKMTAwMDI0NjEyOAMAAAAGMTAwMjE2BAAAAAEzBgAAAAEwBwAAAAMxNjAIAAAAATAJAAAAATEKAAAAATALAAAACzExMjE3ODI1ODUzDAAAAAExDQAAAAgxLzEvMjAxORAAAAAKMTIvMzEvMjAxOFaxJ3qC1NYI96ueiILU1ghBQ0lRLklRMTE1NTQ0LklRX0VCSVRfTUVESUFOX0VTVF9DSVEuRlkyMDE5LjEyLzMxLzIwMTguQ09OLkYuVVNELkgBAAAAWMMBAAIAAAAFMTkuMTEBDgAAAAUAAAABMwEAAAABMAIAAAAKMTAwMDk5NDI2MQMAAAAGMTAwMjE2BAAAAAEyBgAAAAEwBwAAAAMxNjAIAAAAATAJAAAAATEKAAAAATALAAAA</t>
  </si>
  <si>
    <t>CzExMTY5OTA3ODg5DAAAAAExDQAAAAgxLzEvMjAxORAAAAAKMTIvMzEvMjAxOFaxJ3qC1NYIuEefiILU1ggjQ0lRLklRVFI0MDQ3NzY4OTcuSVFfVFJfQ0xPU0VEX0RBVEUBAAAAwWcgGAUAAAAJOS8xNS8yMDE2AKQ8J3qC1NYIqLWaiILU1ggiQ0lRLklRVFIxNDEyNzI2MTYuSVFfVFJfVEFSR0VUTkFNRQEAAAAopmsIAwAAADtEYVZpdGEgSW5jLiwgMzAgRGlhbHlzaXMgQ2xpbmljcyAobmthOkRpYWx5c2lzIE5ld2NvLCBJbmMuKQCkPCd6gtTWCBJpmoiC1NYIRENJUS5OWVNFOkRWQS5JUV9SRVZFTlVFX01FRElBTl9FU1RfQ0lRLkZZMjAyMC4xMi8zMS8yMDE4LkNPTi5GLlVTRC5IAQAAADyLAAACAAAABTEyNzIwAQ4AAAAFAAAAATMBAAAAATACAAAACjEwMDE2OTM2NDADAAAABjEwMDE4MQQAAAABMgYAAAABMAcAAAADMTYwCAAAAAEwCQAAAAExCgAAAAEwCwAAAAsxMTIxMzc5MzY4NQwAAAABMQ0AAAAIMS8xLzIwMTkQAAAACjEyLzMxLzIwMThM2Cd6gtTWCNvAnYiC1NYIIENJUS5OWVNFOkRWQS5JUV9GSVJTVFBSSUNJTkdEQVRFAQAAADyLAAAFAAAACjEwLzMxLzE5OTUAkhUneoLU1gj0IpOIgtTWCCpDSVEuTllTRTpEVkEuSVFfTUFSS0VUQ0FQLjEyLzMxLzIwMTguVVNELkgBAAAAPIsAAAIAAAALODU0MS41NjEzNDEBBgAAAAUAAAABMQEAAAAKMTkyMDMxODIyOQMAAAADMTYwAgAAAAYxMDAwNTQE</t>
  </si>
  <si>
    <t>AAAAATAHAAAACjEyLzMxLzIwMTiSFSd6gtTWCFo9kIiC1NYIM0NJUS5OWVNFOkRWQS5JUV9UT1RBTF9ERUJULjIwMDAuMTIvMzEvMjAxOC4uUC5VU0QuSAEAAAA8iwAAAgAAAAkxMDEwMi4yMTYBCAAAAAUAAAABMQEAAAAKMTk0NjY2NjYwMAMAAAADMTYwAgAAAAQ0MTczBAAAAAEwBwAAAAoxMi8zMS8yMDE4CAAAAAoxMi8zMS8yMDE4CQAAAAEw8qEmeoLU1giLvJiIgtTWCCBDSVEuREI6Rk1FLklRX0JFVEFfMllSLjUvMjMvMjAxNgEAAAAK3gUAAwAAAAAATNgneoLU1ggdYpWIgtTWCCtDSVEuSVExMTU1NDQuSVFfVE9UQUxfUkVWLkZZMjAxMy4xMi8zMS8yMDE4AQAAAFjDAQACAAAABzI2My40MjkBCAAAAAUAAAABMQEAAAAKMTc3NTg1MTMwNQMAAAADMTYwAgAAAAIyOAQAAAABMAcAAAAKMTIvMzEvMjAxOAgAAAAKMTIvMzEvMjAxMwkAAAABML/HJnqC1NYIjaGPiILU1ggoQ0lRLklRVFIxMzg2OTE2OTUuSVFfVFJfSU1QTElFRF9FVl9GSU5BTAEAAABvREQIAgAAAAgxNjkyLjY0NQEGAAAABQAAAAI1NAEAAAAGMTAyMDQ1AgAAAAkxMzg2OTE2OTUDAAAACTEzODY5MTg1OAQAAAADMTYwBgAAAAVGYWxzZWGKJ3qC1NYIdbGViILU1gg0Q0lRLlhUUkE6Rk1FLklRX0VCSVREQV9FU1QuMTAwMDEuMTIvMzEvMjAxOC4uUC5VU0QuSAEAAAAK3gUAAgAAAAozNzAxLjA4NTY5AQ4AAAAFAAAAAjExAQAAAAEwAgAA</t>
  </si>
  <si>
    <t>AAoxMDAwMjQ2MTI5AwAAAAYxMDAxODcEAAAAATMGAAAAATAHAAAAAzE2MAgAAAABMAkAAAABMQoAAAABMAsAAAALMTEyMTc4MjU1NzYMAAAAATcNAAAACDEvMS8yMDE5EAAAAAoxMi8zMS8yMDE4TNgneoLU1ghaf5mIgtTWCChDSVEuSVFUUjI0MTk1OTY4OS5JUV9UUl9JTVBMSUVEX0VWX0ZJTkFMAQAAAAkDbA4CAAAABDQuNjQApDwneoLU1gjd8pmIgtTWCCxDSVEuSVFUUjExOTEzMDc0NS5JUV9UUl9UT1RBTF9HUk9TU19UVl9GSU5BTAEAAAB5yhkHAgAAAAY3MzAuNzYBBgAAAAUAAAACNTQBAAAABjEwMjA0MwIAAAAJMTE5MTMwNzQ1AwAAAAkxMTkxMzA4MDAEAAAAAzE2MAYAAAAFRmFsc2V4Yyd6gtTWCMfSl4iC1NYIQUNJUS5EQjpGUkUuSVFfTUlOT1JJVFlfSU5URVJFU1RfVE9UQUwuMjAwMC4xMi8zMS8yMDE4LkxGUi5GLlVTRC5IAQAAAMNrDQACAAAADDEwNjY4LjA2MDg4MgEIAAAABQAAAAExAQAAAAoxOTE3NzY3NjA5AwAAAAMxNjACAAAABDEzMTIEAAAAATAHAAAACjEyLzMxLzIwMTgIAAAACTkvMzAvMjAxOAkAAAABML/HJnqC1NYIr/CPiILU1ghDQ0lRLklRMTE1NTQ0LklRX0VCSVREQV9NRURJQU5fRVNUX0NJUS5GWTIwMjIuMTIvMzEvMjAxOC5DT04uRi5VU0QuSAEAAABYwwEAAwAAAAAAYYoneoLU1giJpqCIgtTWCDBDSVEuSVE4Nzk1NTUuSVFfREFZU19TQUxFU19PVVQuRlkyMDE2LjEy</t>
  </si>
  <si>
    <t>LzMxLzIwMTgBAAAAw2sNAAIAAAAJNjIuMDgyMzg0AQgAAAAFAAAAATEBAAAACjE4Nzk2ODg5OTADAAAAAjUwAgAAAAQ0MDQyBAAAAAEwBwAAAAoxMi8zMS8yMDE4CAAAAAoxMi8zMS8yMDE2CQAAAAEwTrRCiYLU1ggg9AyggtTWCCJDSVEuSVFUUjMwOTg5NTQ2My5JUV9UUl9UQVJHRVROQU1FAQAAACeheBIDAAAAFERpYWx5c2lzIE5ld2NvLCBJbmMuAKQ8J3qC1NYIEmmaiILU1ghEQ0lRLklRMTE1NTQ0LklRX1JFVkVOVUVfTUVESUFOX0VTVF9DSVEuRlkyMDIxLjEyLzMxLzIwMTguQ09OLkYuVVNELkgBAAAAWMMBAAMAAAAAAFaxJ3qC1NYIZ9GeiILU1gg5Q0lRLklRMzU2NDQuSVFfVE9UQUxfUkVWXzFZUl9BTk5fR1JPV1RILkZZMjAxNC4xMi8zMS8yMDE4AQAAADyLAAACAAAABjguNjg2NAEIAAAABQAAAAExAQAAAAoxODI5MjQ1MjIzAwAAAAMxNjACAAAABDQxOTQEAAAAATAHAAAACjEyLzMxLzIwMTgIAAAACjEyLzMxLzIwMTQJAAAAATBSP0KJgtTWCIPDEKCC1NYILENJUS5JUVRSMjQxOTU5Njg5LklRX1RSX1RBUkdFVF9FQklUREFfRVFfSU5DAQAAAAkDbA4CAAAAAACSFSd6gtTWCGp4m4iC1NYILENJUS5JUVRSMjg3MjM0NTIyLklRX1RSX1RBUkdFVF9FQklUREFfRVFfSU5DAQAAANrZHhECAAAAAABhiid6gtTWCB1ilYiC1NYIQ0NJUS5OWVNFOkFSQS5JUV9FQklUREFfTUVESUFOX0VTVF9DSVEu</t>
  </si>
  <si>
    <t>RlkyMDIwLjEyLzMxLzIwMTguQ09OLkYuVVNELkgBAAAAPRsvCAIAAAAHMTE5LjkyMwEOAAAABQAAAAEzAQAAAAEwAgAAAAoxMDAzNjUyNjMyAwAAAAYxMDAxODgEAAAAATIGAAAAATAHAAAAAzE2MAgAAAABMAkAAAABMQoAAAABMAsAAAALMTEyMTM4ODQwMzEMAAAAATENAAAACDEvMS8yMDE5EAAAAAoxMi8zMS8yMDE4VrEneoLU1givlZ+IgtTWCChDSVEuSVFUUjIxNDI0ODAzMC5JUV9UUl9UQVJHRVRfVE9UQUxfUkVWAQAAAF4qxQwCAAAACTc1LjA1OTM0MwEGAAAABQAAAAIzNwEAAAAKMTU1ODI5NzkyMgIAAAACMjgDAAAAAzE2MAQAAAABMAcAAAAIMS8xLzE5MDB4Yyd6gtTWCBfimIiC1NYIKUNJUS5EQjpGUkUuSVFfVE9UQUxfUkVWLkZZMjAxMy4xMi8zMS8yMDE4AQAAAMNrDQACAAAADDI3OTk4LjM0NzQ0NQEIAAAABQAAAAExAQAAAAoxNzI0MjIwNzkzAwAAAAMxNjACAAAAAjI4BAAAAAEwBwAAAAoxMi8zMS8yMDE4CAAAAAoxMi8zMS8yMDEzCQAAAAEwv8cmeoLU1gjYyI+IgtTWCDtDSVEuSVEzODQ1MjIuSVFfRUJJVERBX01BUkdJTi5GWTIwMTcuMTIvMzEvMjAxOC5MRlIuUC5VU0QuSAEAAAAK3gUAAgAAAAcxNy4wNDIyAQgAAAAFAAAAATEBAAAACjE4NzYwNzE3ODkDAAAAAjUwAgAAAAQ0MDQ3BAAAAAEwBwAAAAoxMi8zMS8yMDE4CAAAAAoxMi8zMS8yMDE3CQAAAAEwMI1CiYLU1gjM3Q2ggtTW</t>
  </si>
  <si>
    <t>CDJDSVEuWFRSQTpGTUUuSVFfVE9UQUxfUkVWLjIwMDAuMTIvMzEvMjAxOC4uUC5VU0QuSAEAAAAK3gUAAgAAAAwxODk0NS4zNTQ5MzMBCAAAAAUAAAABMQEAAAAKMTk0NjQwODk1NgMAAAADMTYwAgAAAAIyOAQAAAABMAcAAAAKMTIvMzEvMjAxOAgAAAAKMTIvMzEvMjAxOAkAAAABMPKhJnqC1NYIyfmXiILU1ggqQ0lRLklRVFIzMDk4OTU0NjMuSVFfVFJfVEFSR0VUX0VCSVRfRVFfSU5DAQAAACeheBICAAAAAACkPCd6gtTWCN3ymYiC1NYIIUNJUS5JUVRSNTYyMDkzNDcwLklRX1RSX1RBUkdFVF9JRAEAAACe3YAhAwAAAAtJUTU2MjA5MzQ1OABhiid6gtTWCETZkIiC1NYINUNJUS5JUTg3OTU1NS5JUV9FQklUXzFZUl9BTk5fR1JPV1RILkZZMjAxNy4xMi8zMS8yMDE4AQAAAMNrDQACAAAABjYuNDE4MwEIAAAABQAAAAExAQAAAAoxODc5Njg4OTkzAwAAAAI1MAIAAAAENDE5NwQAAAABMAcAAAAKMTIvMzEvMjAxOAgAAAAKMTIvMzEvMjAxNwkAAAABMDCNQomC1NYI9GgNoILU1ggpQ0lRLklRVFIxMzM4NDUxMTEuSVFfQlVTSU5FU1NfREVTQ1JJUFRJT04BAAAADlD6BwMAAADyA0ZyZWVzdGFuZGluZywgRmVlIFNpbXBsZSBEYVZpdGEgRGlhbHlzaXMgQ2VudGVyLCBEaXN0cmlidXRpb24gRmFjaWxpdHkgZm9yIFdoaXJscG9vbCBDb3Jwb3JhdGlvbiBhbmQgRGlzdHJpYnV0aW9uIEZhY2lsaXR5IGZvciBX</t>
  </si>
  <si>
    <t>cmFuZ2xlciBBcHBhcmVsIENvcnAuIGNvbXByaXNlcyBEYVZpdGEgRGlhbHlzaXMgQ2VudGVyIHNwcmVhZCBvdmVyIGFuIGFyZWEgb2YgNiwwMjAgc3F1YXJlIGZlZXQ7IGRpc3RyaWJ1dGlvbiBmYWNpbGl0eSBmb3IgV2hpcmxwb29sIENvcnBvcmF0aW9uIHNwcmVhZCBvdmVyIGFuIGFyZWEgb2YgNzUwLDAwMCBzcXVhcmUgZmVldDsgYW5kIGRpc3RyaWJ1dGlvbiBmYWNpbGl0eSBmb3IgV3JhbmdsZXIgQXBwYXJlbCBDb3JwLiBzcHJlYWQgb3ZlciBhbiBhcmVhIG9mIDMxNiw4MDAgc3F1YXJlIGZlZXQuIFRoZSBmYWNpbGl0aWVzIGFyZSBsb2NhdGVkIGluIEJsYWNrZm9vdCwgSWRhaG87IElvd2EgQ2l0eSwgSW93YTsgYW5kIEVsIFBhc28sIFRleGFzLgDg7yZ6gtTWCETZkIiC1NYIP0NJUS5EQjpGUkUuSVFfRUJJVF9NRURJQU5fRVNUX0NJUS5GWTIwMjIuMTIvMzEvMjAxOC5DT04uRi5VU0QuSAEAAADDaw0AAgAAAA83MTA3LjI4MTg4NjE1MjUBDgAAAAUAAAABMwEAAAABMAIAAAAKMTAwMDM4ODQ2OAMAAAAGMTAwMjE2BAAAAAEzBgAAAAEwBwAAAAMxNjAIAAAAATAJAAAAATEKAAAAATALAAAACzExMjEzMTI0MTYyDAAAAAExDQAAAAgxLzEvMjAxORAAAAAKMTIvMzEvMjAxOGGKJ3qC1NYIQBuhiILU1gg6Q0lRLklRMTM3MzA0ODkzLklRX0VCSVREQV8xWVJfQU5OX0dST1dUSC5GWTIwMTUuMTIvMzEv</t>
  </si>
  <si>
    <t>MjAxOAEAAAA9Gy8IAgAAAAcxMC4wODAzAQgAAAAFAAAAATEBAAAACjE4NzcxNzEzNjMDAAAAAzE2MAIAAAAENDE5NgQAAAABMAcAAAAKMTIvMzEvMjAxOAgAAAAKMTIvMzEvMjAxNQkAAAABMD9mQomC1NYIZ4oPoILU1gg1Q0lRLklRMTE1NTQ0LklRX1RPVEFMX1JFVi5GWTIwMTYuMTIvMzEvMjAxOC5MLlAuVVNELkgBAAAAWMMBAAIAAAAHMzY2LjM3OAEIAAAABQAAAAExAQAAAAoxODc0ODA0OTcyAwAAAAMxNjACAAAAAjI4BAAAAAEwBwAAAAoxMi8zMS8yMDE4CAAAAAoxMi8zMS8yMDE2CQAAAAEw8qEmeoLU1giLvJiIgtTWCCJDSVEuSVFUUjIyNDc1ODM2MS5JUV9UUl9UQVJHRVROQU1FAQAAAFmKZQ0DAAAADk1lZGlncm91cCBJbmMuAHhjJ3qC1NYInpWYiILU1gg9Q0lRLklRMTM3MzA0ODkzLklRX1RPVEFMX1JFVl8xWVJfQU5OX0dST1dUSC5GWTIwMTcuMTIvMzEvMjAxOAEAAAA9Gy8IAgAAAActMC42MjE3AQgAAAAFAAAAATEBAAAACjE4NzcxNzEzNzgDAAAAAzE2MAIAAAAENDE5NAQAAAABMAcAAAAKMTIvMzEvMjAxOAgAAAAKMTIvMzEvMjAxNwkAAAABMDCNQomC1NYInXkOoILU1gg1Q0lRLklRMTM3MzA0ODkzLklRX0RBWVNfUEFZQUJMRV9PVVQuRlkyMDE3LjEyLzMxLzIwMTgBAAAAPRsvCAIAAAAJMjQuNDIzMjQ1AQgAAAAFAAAAATEBAAAACjE4NzcxNzEzNzgDAAAAAzE2MAIAAAAENDE4MwQA</t>
  </si>
  <si>
    <t>AAABMAcAAAAKMTIvMzEvMjAxOAgAAAAKMTIvMzEvMjAxNwkAAAABME60QomC1NYIabwLoILU1ggmQ0lRLk5ZU0U6RFZBLklRX0VCSVQuRlkyMDE2LjEyLzMxLzIwMTgBAAAAPIsAAAIAAAAHMTY4MS44NwEIAAAABQAAAAExAQAAAAoxODc1ODA3Mjk5AwAAAAMxNjACAAAAAzQwMAQAAAABMAcAAAAKMTIvMzEvMjAxOAgAAAAKMTIvMzEvMjAxNgkAAAABMPx6JnqC1NYIVwmgiILU1gghQ0lRLklRVFIzMDk4NzM1MjEuSVFfVFJfVEFSR0VUX0lEAQAAAHFLeBIDAAAACklRNTAwOTQ4MjUAYYoneoLU1gjvrZKIgtTWCDJDSVEuWFRSQTpGTUUuSVFfRUJJVERBLkZZMjAxNi4xMi8zMS8yMDE4LkwuUC5VU0QuSAEAAAAK3gUAAgAAAAszMjIxLjU3NjA1OQEIAAAABQAAAAExAQAAAAoxODc2MDcxNzgzAwAAAAMxNjACAAAABDQwNTEEAAAAATAHAAAACjEyLzMxLzIwMTgIAAAACjEyLzMxLzIwMTYJAAAAATDyoSZ6gtTWCEummYiC1NYINUNJUS5JUTExNTU0NC5JUV9FQklUXzFZUl9BTk5fR1JPV1RILkZZMjAxMy4xMi8zMS8yMDE4AQAAAFjDAQADAAAAAk5NAQgAAAAFAAAAATEBAAAACjE3NzU4NTEzMDUDAAAAAzE2MAIAAAAENDE5NwQAAAABMAcAAAAKMTIvMzEvMjAxOAgAAAAKMTIvMzEvMjAxMwkAAAABMD9mQomC1NYIw7EPoILU1ggzQ0lRLklRMTE1NTQ0LklRX1RPVEFMX0RFQlQuMjAwMC4xMi8zMS8yMDE4Li5Q</t>
  </si>
  <si>
    <t>LlVTRC5IAQAAAFjDAQACAAAABjEzLjMwNgEIAAAABQAAAAExAQAAAAoxOTE5OTg2NDAzAwAAAAMxNjACAAAABDQxNzMEAAAAATAHAAAACjEyLzMxLzIwMTgIAAAACTkvMzAvMjAxOAkAAAABMPKhJnqC1NYIrueWiILU1ghEQ0lRLlhUUkE6Rk1FLklRX1JFVkVOVUVfTUVESUFOX0VTVF9DSVEuRlkyMDE5LjEyLzMxLzIwMTguQ09OLkYuVVNELkgBAAAACt4FAAIAAAAJMTk1ODcuNTU4AQ4AAAAFAAAAATMBAAAAATACAAAACjEwMDAyNDYxMjkDAAAABjEwMDE4MQQAAAABMwYAAAABMAcAAAADMTYwCAAAAAEwCQAAAAExCgAAAAEwCwAAAAsxMTIxNzgyNTU4OQwAAAABMQ0AAAAIMS8xLzIwMTkQAAAACjEyLzMxLzIwMThM2Cd6gtTWCOQknYiC1NYIMkNJUS5JUTExNTU0NC5JUV9FQklUREEuRlkyMDE2LjEyLzMxLzIwMTguTC5QLlVTRC5IAQAAAFjDAQACAAAABjE0LjY1MgEIAAAABQAAAAExAQAAAAoxODc0ODA0OTcyAwAAAAMxNjACAAAABDQwNTEEAAAAATAHAAAACjEyLzMxLzIwMTgIAAAACjEyLzMxLzIwMTYJAAAAATDyoSZ6gtTWCClNloiC1NYIQUNJUS5OWVNFOkFSQS5JUV9FQklUX01FRElBTl9FU1RfQ0lRLkZZMjAxNy4xMi8zMS8yMDE4LkNPTi5GLlVTRC5IAQAAAD0bLwgCAAAACTEyNi43MjU5NQEOAAAABQAAAAEzAQAAAAEwAgAAAAoxMDAzNDAwNjYzAwAAAAYxMDAyMTYEAAAAATIGAAAAATAHAAAA</t>
  </si>
  <si>
    <t>AzE2MAgAAAABMAkAAAABMQoAAAABMAsAAAALMTA2NDc1ODc3ODAMAAAAATENAAAACDEvMS8yMDE5EAAAAAoxMi8zMS8yMDE3VrEneoLU1gj3q56IgtTWCCBDSVEuSVFUUjYwNTU3NzIzNi5JUV9UUl9BTk5fREFURQEAAAAUYBgkBQAAAAgxLzcvMjAxOQEGAAAABQAAAAI1NAEAAAAGNjAwOTA3AgAAAAk2MDU1NzcyMzYDAAAACTYwNTU3NzIzNgQAAAADMTYwBgAAAARUcnVlpDwneoLU1ggkBZuIgtTWCDFDSVEuSVE1MDA5NDgyNS5JUV9FQklUX01BUkdJTi4xOTk4LjUvMS8yMDE3LkxGUi5QAQAAAOli/AIDAAAAAABYGEKJgtTWCPuFEaCC1NYIO0NJUS5JUTg3OTU1NS5JUV9FQklUREFfTUFSR0lOLkZZMjAxNi4xMi8zMS8yMDE4LkxGUi5QLlVTRC5IAQAAAMNrDQACAAAABzE4LjM5MDkBCAAAAAUAAAABMQEAAAAKMTg3OTY4ODk5MAMAAAACNTACAAAABDQwNDcEAAAAATAHAAAACjEyLzMxLzIwMTgIAAAACjEyLzMxLzIwMTYJAAAAATAwjUKJgtTWCLIrDqCC1NYIN0NJUS5JUTEzNzMwNDg5My5JUV9EQVlTX0lOVkVOVE9SWV9PVVQuRlkyMDE3LjEyLzMxLzIwMTgBAAAAPRsvCAIAAAAIMy41MzQyOTUBCAAAAAUAAAABMQEAAAAKMTg3NzE3MTM3OAMAAAADMTYwAgAAAAQ0MDM1BAAAAAEwBwAAAAoxMi8zMS8yMDE4CAAAAAoxMi8zMS8yMDE3CQAAAAEwTrRCiYLU1gg7CgyggtTWCERDSVEuTllTRTpEVkEuSVFf</t>
  </si>
  <si>
    <t>UkVWRU5VRV9NRURJQU5fRVNUX0NJUS5GWTIwMjIuMTIvMzEvMjAxOC5DT04uRi5VU0QuSAEAAAA8iwAAAgAAAAUxNDUzMwEOAAAABQAAAAEzAQAAAAEwAgAAAAoxMDAxNjkzNjUwAwAAAAYxMDAxODEEAAAAATIGAAAAATAHAAAAAzE2MAgAAAABMAkAAAABMQoAAAABMAsAAAALMTExNzY2NTgxMTgMAAAAATENAAAACDEvMS8yMDE5EAAAAAoxMi8zMS8yMDE4VrEneoLU1ghXCaCIgtTWCERDSVEuTllTRTpBUkEuSVFfUkVWRU5VRV9NRURJQU5fRVNUX0NJUS5GWTIwMTcuMTIvMzEvMjAxOC5DT04uRi5VU0QuSAEAAAA9Gy8IAgAAAAU3NDcuMgEOAAAABQAAAAEzAQAAAAEwAgAAAAoxMDAzNDAwNjYzAwAAAAYxMDAxODEEAAAAATIGAAAAATAHAAAAAzE2MAgAAAABMAkAAAABMQoAAAABMAsAAAALMTA2MzIwOTM5NTgMAAAAATENAAAACDEvMS8yMDE5EAAAAAoxMi8zMS8yMDE3TNgneoLU1gjSUpuIgtTWCDpDSVEuSVE4Nzk1NTUuSVFfVE9UQUxfUkVWXzFZUl9BTk5fR1JPV1RILkZZMjAxMy4xMi8zMS8yMDE4AQAAAMNrDQACAAAABjQuMjE4NwEIAAAABQAAAAExAQAAAAoxNzI0MjIwNzkzAwAAAAI1MAIAAAAENDE5NAQAAAABMAcAAAAKMTIvMzEvMjAxOAgAAAAKMTIvMzEvMjAxMwkAAAABMFI/QomC1NYIg8MQoILU1gg3Q0lRLklRMTE1NTQ0LklRX0VCSVREQV8xWVJfQU5OX0dST1dUSC5GWTIwMTMuMTIvMzEv</t>
  </si>
  <si>
    <t>MjAxOAEAAABYwwEAAwAAAAJOTQEIAAAABQAAAAExAQAAAAoxNzc1ODUxMzA1AwAAAAMxNjACAAAABDQxOTYEAAAAATAHAAAACjEyLzMxLzIwMTgIAAAACjEyLzMxLzIwMTMJAAAAATBSP0KJgtTWCJZOEKCC1NYIQ0NJUS5OWVNFOkRWQS5JUV9FQklUREFfTUVESUFOX0VTVF9DSVEuRlkyMDE3LjEyLzMxLzIwMTguQ09OLkYuVVNELkgBAAAAPIsAAAIAAAAGMjQ0NC4zAQ4AAAAFAAAAATMBAAAAATACAAAACjEwMDE2OTM2MjUDAAAABjEwMDE4OAQAAAABMgYAAAABMAcAAAADMTYwCAAAAAEwCQAAAAExCgAAAAEwCwAAAAsxMDY5MzEzMDY5NAwAAAABMQ0AAAAIMS8xLzIwMTkQAAAACjEyLzMxLzIwMTdM2Cd6gtTWCASwnIiC1NYIQUNJUS5OWVNFOkFSQS5JUV9FQklUX01FRElBTl9FU1RfQ0lRLkZZMjAyMS4xMi8zMS8yMDE4LkNPTi5GLlVTRC5IAQAAAD0bLwgDAAAAAABhiid6gtTWCE/0oIiC1NYIRENJUS5OWVNFOkFSQS5JUV9SRVZFTlVFX01FRElBTl9FU1RfQ0lRLkZZMjAyMC4xMi8zMS8yMDE4LkNPTi5GLlVTRC5IAQAAAD0bLwgCAAAABjk4NC40NAEOAAAABQAAAAEzAQAAAAEwAgAAAAoxMDAzNjUyNjMyAwAAAAYxMDAxODEEAAAAATIGAAAAATAHAAAAAzE2MAgAAAABMAkAAAABMQoAAAABMAsAAAALMTEyMTM4ODQwOTEMAAAAATENAAAACDEvMS8yMDE5EAAAAAoxMi8zMS8yMDE4VrEneoLU1gikDp6I</t>
  </si>
  <si>
    <t>gtTWCChDSVEuWFRSQTpGTUUuSVFfRUJJVERBLkZZMjAxNC4xMi8zMS8yMDE4AQAAAAreBQACAAAACDI5MjkuMDIzAQgAAAAFAAAAATEBAAAACjE4Mjg5NTAwODADAAAAAzE2MAIAAAAENDA1MQQAAAABMAcAAAAKMTIvMzEvMjAxOAgAAAAKMTIvMzEvMjAxNAkAAAABMPx6JnqC1NYIJDuciILU1ggvQ0lRLklRMzg0MzMxLklRX0VCSVRfTUFSR0lOLjE5OTkuNi8xLzIwMTAuTEZSLlABAAAAS90FAAIAAAAFNy4wMzQBCAAAAAUAAAABMQEAAAAKMTM0Mzg3Mzc1OAMAAAADMTYwAgAAAAQ0MDUzBAAAAAEwBwAAAAg2LzEvMjAxMAgAAAAKMTIvMzEvMjAwOQkAAAABMFgYQomC1NYIDa0RoILU1ghDQ0lRLk5ZU0U6RFZBLklRX0VCSVREQV9NRURJQU5fRVNUX0NJUS5GWTIwMTguMTIvMzEvMjAxOC5DT04uRi5VU0QuSAEAAAA8iwAAAgAAAAgyMDk0LjMwNgEOAAAABQAAAAEzAQAAAAEwAgAAAAoxMDAxNjkzNjMwAwAAAAYxMDAxODgEAAAAATIGAAAAATAHAAAAAzE2MAgAAAABMAkAAAABMQoAAAABMAsAAAALMTEyMTM4MzMyOTYMAAAAATENAAAACDEvMS8yMDE5EAAAAAoxMi8zMS8yMDE4TNgneoLU1ggTiZyIgtTWCCFDSVEuSVFUUjE0MTI3MjYxNi5JUV9UUl9CVVlFUk5BTUUBAAAAKKZrCAMAAAB5RnJhemllciBIZWFsdGhjYXJlIFBhcnRuZXJzOyBOZXcgRW50ZXJwcmlzZSBBc3NvY2lhdGVzOyBGcmF6aWVyIEhl</t>
  </si>
  <si>
    <t>YWx0aGNhcmUgVkksIEwuUC47IE5ldyBFbnRlcnByaXNlIEFzc29jaWF0ZXMgWElJSSwgTC5QLgCkPCd6gtTWCKi1moiC1NYIKkNJUS5JUVRSMjg3MjM0NTIyLklRX1RSX1RBUkdFVF9FQklUX0VRX0lOQwEAAADa2R4RAgAAAAAAeGMneoLU1ghAJpaIgtTWCChDSVEuSVFUUjE0MTI3MjYxNi5JUV9UUl9JTVBMSUVEX0VWX0ZJTkFMAQAAACimawgCAAAAAjkxAHhjJ3qC1NYIp0eYiILU1ggsQ0lRLklRMTE1NTQ0LklRX1NIQVJFU09VVFNUQU5ESU5HLjEyLzMxLzIwMTgBAAAAWMMBAAIAAAAJNjYuNjg0NjkyAODvJnqC1NYIqyubiILU1ggyQ0lRLklRMTE1NTQ0LklRX0RBWVNfUEFZQUJMRV9PVVQuRlkyMDE1LjEyLzMxLzIwMTgBAAAAWMMBAAIAAAAJMjIuNzQ5MzU1AQgAAAAFAAAAATEBAAAACjE4NzQ4MDUwNDQDAAAAAzE2MAIAAAAENDE4MwQAAAABMAcAAAAKMTIvMzEvMjAxOAgAAAAKMTIvMzEvMjAxNQkAAAABME60QomC1NYIJH8MoILU1ggwQ0lRLk5ZU0U6QVJBLklRX0VCSVQuRlkyMDE2LjEyLzMxLzIwMTguTC5QLlVTRC5IAQAAAD0bLwgCAAAABzEzNy40NzUBCAAAAAUAAAABMQEAAAAKMTg3NzE3MTM2NgMAAAADMTYwAgAAAAM0MDAEAAAAATAHAAAACjEyLzMxLzIwMTgIAAAACjEyLzMxLzIwMTYJAAAAATDyoSZ6gtTWCEummYiC1NYIM0NJUS5JUTI4NzIzMzMwNC5JUV9FQklUX01BUkdJTi4xOTk5</t>
  </si>
  <si>
    <t>LjkvMTcvMjAxNS5MRlIuUAEAAAAY1R4RAwAAAAAAWBhCiYLU1ggyOBGggtTWCClDSVEuSVFUUjIxNDI0ODAzMC5JUV9CVVNJTkVTU19ERVNDUklQVElPTgEAAACaBbYBAwAAALQKQ29ubWVkIEhlYWx0aGNhcmUgTWFuYWdlbWVudCwgSW5jLiBwcm92aWRlcyBjb3JyZWN0aW9uYWwgaGVhbHRoY2FyZSBzZXJ2aWNlcyB0byBjb3VudHkgYW5kIG11bmljaXBhbCBkZXRlbnRpb24gY2VudGVycyBpbiB0aGUgVW5pdGVkIFN0YXRlcy4gSXRzIGNvcnJlY3Rpb25hbCBoZWFsdGhjYXJlIHNlcnZpY2VzIGluY2x1ZGUgZ2VuZXJhbCBoZWFsdGhjYXJlLCBkaWFseXNpcywgcGhhcm1hY3ksIGFjdXRlIGNhcmUsIEVLR+KAmXMsIGR1cmFibGUgbWVkaWNhbCBlcXVpcG1lbnQsIHBoeXNpY2FsIGFuZCBvY2N1cGF0aW9uYWwgdGhlcmFweSwgSVYgdGhlcmFweSwgZGlhZ25vc3RpYyBpbWFnaW5nL3JhZGlvbG9neSwgbGFib3JhdG9yeSwgZGVudGFsLCBtZW50YWwgaGVhbHRoLCBlbGVjdHJvbmljIG1lZGljYWwgcmVjb3JkcywgZWxlY3Ryb25pYyBtZWRpY2F0aW9uIGFkbWluaXN0cmF0aW9uIHJlY29yZHMsIHV0aWxpemF0aW9uIG1hbmFnZW1lbnQsIGFuZCB1dGlsaXphdGlvbiByZXZpZXcgc2VydmljZXMsIGFzIHdlbGwgYXMgYXJyYW5naW5nIGFuZCBjb250cmFjdGluZyBmb3IgaG9zcGl0YWwgYW5kIHN1cmdpY2Fs</t>
  </si>
  <si>
    <t>IHNlcnZpY2VzLiBUaGUgY29tcGFueSBhbHNvIG9mZmVycyBzdGFmZmluZyBvZiBoZWFsdGhjYXJlIHByb2Zlc3Npb25hbHMgdG8gaXRzIGNvbnRyYWN0ZWQgZmFjaWxpdGllcy4gSW4gYWRkaXRpb24sIGl0IHByb3ZpZGVzIHZhbHVlLWFkZGVkIHNlcnZpY2VzLCBzdWNoIGFzIGhlYWx0aGNhcmUgc2VydmljZXMgY29uc3VsdGF0aW9ucywgYXVkaXQgY29tcGxpYW5jZSBwcm9ncmFtcywgb2NjdXBhdGlvbmFsIHNhZmV0eSBhbmQgaGVhbHRoIGFkbWluaXN0cmF0aW9uIGNvbXBsaWFuY2UgcHJvZ3JhbXMsIHJpc2sgbWFuYWdlbWVudCBzZXJ2aWNlcywgc2ljayBjYWxsIHNlcnZpY2VzIGZvciBmYWNpbGl0eSBzdGFmZiwgYW5kIGVtZXJnZW5jeSBzZXJ2aWNlcyBmb3Igc3RhZmYgYW5kIHZpc2l0b3JzLiBBcyBvZiBEZWNlbWJlciAzMSwgMjAxMSwgaXQgc2VydmVkIGNvdW50eSBhbmQgbXVuaWNpcGFsIGNvcnJlY3Rpb25hbCBmYWNpbGl0aWVzIGluIGVpZ2h0IHN0YXRlcywgaW5jbHVkaW5nIEFyaXpvbmEsIEthbnNhcywgTWFyeWxhbmQsIE5ldyBKZXJzZXksIE9yZWdvbiwgVGVubmVzc2VlLCBWaXJnaW5pYSwgYW5kIFdhc2hpbmd0b24uIFRoZSBjb21wYW55IGlzIGhlYWRxdWFydGVyZWQgaW4gSGFub3ZlciwgTWFyeWxhbmQuIEFzIG9mIEF1Z3VzdCAyNywgMjAxMiwgQ29ubWVkIEhlYWx0aGNhcmUg</t>
  </si>
  <si>
    <t>TWFuYWdlbWVudCwgSW5jIG9wZXJhdGVzIGFzIGEgc3Vic2lkaWFyeSBvZiBDb3JyZWN0IENhcmUgU29sdXRpb25zLCBMTEMuAODvJnqC1NYIBMORiILU1ggzQ0lRLkRCOkZSRS5JUV9UT1RBTF9SRVYuRlkyMDE2LjEyLzMxLzIwMTguTC5QLlVTRC5IAQAAAMNrDQACAAAACzMxMTEwLjUyNDY2AQgAAAAFAAAAATEBAAAACjE4Nzk2ODg5OTADAAAAAzE2MAIAAAACMjgEAAAAATAHAAAACjEyLzMxLzIwMTgIAAAACjEyLzMxLzIwMTYJAAAAATD8eiZ6gtTWCKsrm4iC1NYINENJUS5JUTg3OTU1NS5JUV9EQVlTX0lOVkVOVE9SWV9PVVQuRlkyMDE3LjEyLzMxLzIwMTgBAAAAw2sNAAIAAAAJNTAuMjEyNjg1AQgAAAAFAAAAATEBAAAACjE4Nzk2ODg5OTMDAAAAAjUwAgAAAAQ0MDM1BAAAAAEwBwAAAAoxMi8zMS8yMDE4CAAAAAoxMi8zMS8yMDE3CQAAAAEwTrRCiYLU1gg7CgyggtTWCDRDSVEuSVE2MDU1NzcyMDMuSVFfRUJJVF9NQVJHSU4uMjAwMC4xMi8zMS8yMDE4LkxGUi5QAQAAAPNfGCQDAAAAAADB8UGJgtTWCKdHEqCC1NYIMENJUS4wLklRX1BSRUZfRVFVSVRZLjIwMDAuMTIvMzEvMjAxOC5MRlIuRi5VU0QuSAUAAAAAAAAACAAAABQoSW52YWxpZCBJZGVudGlmaWVyKb/HJnqC1NYI7TaXiILU1ggrQ0lRLk5ZU0U6RFZBLklRX1RPVEFMX1JFVi5GWTIwMTcuMTIvMzEvMjAxOAEAAAA8iwAAAgAAAAkxMDg4</t>
  </si>
  <si>
    <t>My42NjcBCAAAAAUAAAABMQEAAAAKMTg3NTgwNzIxNgMAAAADMTYwAgAAAAIyOAQAAAABMAcAAAAKMTIvMzEvMjAxOAgAAAAKMTIvMzEvMjAxNwkAAAABMPx6JnqC1NYIsfmeiILU1ggwQ0lRLklRMTE1NTQ0LklRX0RBWVNfU0FMRVNfT1VULkZZMjAxNi4xMi8zMS8yMDE4AQAAAFjDAQACAAAACTI4LjcxMDUwNAEIAAAABQAAAAExAQAAAAoxODc0ODA0OTcyAwAAAAMxNjACAAAABDQwNDIEAAAAATAHAAAACjEyLzMxLzIwMTgIAAAACjEyLzMxLzIwMTYJAAAAATBOtEKJgtTWCBbNDKCC1NYII0NJUS5JUVRSMzA5ODczNTIxLklRX1RSX0NMT1NFRF9EQVRFAQAAAHFLeBIFAAAACDUvMS8yMDE3AHhjJ3qC1NYIzw+XiILU1ghBQ0lRLk5ZU0U6QVJBLklRX0VCSVRfTUVESUFOX0VTVF9DSVEuRlkyMDE4LjEyLzMxLzIwMTguQ09OLkYuVVNELkgBAAAAPRsvCAIAAAAHMTA0LjcwMwEOAAAABQAAAAEzAQAAAAEwAgAAAAoxMDAzNDAwNjY4AwAAAAYxMDAyMTYEAAAAATIGAAAAATAHAAAAAzE2MAgAAAABMAkAAAABMQoAAAABMAsAAAALMTEzNTA3ODA5NTYMAAAAATENAAAACDEvMS8yMDE5EAAAAAoxMi8zMS8yMDE4TNgneoLU1gjEmZ2IgtTWCChDSVEuSVFUUjEzMzg0NTExMS5JUV9UUl9JTVBMSUVEX0VWX0ZJTkFMAQAAAHdQ+gcCAAAABjM5LjE4NAB4Yyd6gtTWCJ6VmIiC1NYIMUNJUS5JUTUwMDk0ODI1LklRX0VC</t>
  </si>
  <si>
    <t>SVRfTUFSR0lOLjE5OTkuNS8xLzIwMTcuTEZSLlABAAAA6WL8AgMAAAAAAFgYQomC1NYIwl0RoILU1ggpQ0lRLklRVFIxMTkxMzA3NDUuSVFfQlVTSU5FU1NfREVTQ1JJUFRJT04BAAAASfSbAQMAAAC3BUlTRCBSZW5hbCwgSW5jLiBvd25zIGFuZCBvcGVyYXRlcyBkaWFseXNpcyBjbGluaWNzIHRoYXQgb2ZmZXIgdHJlYXRtZW50IGZvciBwYXRpZW50cyBzdWZmZXJpbmcgZnJvbSBjaHJvbmljIGtpZG5leSBmYWlsdXJlIGFuZCByZW5hbCBkaXNlYXNlcy4gVGhlIGNvbXBhbnkgcHJvdmlkZXMgcGVyaXRvbmVhbCBkaWFseXNpcyBzZXJ2aWNlcywgaW5jbHVkaW5nIGNvbnRpbnVvdXMgYW1idWxhdG9yeSBwZXJpdG9uZWFsIGRpYWx5c2lzIGFuZCBjb250aW51b3VzIGN5Y2xpbmcgcGVyaXRvbmVhbCBkaWFseXNpcyBzZXJ2aWNlcy4gSXQgYWxzbyBvZmZlcnMgbm9jdHVybmFsIGhlbW9kaWFseXNpcywgaG9tZSBoZW1vZGlhbHlzaXMsIE54U3RhZ2UgZGlhbHlzaXMsIGFuZCBraWRuZXkgdHJhbnNwbGFudCBzZXJ2aWNlcy4gSVNEIFJlbmFsLCBJbmMuIHdhcyBmb3JtZXJseSBrbm93biBhcyBEU0kgUmVuYWwsIEluYy4gVGhlIGNvbXBhbnkgd2FzIGZvdW5kZWQgaW4gMjAwNSBhbmQgaXMgYmFzZWQgaW4gTmFzaHZpbGxlLCBUZW5uZXNzZWUgd2l0aCBsb2NhdGlvbnMgaW4gdGhlIFVuaXRlZCBTdGF0ZXMs</t>
  </si>
  <si>
    <t>IENhbmFkYSwgQXVzdHJhbGlhLCBHZXJtYW55LCBhbmQgRW5nbGFuZC4gQXMgb2YgU2VwdGVtYmVyIDIsIDIwMTEsIElTRCBSZW5hbCwgSW5jLiBvcGVyYXRlcyBhcyBhIHN1YnNpZGlhcnkgb2YgRGFWaXRhIEtpZG5leSBDYXJlAODvJnqC1NYIvEmTiILU1gg6Q0lRLklRMzU2NDQuSVFfRUJJVERBX01BUkdJTi5GWTIwMTMuMTIvMzEvMjAxOC5MRlIuUC5VU0QuSAEAAAA8iwAAAgAAAAcyMC4yNTg3AQgAAAAFAAAAATEBAAAACjE3NzgxMzU1NTcDAAAAAzE2MAIAAAAENDA0NwQAAAABMAcAAAAKMTIvMzEvMjAxOAgAAAAKMTIvMzEvMjAxMwkAAAABMD9mQomC1NYIKv8PoILU1ggmQ0lRLk5ZU0U6RFZBLklRX0VCSVQuRlkyMDE3LjEyLzMxLzIwMTgBAAAAPIsAAAIAAAAIMTYzMS42NzUBCAAAAAUAAAABMQEAAAAKMTg3NTgwNzIxNgMAAAADMTYwAgAAAAM0MDAEAAAAATAHAAAACjEyLzMxLzIwMTgIAAAACjEyLzMxLzIwMTcJAAAAATAfVCZ6gtTWCC1/oIiC1NYIPENJUS5JUTYwNTU3NzIwMy5JUV9FQklUXzFZUl9BTk5fR1JPV1RILjIwMDAuMTIvMzEvMjAxOC5MRlIuUAEAAADzXxgkAwAAAAAAwfFBiYLU1gj2IRKggtTWCCJDSVEuSVFUUjU2MjA5MzQ3MC5JUV9UUl9UQVJHRVROQU1FAQAAAJ7dgCEDAAAAJE9uZSBEaWFseXNpcyBDZW50ZXIgaW4gVW5pdGVkIFN0YXRlcwB4Yyd6gtTWCC90loiC1NYIKENJ</t>
  </si>
  <si>
    <t>US5JUTExNTU0NC5JUV9FQklUREEuRlkyMDEzLjEyLzMxLzIwMTgBAAAAWMMBAAIAAAAFLTYuMjUBCAAAAAUAAAABMQEAAAAKMTc3NTg1MTMwNQMAAAADMTYwAgAAAAQ0MDUxBAAAAAEwBwAAAAoxMi8zMS8yMDE4CAAAAAoxMi8zMS8yMDEzCQAAAAEw/HomeoLU1ggWYpyIgtTWCCBDSVEuSVFUUjI4NzIzNDUyMi5JUV9UUl9BTk5fREFURQEAAADa2R4RBQAAAAk5LzI1LzIwMTQAeGMneoLU1giOCpmIgtTWCClDSVEuSVFUUjEzODY5MTY5NS5JUV9CVVNJTkVTU19ERVNDUklQVElPTgEAAAAUUUsAAwAAAMICTGliZXJ0eSBEaWFseXNpcywgTExDIG9wZXJhdGVzIGRpYWx5c2lzIGNsaW5pY3MgaW4gdGhlIFVuaXRlZCBTdGF0ZXMuIEl0IG9mZmVycyBjaHJvbmljIGtpZG5leSBkaXNlYXNlIG91dHJlYWNoIHByb2dyYW1zIGZvciBwYXRpZW50cy4gVGhlIGNvbXBhbnkgd2FzIGZvdW5kZWQgaW4gMjAwMiBhbmQgaXMgYmFzZWQgaW4gTWVyY2VyIElzbGFuZCwgV2FzaGluZ3Rvbi4gQXMgb2YgRmVicnVhcnkgMjgsIDIwMTIsIExpYmVydHkgRGlhbHlzaXMsIExMQyBvcGVyYXRlcyBhcyBhIHN1YnNpZGlhcnkgb2YgRnJlc2VuaXVzIE1lZGljYWwgQ2FyZSBBRyAmIENvLiBLR0FBLgDg7yZ6gtTWCAqckYiC1NYIJENJUS5EQjpGUkUuSVFfRUJJVC5GWTIwMTUuMTIvMzEvMjAxOAEAAADDaw0AAgAAAAo0MjA4LjUy</t>
  </si>
  <si>
    <t>NTY2AQgAAAAFAAAAATEBAAAACjE4MzMwNDA4NTkDAAAAAzE2MAIAAAADNDAwBAAAAAEwBwAAAAoxMi8zMS8yMDE4CAAAAAoxMi8zMS8yMDE1CQAAAAEw/HomeoLU1ghn0Z6IgtTWCC5DSVEuTllTRTpEVkEuSVFfTEFTVFNBTEVQUklDRS4xMi8zMS8yMDE4LlVTRC5IAQAAADyLAAACAAAABTUxLjQ2AB9UJnqC1NYI0lKbiILU1ghBQ0lRLkRCOkZSRS5JUV9FQklUREFfTUVESUFOX0VTVF9DSVEuRlkyMDIxLjEyLzMxLzIwMTguQ09OLkYuVVNELkgBAAAAw2sNAAIAAAAQODM0MS4wNDAyNzg1MTU1MwEOAAAABQAAAAEzAQAAAAEwAgAAAAoxMDAwMzg4NDY3AwAAAAYxMDAxODgEAAAAATMGAAAAATAHAAAAAzE2MAgAAAABMAkAAAABMQoAAAABMAsAAAALMTEyMTMxMjQyMDQMAAAAATENAAAACDEvMS8yMDE5EAAAAAoxMi8zMS8yMDE4YYoneoLU1giNMaCIgtTWCDNDSVEuSVEzNTY0NC5JUV9EQVlTX0lOVkVOVE9SWV9PVVQuRlkyMDE3LjEyLzMxLzIwMTgBAAAAPIsAAAIAAAAHOC4xNzQ1NAEIAAAABQAAAAExAQAAAAoxODc1ODA3MjE2AwAAAAMxNjACAAAABDQwMzUEAAAAATAHAAAACjEyLzMxLzIwMTgIAAAACjEyLzMxLzIwMTcJAAAAATBOtEKJgtTWCDkxDKCC1NYINENJUS5JUTE0MTI3MTg2OC5JUV9FQklUX01BUkdJTi4xOTk5LjEyLzMxLzIwMTUuTEZSLlABAAAAPKNrCAMAAAAAAMHxQYmC1NYIJNQRoILU</t>
  </si>
  <si>
    <t>1ggaQ0lRLklRMTE1NTQ0LklRX0NPTVBBTllfSUQBAAAAWMMBAAMAAAAISVExMTU1NDQA4O8meoLU1gjKUZSIgtTWCCZDSVEuTllTRTpEVkEuSVFfRUJJVC5GWTIwMTMuMTIvMzEvMjAxOAEAAAA8iwAAAgAAAAgxODU1LjU5OQEIAAAABQAAAAExAQAAAAoxNzc4MTM1NTU3AwAAAAMxNjACAAAAAzQwMAQAAAABMAcAAAAKMTIvMzEvMjAxOAgAAAAKMTIvMzEvMjAxMwkAAAABMPx6JnqC1NYI5CSdiILU1ggxQ0lRLklRMjY5OTc4MzMuSVFfRUJJVF9NQVJHSU4uMTk5OC45LzIvMjAxMS5MRlIuUAEAAABJ9JsBAwAAAAAAwfFBiYLU1gi1bhKggtTWCBhDSVEuREI6RlJFLklRX0NPTVBBTllfSUQBAAAAw2sNAAMAAAAISVE4Nzk1NTUA4O8meoLU1gix3JOIgtTWCDNDSVEuTllTRTpEVkEuSVFfQ0FTSF9FUVVJVi4yMDAwLjEyLzMxLzIwMTguLlAuVVNELkgBAAAAPIsAAAIAAAAHMzIzLjAzOAEIAAAABQAAAAExAQAAAAoxOTQ2NjY2NjAwAwAAAAMxNjACAAAABDEwOTYEAAAAATAHAAAACjEyLzMxLzIwMTgIAAAACjEyLzMxLzIwMTgJAAAAATDyoSZ6gtTWCK7nloiC1NYIMENJUS5JUTM4NDUyMi5JUV9EQVlTX1NBTEVTX09VVC5GWTIwMTUuMTIvMzEvMjAxOAEAAAAK3gUAAgAAAAk3Ny43MDk1OTUBCAAAAAUAAAABMQEAAAAKMTg3NjA3MTc4MgMAAAACNTACAAAABDQwNDIEAAAAATAHAAAACjEyLzMxLzIwMTgIAAAA</t>
  </si>
  <si>
    <t>CjEyLzMxLzIwMTUJAAAAATAwjUKJgtTWCPRoDaCC1NYINENJUS5JUTM1NjQ0LklRX0VCSVRfMVlSX0FOTl9HUk9XVEguRlkyMDEzLjEyLzMxLzIwMTgBAAAAPIsAAAIAAAAHMzIuNzk5MQEIAAAABQAAAAExAQAAAAoxNzc4MTM1NTU3AwAAAAMxNjACAAAABDQxOTcEAAAAATAHAAAACjEyLzMxLzIwMTgIAAAACjEyLzMxLzIwMTMJAAAAATA/ZkKJgtTWCMOxD6CC1NYIK0NJUS5JUTExNTU0NC5JUV9UT1RBTF9SRVYuRlkyMDE1LjEyLzMxLzIwMTgBAAAAWMMBAAIAAAAHMzM2LjEyMwEIAAAABQAAAAExAQAAAAoxODc0ODA1MDQ0AwAAAAMxNjACAAAAAjI4BAAAAAEwBwAAAAoxMi8zMS8yMDE4CAAAAAoxMi8zMS8yMDE1CQAAAAEw/HomeoLU1gjaS52IgtTWCEFDSVEuWFRSQTpGTUUuSVFfRUJJVF9NRURJQU5fRVNUX0NJUS5GWTIwMTkuMTIvMzEvMjAxOC5DT04uRi5VU0QuSAEAAAAK3gUAAgAAAAgyNzkyLjIyMwEOAAAABQAAAAEzAQAAAAEwAgAAAAoxMDAwMjQ2MTI5AwAAAAYxMDAyMTYEAAAAATMGAAAAATAHAAAAAzE2MAgAAAABMAkAAAABMQoAAAABMAsAAAALMTEyMTc4MjU1ODMMAAAAATENAAAACDEvMS8yMDE5EAAAAAoxMi8zMS8yMDE4VrEneoLU1gi4R5+IgtTWCDdDSVEuSVExMTU1NDQuSVFfRUJJVERBXzFZUl9BTk5fR1JPV1RILkZZMjAxNS4xMi8zMS8yMDE4AQAAAFjDAQADAAAAAk5NAQgAAAAF</t>
  </si>
  <si>
    <t>AAAAATEBAAAACjE4NzQ4MDUwNDQDAAAAAzE2MAIAAAAENDE5NgQAAAABMAcAAAAKMTIvMzEvMjAxOAgAAAAKMTIvMzEvMjAxNQkAAAABMD9mQomC1NYISzwPoILU1ggzQ0lRLjAuSVFfQ0FTSF9TVF9JTlZFU1QuMjAwMC4xMi8zMS8yMDE4LkxGUi5GLlVTRC5IBQAAAAAAAAAIAAAAFChJbnZhbGlkIElkZW50aWZpZXIpv8cmeoLU1gjtNpeIgtTWCEFDSVEuTllTRTpEVkEuSVFfRUJJVF9NRURJQU5fRVNUX0NJUS5GWTIwMjAuMTIvMzEvMjAxOC5DT04uRi5VU0QuSAEAAAA8iwAAAgAAAAcxNjk3LjM1AQ4AAAAFAAAAATMBAAAAATACAAAACjEwMDE2OTM2NDADAAAABjEwMDIxNgQAAAABMgYAAAABMAcAAAADMTYwCAAAAAEwCQAAAAExCgAAAAEwCwAAAAsxMTE5MzYwNzczOAwAAAABMQ0AAAAIMS8xLzIwMTkQAAAACjEyLzMxLzIwMThWsSd6gtTWCHnjn4iC1NYIIUNJUS5JUVRSMjE0MjQ4MDMwLklRX1RSX0JVWUVSTkFNRQEAAABeKsUMAwAAABtDb3JyZWN0IENhcmUgU29sdXRpb25zLCBMTEMAeGMneoLU1gjrXZeIgtTWCDRDSVEuSVExMTU1NDQuSVFfREFZU19JTlZFTlRPUllfT1VULkZZMjAxNi4xMi8zMS8yMDE4AQAAAFjDAQACAAAACTcyLjkyNTEzNAEIAAAABQAAAAExAQAAAAoxODc0ODA0OTcyAwAAAAMxNjACAAAABDQwMzUEAAAAATAHAAAACjEyLzMxLzIwMTgIAAAACjEyLzMxLzIwMTYJAAAAATBO</t>
  </si>
  <si>
    <t>tEKJgtTWCCGmDKCC1NYIKENJUS5JUTExNTU0NC5JUV9FQklUREEuRlkyMDE2LjEyLzMxLzIwMTgBAAAAWMMBAAIAAAAGMTQuNjUyAQgAAAAFAAAAATEBAAAACjE4NzQ4MDQ5NzIDAAAAAzE2MAIAAAAENDA1MQQAAAABMAcAAAAKMTIvMzEvMjAxOAgAAAAKMTIvMzEvMjAxNgkAAAABMPKhJnqC1NYI5CCfiILU1ghDQ0lRLklRMTE1NTQ0LklRX0VCSVREQV9NRURJQU5fRVNUX0NJUS5GWTIwMTkuMTIvMzEvMjAxOC5DT04uRi5VU0QuSAEAAABYwwEAAgAAAAY1NC4zNzUBDgAAAAUAAAABMwEAAAABMAIAAAAKMTAwMDk5NDI2MQMAAAAGMTAwMTg4BAAAAAEyBgAAAAEwBwAAAAMxNjAIAAAAATAJAAAAATEKAAAAATALAAAACzExMTY5OTExOTk0DAAAAAExDQAAAAgxLzEvMjAxORAAAAAKMTIvMzEvMjAxOFaxJ3qC1NYIr+ediILU1gg7Q0lRLklRMTE1NTQ0LklRX0VCSVREQV9NQVJHSU4uRlkyMDE3LjEyLzMxLzIwMTguTEZSLlAuVVNELkgBAAAAWMMBAAIAAAAGMy4yNzUzAQgAAAAFAAAAATEBAAAACjE4NzQ4MDUwMjMDAAAAAzE2MAIAAAAENDA0NwQAAAABMAcAAAAKMTIvMzEvMjAxOAgAAAAKMTIvMzEvMjAxNwkAAAABMDCNQomC1NYIzN0NoILU1ghDQ0lRLlhUUkE6Rk1FLklRX0VCSVREQV9NRURJQU5fRVNUX0NJUS5GWTIwMTcuMTIvMzEvMjAxOC5DT04uRi5VU0QuSAEAAAAK3gUAAgAAAAozOTEwLjU3ODM2</t>
  </si>
  <si>
    <t>AQ4AAAAFAAAAATMBAAAAATACAAAACjEwMDAyNDYxMjcDAAAABjEwMDE4OAQAAAABMwYAAAABMAcAAAADMTYwCAAAAAEwCQAAAAExCgAAAAEwCwAAAAsxMDc2MTMxODQxOQwAAAABMQ0AAAAIMS8xLzIwMTkQAAAACjEyLzMxLzIwMTdM2Cd6gtTWCOQknYiC1NYIQUNJUS5OWVNFOkRWQS5JUV9FQklUX01FRElBTl9FU1RfQ0lRLkZZMjAxNy4xMi8zMS8yMDE4LkNPTi5GLlVTRC5IAQAAADyLAAACAAAABDE2NTMBDgAAAAUAAAABMwEAAAABMAIAAAAKMTAwMTY5MzYyNQMAAAAGMTAwMjE2BAAAAAEyBgAAAAEwBwAAAAMxNjAIAAAAATAJAAAAATEKAAAAATALAAAACzEwNzM1MjIxMzcwDAAAAAExDQAAAAgxLzEvMjAxORAAAAAKMTIvMzEvMjAxN1axJ3qC1NYIojWeiILU1ggtQ0lRLkRCOkZSRS5JUV9FQklUREEuMjAwMC4xMi8zMS8yMDE4Li5QLlVTRC5IAQAAAMNrDQACAAAACzY0ODEuNTY2MjkyAQgAAAAFAAAAATEBAAAACjE5NTA0NDI1OTcDAAAAAzE2MAIAAAAENDA1MQQAAAABMAcAAAAKMTIvMzEvMjAxOAgAAAAKMTIvMzEvMjAxOAkAAAABMPKhJnqC1NYIKsKWiILU1ghCQ0lRLkRCOkZSRS5JUV9SRVZFTlVFX01FRElBTl9FU1RfQ0lRLkZZMjAxOS4xMi8zMS8yMDE4LkNPTi5GLlVTRC5IAQAAAMNrDQACAAAAEDM5OTg3LjQwMzI0NzU3MzUBDgAAAAUAAAABMwEAAAABMAIAAAAKMTAwMDM4ODQ2NQMAAAAG</t>
  </si>
  <si>
    <t>MTAwMTgxBAAAAAEzBgAAAAEwBwAAAAMxNjAIAAAAATAJAAAAATEKAAAAATALAAAACzExMjE1NzMzNTc3DAAAAAExDQAAAAgxLzEvMjAxORAAAAAKMTIvMzEvMjAxOEzYJ3qC1NYI+taciILU1ggjQ0lRLk5ZU0U6RFZBLklRX0JFVEFfMllSLjEyLzMxLzIwMTgBAAAAPIsAAAIAAAAQMS4zNjE0NzQ2ODkwMTk2MQBB/yd6gtTWCMpRlIiC1NYILENJUS5JUVRSMjg3MjM0NTIyLklRX1RSX1RPVEFMX0dST1NTX1RWX0ZJTkFMAQAAANrZHhECAAAAAjEyAGGKJ3qC1NYIdbGViILU1ggrQ0lRLk5ZU0U6QVJBLklRX1RPVEFMX1JFVi5GWTIwMTQuMTIvMzEvMjAxOAEAAAA9Gy8IAgAAAAc1NjAuNzM0AQgAAAAFAAAAATEBAAAACjE4MzExMDQxNzkDAAAAAzE2MAIAAAACMjgEAAAAATAHAAAACjEyLzMxLzIwMTgIAAAACjEyLzMxLzIwMTQJAAAAATD8eiZ6gtTWCE3Gm4iC1NYIQUNJUS5OWVNFOkRWQS5JUV9FQklUX01FRElBTl9FU1RfQ0lRLkZZMjAxOS4xMi8zMS8yMDE4LkNPTi5GLlVTRC5IAQAAADyLAAACAAAABDE2MzcBDgAAAAUAAAABMwEAAAABMAIAAAAKMTAwMTY5MzYzNQMAAAAGMTAwMjE2BAAAAAEyBgAAAAEwBwAAAAMxNjAIAAAAATAJAAAAATEKAAAAATALAAAACzExMTgzODYwNTczDAAAAAExDQAAAAgxLzEvMjAxORAAAAAKMTIvMzEvMjAxOFaxJ3qC1NYIsfmeiILU1ghEQ0lRLlhUUkE6Rk1FLklRX1JF</t>
  </si>
  <si>
    <t>VkVOVUVfTUVESUFOX0VTVF9DSVEuRlkyMDIwLjEyLzMxLzIwMTguQ09OLkYuVVNELkgBAAAACt4FAAIAAAAKMjA3NDUuOTA0NQEOAAAABQAAAAEzAQAAAAEwAgAAAAoxMDAwMjQ2MTMwAwAAAAYxMDAxODEEAAAAATMGAAAAATAHAAAAAzE2MAgAAAABMAkAAAABMQoAAAABMAsAAAALMTEyMTc4MjU0NTcMAAAAATENAAAACDEvMS8yMDE5EAAAAAoxMi8zMS8yMDE4TNgneoLU1gjPcp2IgtTWCCxDSVEuSVFUUjYwNTU3NzIzNi5JUV9UUl9UT1RBTF9HUk9TU19UVl9GSU5BTAEAAAAUYBgkAgAAAAMyLjYBBgAAAAUAAAACNTQBAAAABjEwMjA0MwIAAAAJNjA1NTc3MjM2AwAAAAk2MDU1Nzc1ODcEAAAAAzE2MAYAAAAFRmFsc2Vhiid6gtTWCGuKlYiC1NYILENJUS5JUVRSNDA0Nzc2ODk3LklRX1RSX1RPVEFMX0dST1NTX1RWX0ZJTkFMAQAAAMFnIBgCAAAAAACkPCd6gtTWCEummYiC1NYIO0NJUS5JUTExNTU0NC5JUV9FQklUREFfTUFSR0lOLkZZMjAxNS4xMi8zMS8yMDE4LkxGUi5QLlVTRC5IAQAAAFjDAQACAAAABjAuODI4OAEIAAAABQAAAAExAQAAAAoxODc0ODA1MDQ0AwAAAAMxNjACAAAABDQwNDcEAAAAATAHAAAACjEyLzMxLzIwMTgIAAAACjEyLzMxLzIwMTUJAAAAATA/ZkKJgtTWCH3uDqCC1NYILENJUS5JUVRSNjA1NTc3MjM2LklRX1RSX1RBUkdFVF9FQklUREFfRVFfSU5DAQAAABRgGCQCAAAAAAB4</t>
  </si>
  <si>
    <t>Yyd6gtTWCMfSl4iC1NYIIUNJUS5JUVRSMTAwNzc0NTYyLklRX1RSX1RBUkdFVF9JRAEAAACisgEGAwAAAAhJUTM4NDMzMQBhiid6gtTWCMJwk4iC1NYIKENJUS5OWVNFOkFSQS5JUV9FQklUREEuRlkyMDEzLjEyLzMxLzIwMTgBAAAAPRsvCAIAAAAHMTM0LjkwMgEIAAAABQAAAAExAQAAAAoxNzg3OTgzODM0AwAAAAMxNjACAAAABDQwNTEEAAAAATAHAAAACjEyLzMxLzIwMTgIAAAACjEyLzMxLzIwMTMJAAAAATD8eiZ6gtTWCCQ7nIiC1NYINUNJUS5JUTM4NDUyMi5JUV9FQklUXzFZUl9BTk5fR1JPV1RILkZZMjAxMy4xMi8zMS8yMDE4AQAAAAreBQACAAAABjMuMDEwOQEIAAAABQAAAAExAQAAAAoxNzc3ODI1NzMxAwAAAAMxNjACAAAABDQxOTcEAAAAATAHAAAACjEyLzMxLzIwMTgIAAAACjEyLzMxLzIwMTMJAAAAATA/ZkKJgtTWCEs8D6CC1NYIJENJUS5OWVNFOkFSQS5JUV9CVVNJTkVTU19ERVNDUklQVElPTgEAAAA9Gy8IAwAAAMYEQW1lcmljYW4gUmVuYWwgQXNzb2NpYXRlcyBIb2xkaW5ncywgSW5jLiBvcGVyYXRlcyBhcyBhIGRpYWx5c2lzIHNlcnZpY2VzIHByb3ZpZGVyIGluIHRoZSBVbml0ZWQgU3RhdGVzLiBJdCBvcGVyYXRlcyBkaWFseXNpcyBjbGluaWNzIGZvY3VzaW5nIG9uIGpvaW50IHZlbnR1cmUgcGFydG5lcnNoaXBzIHdpdGggcGh5c2ljaWFucy4gVGhlIGNvbXBhbnkgb2ZmZXJz</t>
  </si>
  <si>
    <t>IGtpZG5leSBkaWFseXNpcyBzZXJ2aWNlcyB0byBwYXRpZW50cyBzdWZmZXJpbmcgZnJvbSBjaHJvbmljIGtpZG5leSBmYWlsdXJlIG9yIGVuZCBzdGFnZSByZW5hbCBkaXNlYXNlLiBBcyBvZiBKdW5lIDMwLCAyMDE4LCBpdCBvd25lZCBhbmQgb3BlcmF0ZWQgMjMzIGRpYWx5c2lzIGNsaW5pY3MgaW4gcGFydG5lcnNoaXAgd2l0aCA0MDAgbmVwaHJvbG9naXN0IHBhcnRuZXJzIHRyZWF0aW5nIGFwcHJveGltYXRlbHkgMTYsMDAwIHBhdGllbnRzIGluIDI2IHN0YXRlcyBhbmQgdGhlIERpc3RyaWN0IG9mIENvbHVtYmlhLiBUaGUgY29tcGFueSB3YXMgZm91bmRlZCBpbiAxOTk5IGFuZCBpcyBoZWFkcXVhcnRlcmVkIGluIEJldmVybHksIE1hc3NhY2h1c2V0dHMuAODvJnqC1NYIsdyTiILU1ghBQ0lRLk5ZU0U6RFZBLklRX0VCSVRfTUVESUFOX0VTVF9DSVEuRlkyMDE4LjEyLzMxLzIwMTguQ09OLkYuVVNELkgBAAAAPIsAAAIAAAAJMTUxMy4yMjU1AQ4AAAAFAAAAATMBAAAAATACAAAACjEwMDE2OTM2MzADAAAABjEwMDIxNgQAAAABMgYAAAABMAcAAAADMTYwCAAAAAEwCQAAAAExCgAAAAEwCwAAAAsxMTE4Mzg2MDMwNwwAAAABMQ0AAAAIMS8xLzIwMTkQAAAACjEyLzMxLzIwMThWsSd6gtTWCKhcnoiC1NYIKENJUS5YVFJBOkZNRS5JUV9FQklUREEuRlkyMDE3LjEyLzMxLzIwMTgBAAAACt4FAAIAAAAL</t>
  </si>
  <si>
    <t>MzYzOS4xOTE4ODMBCAAAAAUAAAABMQEAAAAKMTg3NjA3MTc4OQMAAAADMTYwAgAAAAQ0MDUxBAAAAAEwBwAAAAoxMi8zMS8yMDE4CAAAAAoxMi8zMS8yMDE3CQAAAAEwH1QmeoLU1giNMaCIgtTWCClDSVEuSVFUUjExMjIxODMwNS5JUV9CVVNJTkVTU19ERVNDUklQVElPTgEAAAAO2rkCAwAAAL4EQXMgb2YgTm92ZW1iZXIgMSwgMjAxMCwgVmlzdGEgSGVhbHRoY2FyZSwgTExDIHdhcyBhY3F1aXJlZCBieSBLaW5kcmVkIEhlYWx0aGNhcmUgSW5jLiBWaXN0YSBIZWFsdGhjYXJlLCBMTEMgb3BlcmF0ZXMgYSBjaGFpbiBvZiBsb25nLXRlcm0gYWN1dGUgY2FyZSBob3NwaXRhbHMgaW4gQ2FsaWZvcm5pYS4gSXQgcHJvdmlkZXMgY2FyZGlhYyBhbmQgaGVtb2R5bmFtaWMgbW9uaXRvcmluZywgY2VudHJhbCBsaW5lIHBsYWNlbWVudCwgaGVtb2RpYWx5c2lzLCBpbmZlY3Rpb25zIGRpc2Vhc2UgbWFuYWdlbWVudCwgbGFib3JhdG9yeSwgbXVsdGktb3JnYW4gZmFpbHVyZSBtYW5hZ2VtZW50LCBudXRyaXRpb25hbCBzdXBwb3J0LCBwaGFybWFjeSwgcGh5c2ljYWwvb2NjdXBhdGlvbmFsL3NwZWVjaCB0aGVyYXB5LCBQSUNDIGxpbmUgcGxhY2VtZW50LCBwYWluIG1hbmFnZW1lbnQsIHJhZGlvbG9neSwgYW5kIHNvY2lhbC91dGlsaXphdGlvbiBtYW5hZ2VtZW50IHNlcnZpY2VzLiBUaGUgY29tcGFueSB3YXMg</t>
  </si>
  <si>
    <t>Zm91bmRlZCBpbiAyMDAzIGFuZCBpcyBiYXNlZCBpbiBSYW5jaG8gQ3VjYW1vbmdhLCBDYWxpZm9ybmlhLgDg7yZ6gtTWCM1ekoiC1NYIIUNJUS5JUVRSMTAwNzc0NTYyLklRX1RSX0JVWUVSTkFNRQEAAACisgEGAwAAABVVLlMuIFJlbmFsIENhcmUsIEluYy4AeGMneoLU1ghAJpaIgtTWCCRDSVEuREI6RlJFLklRX0VCSVQuRlkyMDE0LjEyLzMxLzIwMTgBAAAAw2sNAAIAAAALMzc2OS4yOTEyOTIBCAAAAAUAAAABMQEAAAAKMTc4MTczNTAyOAMAAAADMTYwAgAAAAM0MDAEAAAAATAHAAAACjEyLzMxLzIwMTgIAAAACjEyLzMxLzIwMTQJAAAAATD8eiZ6gtTWCNpLnYiC1NYINkNJUS5JUTM1NjQ0LklRX0VCSVREQV8xWVJfQU5OX0dST1dUSC5GWTIwMTcuMTIvMzEvMjAxOAEAAAA8iwAAAgAAAAYwLjI5NDIBCAAAAAUAAAABMQEAAAAKMTg3NTgwNzIxNgMAAAADMTYwAgAAAAQ0MTk2BAAAAAEwBwAAAAoxMi8zMS8yMDE4CAAAAAoxMi8zMS8yMDE3CQAAAAEwMI1CiYLU1gisUg6ggtTWCChDSVEuSVFUUjExMjIxODMwNS5JUV9UUl9UQVJHRVRfVE9UQUxfUkVWAQAAAMFQsAYCAAAAAzE1MABhiid6gtTWCHWxlYiC1NYIKENJUS5JUVRSMTEyMjE4MzA1LklRX1RSX0lNUExJRURfRVZfRklOQUwBAAAAwVCwBgIAAAADMTc4AQYAAAAFAAAAAjU0AQAAAAYxMDIwNDUCAAAACTExMjIxODMwNQMAAAAJMTEyMjE4MzUy</t>
  </si>
  <si>
    <t>BAAAAAMxNjAGAAAABUZhbHNleGMneoLU1gjghJeIgtTWCDFDSVEuREI6RlJFLklRX1RPVEFMX0RFQlQuMjAwMC4xMi8zMS8yMDE4Li5QLlVTRC5IAQAAAMNrDQACAAAADDIxNzM1Ljc0NTM2MQEIAAAABQAAAAExAQAAAAoxOTUwNDQyNTk3AwAAAAMxNjACAAAABDQxNzMEAAAAATAHAAAACjEyLzMxLzIwMTgIAAAACjEyLzMxLzIwMTgJAAAAATDyoSZ6gtTWCK7nloiC1NYIM0NJUS5JUTM1NjQ0LklRX0RBWVNfSU5WRU5UT1JZX09VVC5GWTIwMTYuMTIvMzEvMjAxOAEAAAA8iwAAAgAAAAg4LjUxOTc0OAEIAAAABQAAAAExAQAAAAoxODc1ODA3Mjk5AwAAAAMxNjACAAAABDQwMzUEAAAAATAHAAAACjEyLzMxLzIwMTgIAAAACjEyLzMxLzIwMTYJAAAAATBOtEKJgtTWCDkxDKCC1NYIKENJUS5JUVRSMTAwNzc0NTYyLklRX1RSX0lNUExJRURfRVZfRklOQUwBAAAAorIBBgIAAAAKMTIxLjA3MjYzNAB4Yyd6gtTWCKdHmIiC1NYIIENJUS5JUTExNTU0NC5JUV9GSVJTVFBSSUNJTkdEQVRFAQAAAFjDAQAFAAAACjEwLzI3LzIwMDUAkhUneoLU1gjJvpOIgtTWCDRDSVEuSVE2MDU1NzcyMDMuSVFfRUJJVF9NQVJHSU4uMTk5OS4xMi8zMS8yMDE4LkxGUi5QAQAAAPNfGCQDAAAAAABSP0KJgtTWCIPDEKCC1NYIJkNJUS5JUTExNTU0NC5JUV9FQklULkZZMjAxNS4xMi8zMS8yMDE4AQAAAFjDAQACAAAABy0xNC40MjkB</t>
  </si>
  <si>
    <t>CAAAAAUAAAABMQEAAAAKMTg3NDgwNTA0NAMAAAADMTYwAgAAAAM0MDAEAAAAATAHAAAACjEyLzMxLzIwMTgIAAAACjEyLzMxLzIwMTUJAAAAATD8eiZ6gtTWCOQgn4iC1NYIJENJUS5EQjpGUkUuSVFfRUJJVC5GWTIwMTMuMTIvMzEvMjAxOAEAAADDaw0AAgAAAAs0MTE4Ljk4MzY4MQEIAAAABQAAAAExAQAAAAoxNzI0MjIwNzkzAwAAAAMxNjACAAAAAzQwMAQAAAABMAcAAAAKMTIvMzEvMjAxOAgAAAAKMTIvMzEvMjAxMwkAAAABMPx6JnqC1NYIz3KdiILU1ghEQ0lRLk5ZU0U6QVJBLklRX1JFVkVOVUVfTUVESUFOX0VTVF9DSVEuRlkyMDIxLjEyLzMxLzIwMTguQ09OLkYuVVNELkgBAAAAPRsvCAMAAAAAAFaxJ3qC1NYIZ9GeiILU1gg5Q0lRLklRODc5NTU1LklRX0VCSVRfTUFSR0lOLkZZMjAxNS4xMi8zMS8yMDE4LkxGUi5QLlVTRC5IAQAAAMNrDQACAAAABzE0LjAyNjYBCAAAAAUAAAABMQEAAAAKMTgzMzA0MDg1OQMAAAACNTACAAAABDQwNTMEAAAAATAHAAAACjEyLzMxLzIwMTgIAAAACjEyLzMxLzIwMTUJAAAAATAwjUKJgtTWCMzdDaCC1NYILENJUS5JUVRSMTEyMjE4MzA1LklRX1RSX1RPVEFMX0dST1NTX1RWX0ZJTkFMAQAAAMFQsAYCAAAAAzE3OAEGAAAABQAAAAI1NAEAAAAGMTAyMDQzAgAAAAkxMTIyMTgzMDUDAAAACTExMjIxODM1MgQAAAADMTYwBgAAAAVGYWxzZWGKJ3qC1NYIHWKViILU</t>
  </si>
  <si>
    <t>1ggsQ0lRLklRVFIyMTQyNDgwMzAuSVFfVFJfVE9UQUxfR1JPU1NfVFZfRklOQUwBAAAAXirFDAIAAAAJNTkuNDkyODcxAKQ8J3qC1NYIqLWaiILU1ggyQ0lRLk5ZU0U6RFZBLklRX1RPVEFMX1JFVi4yMDAwLjEyLzMxLzIwMTguLlAuVVNELkgBAAAAPIsAAAIAAAAJMTE0MTIuMTUxAQgAAAAFAAAAATEBAAAACjE5NDY2NjY2MDADAAAAAzE2MAIAAAACMjgEAAAAATAHAAAACjEyLzMxLzIwMTgIAAAACjEyLzMxLzIwMTgJAAAAATDyoSZ6gtTWCMIgmIiC1NYIOUNJUS5JUTM1NjQ0LklRX1RPVEFMX1JFVl8xWVJfQU5OX0dST1dUSC5GWTIwMTUuMTIvMzEvMjAxOAEAAAA8iwAAAgAAAActMjEuOTY4AQgAAAAFAAAAATEBAAAACjE4NzU4MDcyODkDAAAAAzE2MAIAAAAENDE5NAQAAAABMAcAAAAKMTIvMzEvMjAxOAgAAAAKMTIvMzEvMjAxNQkAAAABMD9mQomC1NYIKv8PoILU1gg3Q0lRLklRMTE1NTQ0LklRX0VCSVREQV8xWVJfQU5OX0dST1dUSC5GWTIwMTQuMTIvMzEvMjAxOAEAAABYwwEAAwAAAAJOTQEIAAAABQAAAAExAQAAAAoxODMwMTY1NjY5AwAAAAMxNjACAAAABDQxOTYEAAAAATAHAAAACjEyLzMxLzIwMTgIAAAACjEyLzMxLzIwMTQJAAAAATBSP0KJgtTWCP5zEKCC1NYIIENJUS5JUVRSMTEyMjE4MzA1LklRX1RSX0FOTl9EQVRFAQAAAMFQsAYFAAAACTgvMjQvMjAxMAB4Yyd6gtTWCNKrl4iC1NYI</t>
  </si>
  <si>
    <t>IkNJUS5JUVRSMTE5MTMwNzQ1LklRX1RSX1RBUkdFVE5BTUUBAAAAecoZBwMAAAAPSVNEIFJlbmFsLCBJbmMuAKQ8J3qC1NYI3fKZiILU1ggoQ0lRLklRMTE1NTQ0LklRX0VCSVREQS5GWTIwMTcuMTIvMzEvMjAxOAEAAABYwwEAAgAAAAYxMi45MDMBCAAAAAUAAAABMQEAAAAKMTg3NDgwNTAyMwMAAAADMTYwAgAAAAQ0MDUxBAAAAAEwBwAAAAoxMi8zMS8yMDE4CAAAAAoxMi8zMS8yMDE3CQAAAAEwH1QmeoLU1ghyWKCIgtTWCDRDSVEuSVEzNTY0NC5JUV9FQklUXzFZUl9BTk5fR1JPV1RILkZZMjAxNS4xMi8zMS8yMDE4AQAAADyLAAACAAAACC0xMC4zMzc1AQgAAAAFAAAAATEBAAAACjE4NzU4MDcyODkDAAAAAzE2MAIAAAAENDE5NwQAAAABMAcAAAAKMTIvMzEvMjAxOAgAAAAKMTIvMzEvMjAxNQkAAAABMDCNQomC1NYIwQQOoILU1gg0Q0lRLk5ZU0U6QVJBLklRX0VCSVREQV9FU1QuMTAwMDEuMTIvMzEvMjAxOC4uUC5VU0QuSAEAAAA9Gy8IAgAAAAkxMDYuMjI3OTcBDgAAAAUAAAACMTEBAAAAATACAAAACjEwMDM0MDA2NjgDAAAABjEwMDE4NwQAAAABMgYAAAABMAcAAAADMTYwCAAAAAEwCQAAAAExCgAAAAEwCwAAAAsxMTM1MDc4MTAyNgwAAAABNw0AAAAIMS8xLzIwMTkQAAAACjEyLzMxLzIwMThM2Cd6gtTWCKxXmYiC1NYIMENJUS5JUTExNTU0NC5JUV9EQVlTX1NBTEVTX09VVC5GWTIwMTUuMTIv</t>
  </si>
  <si>
    <t>MzEvMjAxOAEAAABYwwEAAgAAAAkyNi43NjQzNTUBCAAAAAUAAAABMQEAAAAKMTg3NDgwNTA0NAMAAAADMTYwAgAAAAQ0MDQyBAAAAAEwBwAAAAoxMi8zMS8yMDE4CAAAAAoxMi8zMS8yMDE1CQAAAAEwMI1CiYLU1ghpkA2ggtTWCD1DSVEuSVExMzczMDQ4OTMuSVFfVE9UQUxfUkVWXzFZUl9BTk5fR1JPV1RILkZZMjAxMy4xMi8zMS8yMDE4AQAAAD0bLwgCAAAABzE3LjY2NjYBCAAAAAUAAAABMQEAAAAKMTc4Nzk4MzgzNAMAAAADMTYwAgAAAAQ0MTk0BAAAAAEwBwAAAAoxMi8zMS8yMDE4CAAAAAoxMi8zMS8yMDEzCQAAAAEwUj9CiYLU1gjhmxCggtTWCDpDSVEuSVExMzczMDQ4OTMuSVFfRUJJVERBXzFZUl9BTk5fR1JPV1RILkZZMjAxNC4xMi8zMS8yMDE4AQAAAD0bLwgCAAAABzI0LjQzMTgBCAAAAAUAAAABMQEAAAAKMTgzMTEwNDE3OQMAAAADMTYwAgAAAAQ0MTk2BAAAAAEwBwAAAAoxMi8zMS8yMDE4CAAAAAoxMi8zMS8yMDE0CQAAAAEwUj9CiYLU1gj+cxCggtTWCCJDSVEuSVFUUjExMjIxODMwNS5JUV9UUl9UQVJHRVROQU1FAQAAAMFQsAYDAAAAFVZpc3RhIEhlYWx0aGNhcmUsIExMQwB4Yyd6gtTWCCCbloiC1NYINENJUS5OWVNFOkRWQS5JUV9FQklUREFfRVNULjEwMDAxLjEyLzMxLzIwMTguLlAuVVNELkgBAAAAPIsAAAIAAAAKMjIyNi4yMDI0MQEOAAAABQAAAAIxMQEAAAABMAIAAAAKMTAw</t>
  </si>
  <si>
    <t>MTY5MzYzNQMAAAAGMTAwMTg3BAAAAAEyBgAAAAEwBwAAAAMxNjAIAAAAATAJAAAAATEKAAAAATALAAAACzExMjEzODMzMTkyDAAAAAE3DQAAAAgxLzEvMjAxORAAAAAKMTIvMzEvMjAxOEzYJ3qC1NYIshuaiILU1gghQ0lRLklRVFIxNDEyNzI2MTYuSVFfVFJfVEFSR0VUX0lEAQAAACimawgDAAAAC0lRMTQxMjcxODY4AGGKJ3qC1NYIwnCTiILU1ghDQ0lRLk5ZU0U6RFZBLklRX01JTk9SSVRZX0lOVEVSRVNUX1RPVEFMLjIwMDAuMTIvMzEvMjAxOC5MRlIuRi5VU0QuSAEAAAA8iwAAAgAAAAgxMjY5LjAyNQEIAAAABQAAAAExAQAAAAoxOTIwMzE4NDM2AwAAAAMxNjACAAAABDEzMTIEAAAAATAHAAAACjEyLzMxLzIwMTgIAAAACTkvMzAvMjAxOAkAAAABML/HJnqC1NYIgIyQiILU1gg9Q0lRLklRMTM3MzA0ODkzLklRX1RPVEFMX1JFVl8xWVJfQU5OX0dST1dUSC5GWTIwMTYuMTIvMzEvMjAxOAEAAAA9Gy8IAgAAAAcxNC44MjIxAQgAAAAFAAAAATEBAAAACjE4NzcxNzEzNjYDAAAAAzE2MAIAAAAENDE5NAQAAAABMAcAAAAKMTIvMzEvMjAxOAgAAAAKMTIvMzEvMjAxNgkAAAABMD9mQomC1NYIXWMPoILU1gg1Q0lRLklRMTM3MzA0ODkzLklRX0RBWVNfUEFZQUJMRV9PVVQuRlkyMDE2LjEyLzMxLzIwMTgBAAAAPRsvCAIAAAAJMjEuNzAwNTA2AQgAAAAFAAAAATEBAAAACjE4NzcxNzEzNjYDAAAAAzE2MAIA</t>
  </si>
  <si>
    <t>AAAENDE4MwQAAAABMAcAAAAKMTIvMzEvMjAxOAgAAAAKMTIvMzEvMjAxNgkAAAABME60QomC1NYINuULoILU1ghBQ0lRLlhUUkE6Rk1FLklRX0VCSVRfTUVESUFOX0VTVF9DSVEuRlkyMDIyLjEyLzMxLzIwMTguQ09OLkYuVVNELkgBAAAACt4FAAIAAAAIMzQ2OS41MTEBDgAAAAUAAAABMwEAAAABMAIAAAAKMTAwMDI0NjEzMgMAAAAGMTAwMjE2BAAAAAEzBgAAAAEwBwAAAAMxNjAIAAAAATAJAAAAATEKAAAAATALAAAACzExMjEzMTQ3NTk4DAAAAAExDQAAAAgxLzEvMjAxORAAAAAKMTIvMzEvMjAxOGGKJ3qC1NYIQBuhiILU1gg0Q0lRLklRMTQxMjcxODY4LklRX0VCSVRfTUFSR0lOLjE5OTguMTAvMzEvMjAxMS5MRlIuUAEAAAA8o2sIAwAAAAAAWBhCiYLU1gjCXRGggtTWCCpDSVEuSVFUUjExMjIxODMwNS5JUV9UUl9UQVJHRVRfRUJJVF9FUV9JTkMBAAAAwVCwBgIAAAAAAGGKJ3qC1NYIVtiViILU1gghQ0lRLklRVFIyMDgzNDM4NDMuSVFfVFJfQlVZRVJOQU1FAQAAACMTawwDAAAANUxpZmVwb2ludCBIb3NwaXRhbHMgSW5jLiAobmthOkxpZmVQb2ludCBIZWFsdGgsIEluYy4pAKQ8J3qC1NYIIEKaiILU1gg5Q0lRLklRMzg0NTIyLklRX0VCSVRfTUFSR0lOLkZZMjAxNC4xMi8zMS8yMDE4LkxGUi5QLlVTRC5IAQAAAAreBQACAAAABzEzLjgxOTYBCAAAAAUAAAABMQEAAAAKMTgyODk1MDA4MAMAAAAD</t>
  </si>
  <si>
    <t>MTYwAgAAAAQ0MDUzBAAAAAEwBwAAAAoxMi8zMS8yMDE4CAAAAAoxMi8zMS8yMDE0CQAAAAEwP2ZCiYLU1giMxw6ggtTWCENDSVEuSVExMTU1NDQuSVFfTUlOT1JJVFlfSU5URVJFU1RfVE9UQUwuMjAwMC4xMi8zMS8yMDE4LkxGUi5GLlVTRC5IAQAAAFjDAQACAAAABTAuNDIxAQgAAAAFAAAAATEBAAAACjE5MTk5ODY0MDMDAAAAAzE2MAIAAAAEMTMxMgQAAAABMAcAAAAKMTIvMzEvMjAxOAgAAAAJOS8zMC8yMDE4CQAAAAEwv8cmeoLU1gg5KJGIgtTWCCxDSVEuSVFUUjEwMDc3NDU2Mi5JUV9UUl9UT1RBTF9HUk9TU19UVl9GSU5BTAEAAACisgEGAgAAAAoxMjQuMDM0NjM0AKQ8J3qC1NYIS6aZiILU1ggvQ0lRLk5ZU0U6QVJBLklRX0VCSVREQS4xMDAwLjEyLzMxLzIwMTguLlAuVVNELkgBAAAAPRsvCAIAAAAHMTYwLjk3NQEIAAAABQAAAAExAQAAAAoxODc3MTcxMzc4AwAAAAMxNjACAAAABDQwNTEEAAAAATAHAAAACjEyLzMxLzIwMTgIAAAACjEyLzMxLzIwMTcJAAAAATDyoSZ6gtTWCCrCloiC1NYIPENJUS5JUTEzNzMwNDg5My5JUV9FQklUX01BUkdJTi5GWTIwMTMuMTIvMzEvMjAxOC5MRlIuUC5VU0QuSAEAAAA9Gy8IAgAAAAcyMi40MjE2AQgAAAAFAAAAATEBAAAACjE3ODc5ODM4MzQDAAAAAzE2MAIAAAAENDA1MwQAAAABMAcAAAAKMTIvMzEvMjAxOAgAAAAKMTIvMzEvMjAxMwkAAAABMD9mQomC</t>
  </si>
  <si>
    <t>1NYIjMcOoILU1gggQ0lRLklRVFI0MDQ3NzY4OTcuSVFfVFJfQU5OX0RBVEUBAAAAwWcgGAUAAAAKMTAvMTMvMjAxNgEGAAAABQAAAAI1NAEAAAAGNjAwOTA3AgAAAAk0MDQ3NzY4OTcDAAAACTQwNDc3Njg5NwQAAAADMTYwBgAAAARUcnVleGMneoLU1ghAJpaIgtTWCDlDSVEuSVExMTU1NDQuSVFfRUJJVF9NQVJHSU4uRlkyMDE0LjEyLzMxLzIwMTguTEZSLlAuVVNELkgBAAAAWMMBAAIAAAAHLTcuMzU4OAEIAAAABQAAAAExAQAAAAoxODMwMTY1NjY5AwAAAAMxNjACAAAABDQwNTMEAAAAATAHAAAACjEyLzMxLzIwMTgIAAAACjEyLzMxLzIwMTQJAAAAATA/ZkKJgtTWCJ15DqCC1NYIRENJUS5YVFJBOkZNRS5JUV9SRVZFTlVFX01FRElBTl9FU1RfQ0lRLkZZMjAxNy4xMi8zMS8yMDE4LkNPTi5GLlVTRC5IAQAAAAreBQACAAAACTIxMzE3LjQxNQEOAAAABQAAAAEzAQAAAAEwAgAAAAoxMDAwMjQ2MTI3AwAAAAYxMDAxODEEAAAAATMGAAAAATAHAAAAAzE2MAgAAAABMAkAAAABMQoAAAABMAsAAAALMTA3NjI3MjU5NTAMAAAAATENAAAACDEvMS8yMDE5EAAAAAoxMi8zMS8yMDE3TNgneoLU1ggvFJyIgtTWCCNDSVEuSVFUUjI0MTk1OTY4OS5JUV9UUl9DTE9TRURfREFURQEAAAAJA2wOBQAAAAk2LzExLzIwMTMAeGMneoLU1gisV5mIgtTWCDhDSVEuSVExMzczMDQ4OTMuSVFfRUJJVF8xWVJfQU5OX0dST1dU</t>
  </si>
  <si>
    <t>SC5GWTIwMTMuMTIvMzEvMjAxOAEAAAA9Gy8IAgAAAAYxLjQ1NjIBCAAAAAUAAAABMQEAAAAKMTc4Nzk4MzgzNAMAAAADMTYwAgAAAAQ0MTk3BAAAAAEwBwAAAAoxMi8zMS8yMDE4CAAAAAoxMi8zMS8yMDEzCQAAAAEwP2ZCiYLU1ghnig+ggtTWCEFDSVEuTllTRTpBUkEuSVFfRUJJVF9NRURJQU5fRVNUX0NJUS5GWTIwMTkuMTIvMzEvMjAxOC5DT04uRi5VU0QuSAEAAAA9Gy8IAgAAAAkxMzUuMzM4MTUBDgAAAAUAAAABMwEAAAABMAIAAAAKMTAwMzQwMTQxMgMAAAAGMTAwMjE2BAAAAAEyBgAAAAEwBwAAAAMxNjAIAAAAATAJAAAAATEKAAAAATALAAAACzExMTc0MTcxOTkxDAAAAAExDQAAAAgxLzEvMjAxORAAAAAKMTIvMzEvMjAxOFaxJ3qC1NYIwm6fiILU1gghQ0lRLklRVFIzMDk4OTU0NjMuSVFfVFJfQlVZRVJOQU1FAQAAACeheBIDAAAAFVUuUy4gUmVuYWwgQ2FyZSwgSW5jLgCkPCd6gtTWCEDNmYiC1NYIO0NJUS5JUTU2MjA5MzQ1OC5JUV9FQklUXzFZUl9BTk5fR1JPV1RILjE5OTkuMy8zMS8yMDE4LkxGUi5QAQAAAJLdgCEDAAAAAABYGEKJgtTWCPuFEaCC1NYIRENJUS5OWVNFOkFSQS5JUV9SRVZFTlVFX01FRElBTl9FU1RfQ0lRLkZZMjAxOC4xMi8zMS8yMDE4LkNPTi5GLlVTRC5IAQAAAD0bLwgCAAAACTgzOS4xMTk0MQEOAAAABQAAAAEzAQAAAAEwAgAAAAoxMDAzNDAwNjY4AwAAAAYxMDAx</t>
  </si>
  <si>
    <t>ODEEAAAAATIGAAAAATAHAAAAAzE2MAgAAAABMAkAAAABMQoAAAABMAsAAAALMTEzNTA3ODEwMTcMAAAAATENAAAACDEvMS8yMDE5EAAAAAoxMi8zMS8yMDE4TNgneoLU1gg+7ZuIgtTWCENDSVEuTllTRTpBUkEuSVFfRUJJVERBX01FRElBTl9FU1RfQ0lRLkZZMjAxNy4xMi8zMS8yMDE4LkNPTi5GLlVTRC5IAQAAAD0bLwgCAAAACTEzNi44MTk3NAEOAAAABQAAAAEzAQAAAAEwAgAAAAoxMDAzNDAwNjYzAwAAAAYxMDAxODgEAAAAATIGAAAAATAHAAAAAzE2MAgAAAABMAkAAAABMQoAAAABMAsAAAALMTA4MDI3MDg3NTMMAAAAATENAAAACDEvMS8yMDE5EAAAAAoxMi8zMS8yMDE3TNgneoLU1gj61pyIgtTWCCNDSVEuSVFUUjYwNTU3NzIzNi5JUV9UUl9DTE9TRURfREFURQEAAAAUYBgkBQAAAAoxMi8zMS8yMDE4AHhjJ3qC1NYIzw+XiILU1ggvQ0lRLlhUUkE6Rk1FLklRX0VCSVREQS4xMDAwLjEyLzMxLzIwMTguLlAuVVNELkgBAAAACt4FAAIAAAALMzI5Ny43OTcxMTQBCAAAAAUAAAABMQEAAAAKMTk0NjQwNzg3NwMAAAADMTYwAgAAAAQ0MDUxBAAAAAEwBwAAAAoxMi8zMS8yMDE4CAAAAAoxMi8zMS8yMDE4CQAAAAEw8qEmeoLU1gggm5aIgtTWCDpDSVEuSVE4Nzk1NTUuSVFfVE9UQUxfUkVWXzFZUl9BTk5fR1JPV1RILkZZMjAxNi4xMi8zMS8yMDE4AQAAAMNrDQACAAAABjYuNjc4NAEIAAAABQAAAAEx</t>
  </si>
  <si>
    <t>AQAAAAoxODc5Njg4OTkwAwAAAAI1MAIAAAAENDE5NAQAAAABMAcAAAAKMTIvMzEvMjAxOAgAAAAKMTIvMzEvMjAxNgkAAAABMD9mQomC1NYIXWMPoILU1gg2Q0lRLklRMzU2NDQuSVFfRUJJVERBXzFZUl9BTk5fR1JPV1RILkZZMjAxNi4xMi8zMS8yMDE4AQAAADyLAAACAAAABjYuMjk2OAEIAAAABQAAAAExAQAAAAoxODc1ODA3Mjk5AwAAAAMxNjACAAAABDQxOTYEAAAAATAHAAAACjEyLzMxLzIwMTgIAAAACjEyLzMxLzIwMTYJAAAAATA/ZkKJgtTWCH3uDqCC1NYIJENJUS5JUTExNTU0NC5JUV9URVYuMTIvMzEvMjAxOC5VU0QuSAEAAABYwwEAAgAAAAsxODQwLjI5ODg4NQEGAAAABQAAAAExAQAAAAoxOTE5OTg2MzIwAwAAAAMxNjACAAAABjEwMDA2MAQAAAABMAcAAAAKMTIvMzEvMjAxOJIVJ3qC1NYIBMORiILU1gg1Q0lRLklRODc5NTU1LklRX0VCSVRfMVlSX0FOTl9HUk9XVEguRlkyMDE0LjEyLzMxLzIwMTgBAAAAw2sNAAIAAAAGNC4xMTIzAQgAAAAFAAAAATEBAAAACjE3ODE3MzUwMjgDAAAAAjUwAgAAAAQ0MTk3BAAAAAEwBwAAAAoxMi8zMS8yMDE4CAAAAAoxMi8zMS8yMDE0CQAAAAEwP2ZCiYLU1gjDsQ+ggtTWCDVDSVEuTllTRTpBUkEuSVFfVE9UQUxfUkVWLkZZMjAxNi4xMi8zMS8yMDE4LkwuUC5VU0QuSAEAAAA9Gy8IAgAAAAc3NDkuNzY3AQgAAAAFAAAAATEBAAAACjE4NzcxNzEzNjYD</t>
  </si>
  <si>
    <t>AAAAAzE2MAIAAAACMjgEAAAAATAHAAAACjEyLzMxLzIwMTgIAAAACjEyLzMxLzIwMTYJAAAAATD8eiZ6gtTWCCQFm4iC1NYIKENJUS5JUVRSMTQxMjcyNjE2LklRX1RSX1RBUkdFVF9UT1RBTF9SRVYBAAAAKKZrCAIAAAAEODIuNwB4Yyd6gtTWCOtdl4iC1NYIOkNJUS5JUTM1NjQ0LklRX0VCSVREQV9NQVJHSU4uRlkyMDE3LjEyLzMxLzIwMTguTEZSLlAuVVNELkgBAAAAPIsAAAIAAAAHMjIuMTMzNgEIAAAABQAAAAExAQAAAAoxODc1ODA3MjE2AwAAAAMxNjACAAAABDQwNDcEAAAAATAHAAAACjEyLzMxLzIwMTgIAAAACjEyLzMxLzIwMTcJAAAAATAwjUKJgtTWCM62DaCC1NYIIUNJUS5JUVRSMTMzODQ1MTExLklRX1RSX0JVWUVSTkFNRQEAAAB3UPoHAwAAACNBbWVyaWNhbiBSZWFsdHkgQ2FwaXRhbCBUcnVzdCwgSW5jLgCkPCd6gtTWCCBCmoiC1NYIKkNJUS5JUTExNTU0NC5JUV9NQVJLRVRDQVAuMTIvMzEvMjAxOC5VU0QuSAEAAABYwwEAAgAAAAsxOTA4LjUxNTg4NQEGAAAABQAAAAExAQAAAAoxOTE5OTg2MzIwAwAAAAMxNjACAAAABjEwMDA1NAQAAAABMAcAAAAKMTIvMzEvMjAxOJIVJ3qC1NYI++qRiILU1ggrQ0lRLk5ZU0U6QVJBLklRX1RPVEFMX1JFVi5GWTIwMTcuMTIvMzEvMjAxOAEAAAA9Gy8IAgAAAAc3NDUuMTA2AQgAAAAFAAAAATEBAAAACjE4NzcxNzEzNzgDAAAAAzE2MAIAAAACMjgE</t>
  </si>
  <si>
    <t>AAAAATAHAAAACjEyLzMxLzIwMTgIAAAACjEyLzMxLzIwMTcJAAAAATD8eiZ6gtTWCPernoiC1NYIKkNJUS5JUVRSNjA1NTc3MjM2LklRX1RSX1RBUkdFVF9FQklUX0VRX0lOQwEAAAAUYBgkAgAAAAAAeGMneoLU1gjPD5eIgtTWCB1DSVEuMC5JUV9URVYuMTIvMzEvMjAxOC5VU0QuSAUAAAAAAAAACAAAABQoSW52YWxpZCBJZGVudGlmaWVyKZIVJ3qC1NYI7TaXiILU1gg5Q0lRLklRNTAwOTQ4MjUuSVFfRUJJVF8xWVJfQU5OX0dST1dUSC4yMDAwLjUvMS8yMDE3LkxGUi5QAQAAAOli/AIDAAAAAABYGEKJgtTWCPuFEaCC1NYII0NJUS5JUVRSMjg3MjM0NTIyLklRX1RSX0NMT1NFRF9EQVRFAQAAANrZHhEFAAAACTkvMTcvMjAxNQB4Yyd6gtTWCOCEl4iC1NYINENJUS5JUTg3OTU1NS5JUV9EQVlTX0lOVkVOVE9SWV9PVVQuRlkyMDE2LjEyLzMxLzIwMTgBAAAAw2sNAAIAAAAJNTUuNDY0NzM4AQgAAAAFAAAAATEBAAAACjE4Nzk2ODg5OTADAAAAAjUwAgAAAAQ0MDM1BAAAAAEwBwAAAAoxMi8zMS8yMDE4CAAAAAoxMi8zMS8yMDE2CQAAAAEwTrRCiYLU1ggkfwyggtTWCDtDSVEuSVEyODcyMzMzMDQuSVFfRUJJVF8xWVJfQU5OX0dST1dUSC4yMDAwLjkvMTcvMjAxNS5MRlIuUAEAAAAY1R4RAwAAAAAAUj9CiYLU1giSERGggtTWCChDSVEuSVFUUjIyNDc1ODM2MS5JUV9UUl9JTVBMSUVEX0VWX0ZJTkFMAQAA</t>
  </si>
  <si>
    <t>AFmKZQ0CAAAAAzUuNQEGAAAABQAAAAI1NAEAAAAGMTAyMDQ1AgAAAAkyMjQ3NTgzNjEDAAAACTIyNDc1ODQ2MQQAAAADMTYwBgAAAAVGYWxzZWGKJ3qC1NYIQ/+ViILU1gg8Q0lRLklRMTQxMjcxODY4LklRX0VCSVRfMVlSX0FOTl9HUk9XVEguMjAwMC4xMi8zMS8yMDE1LkxGUi5QAQAAADyjawgDAAAAAADB8UGJgtTWCAD7EaCC1NYIKENJUS5JUVRSNDA0Nzc2ODk3LklRX1RSX1RBUkdFVF9UT1RBTF9SRVYBAAAAwWcgGAIAAAAAAHhjJ3qC1NYIp0eYiILU1gg0Q0lRLklRMzU2NDQuSVFfRUJJVF8xWVJfQU5OX0dST1dUSC5GWTIwMTQuMTIvMzEvMjAxOAEAAAA8iwAAAgAAAActMi41MTYzAQgAAAAFAAAAATEBAAAACjE4MjkyNDUyMjMDAAAAAzE2MAIAAAAENDE5NwQAAAABMAcAAAAKMTIvMzEvMjAxOAgAAAAKMTIvMzEvMjAxNAkAAAABMD9mQomC1NYIZ4oPoILU1gg2Q0lRLk5ZU0U6RFZBLklRX1RPVEFMX0RFQlQuMjAwMC4xMi8zMS8yMDE4LkxGUi5GLlVTRC5IAQAAADyLAAACAAAACTEwMjI0LjczOAEIAAAABQAAAAExAQAAAAoxOTIwMzE4NDM2AwAAAAMxNjACAAAABDQxNzMEAAAAATAHAAAACjEyLzMxLzIwMTgIAAAACTkvMzAvMjAxOAkAAAABMPKhJnqC1NYIoMeUiILU1ggzQ0lRLklRNDA0Nzc2ODE5LklRX0VCSVRfTUFSR0lOLjIwMDAuOS8xNS8yMDE2LkxGUi5QAQAAAHNnIBgDAAAAAABSP0KJ</t>
  </si>
  <si>
    <t>gtTWCPLrEKCC1NYIK0NJUS5OWVNFOkRWQS5JUV9UT1RBTF9SRVYuRlkyMDE2LjEyLzMxLzIwMTgBAAAAPIsAAAIAAAAIMTA2OTUuNzkBCAAAAAUAAAABMQEAAAAKMTg3NTgwNzI5OQMAAAADMTYwAgAAAAIyOAQAAAABMAcAAAAKMTIvMzEvMjAxOAgAAAAKMTIvMzEvMjAxNgkAAAABML/HJnqC1NYIpA6eiILU1ggjQ0lRLk5ZU0U6QVJBLklRX0JFVEFfMllSLjEyLzMxLzIwMTgBAAAAPRsvCAIAAAAQMS4xMDM0MjY2MDI1NTI5OQBM2Cd6gtTWCKDHlIiC1NYIKENJUS5JUVRSMjA4MzQzODQzLklRX1RSX1RBUkdFVF9UT1RBTF9SRVYBAAAAIxNrDAIAAAAENzQuMwCkPCd6gtTWCFp/mYiC1NYIQUNJUS5OWVNFOkFSQS5JUV9FQklUX01FRElBTl9FU1RfQ0lRLkZZMjAyMi4xMi8zMS8yMDE4LkNPTi5GLlVTRC5IAQAAAD0bLwgDAAAAAABhiid6gtTWCEAboYiC1NYIHENJUS5OWVNFOkRWQS5JUV9DT01QQU5ZX05BTUUBAAAAPIsAAAMAAAALRGFWaXRhIEluYy4A4O8meoLU1ggX4piIgtTWCClDSVEuREI6RlJFLklRX1RPVEFMX1JFVi5GWTIwMTcuMTIvMzEvMjAxOAEAAADDaw0AAgAAAAs0MDY4OS4yNDExMgEIAAAABQAAAAExAQAAAAoxODc5Njg4OTkzAwAAAAMxNjACAAAAAjI4BAAAAAEwBwAAAAoxMi8zMS8yMDE4CAAAAAoxMi8zMS8yMDE3CQAAAAEw/HomeoLU1gix+Z6IgtTWCEJDSVEuREI6RlJFLklRX1JF</t>
  </si>
  <si>
    <t>VkVOVUVfTUVESUFOX0VTVF9DSVEuRlkyMDE4LjEyLzMxLzIwMTguQ09OLkYuVVNELkgBAAAAw2sNAAIAAAAQMzgxNzYuOTIwNjYyNDU5NwEOAAAABQAAAAEzAQAAAAEwAgAAAAoxMDAwMzg4NDY0AwAAAAYxMDAxODEEAAAAATMGAAAAATAHAAAAAzE2MAgAAAABMAkAAAABMQoAAAABMAsAAAALMTEyMTU3MzM2MDEMAAAAATENAAAACDEvMS8yMDE5EAAAAAoxMi8zMS8yMDE4TNgneoLU1ggvFJyIgtTWCC1DSVEuTllTRTpBUkEuSVFfRUJJVC4yMDAwLjEyLzMxLzIwMTguLlAuVVNELkgBAAAAPRsvCAIAAAAFMTM0LjkBCAAAAAUAAAABMQEAAAAKMTkyMTE2OTQ1NgMAAAADMTYwAgAAAAM0MDAEAAAAATAHAAAACjEyLzMxLzIwMTgIAAAACTkvMzAvMjAxOAkAAAABMPKhJnqC1NYIIJuWiILU1gg1Q0lRLklRODc5NTU1LklRX0VCSVRfMVlSX0FOTl9HUk9XVEguRlkyMDEzLjEyLzMxLzIwMTgBAAAAw2sNAAIAAAAHLTAuMjMzNQEIAAAABQAAAAExAQAAAAoxNzI0MjIwNzkzAwAAAAI1MAIAAAAENDE5NwQAAAABMAcAAAAKMTIvMzEvMjAxOAgAAAAKMTIvMzEvMjAxMwkAAAABMD9mQomC1NYIXWMPoILU1gg5Q0lRLklRODc5NTU1LklRX0VCSVRfTUFSR0lOLkZZMjAxNi4xMi8zMS8yMDE4LkxGUi5QLlVTRC5IAQAAAMNrDQACAAAABzE0LjQ4NTQBCAAAAAUAAAABMQEAAAAKMTg3OTY4ODk5MAMAAAACNTACAAAABDQw</t>
  </si>
  <si>
    <t>NTMEAAAAATAHAAAACjEyLzMxLzIwMTgIAAAACjEyLzMxLzIwMTYJAAAAATAwjUKJgtTWCGmQDaCC1NYIQUNJUS5JUTExNTU0NC5JUV9FQklUX01FRElBTl9FU1RfQ0lRLkZZMjAyMi4xMi8zMS8yMDE4LkNPTi5GLlVTRC5IAQAAAFjDAQADAAAAAABhiid6gtTWCEAboYiC1NYIIkNJUS5EQjpGUkUuSVFfQlVTSU5FU1NfREVTQ1JJUFRJT04BAAAAw2sNAAMAAACEDUZyZXNlbml1cyBTRSAmIENvLiBLR2FBLCBhIGhlYWx0aCBjYXJlIGdyb3VwLCBwcm92aWRlcyBwcm9kdWN0cyBhbmQgc2VydmljZXMgZm9yIGRpYWx5c2lzLCBob3NwaXRhbHMsIGFuZCBvdXRwYXRpZW50IG1lZGljYWwgY2FyZSB3b3JsZHdpZGUuIFRoZSBjb21wYW55IG9wZXJhdGVzIHRocm91Z2ggZm91ciBzZWdtZW50czogRnJlc2VuaXVzIE1lZGljYWwgQ2FyZSwgRnJlc2VuaXVzIEthYmksIEZyZXNlbml1cyBIZWxpb3MsIGFuZCBGcmVzZW5pdXMgVmFtZWQuIFRoZSBGcmVzZW5pdXMgTWVkaWNhbCBDYXJlIHNlZ21lbnQgb2ZmZXJzIHByb2R1Y3RzIGFuZCBzZXJ2aWNlcyBmb3IgcGF0aWVudHMgd2l0aCBjaHJvbmljIGtpZG5leSBmYWlsdXJlLiBUaGlzIHNlZ21lbnQgb2ZmZXJzIGRpYWx5emVycywgaGVtb2RpYWx5c2lzIG1hY2hpbmVzLCBhbmQgcmVsYXRlZCBkaXNwb3NhYmxlIHByb2R1Y3RzLCBhcyB3ZWxsIGFzIGRpYWx5c2lz</t>
  </si>
  <si>
    <t>LXJlbGF0ZWQgc2VydmljZXMuIFRoZSBGcmVzZW5pdXMgS2FiaSBzZWdtZW50IHNwZWNpYWxpemVzIGluIHRoZSB0aGVyYXB5IGFuZCBjYXJlIG9mIGNocm9uaWNhbGx5IGFuZCBjcml0aWNhbGx5IGlsbCBwYXRpZW50cy4gVGhpcyBzZWdtZW50IG9mZmVycyBJViBkcnVncywgaW5jbHVkaW5nIGludHJhdmVub3VzbHkgYWRtaW5pc3RlcmVkIGdlbmVyaWMgYW5lc3RoZXRpY3MsIGFuYWxnZXNpY3MsIGFudGktaW5mZWN0aXZlcywgYW5kIGRydWdzIGZvciB0aGUgdHJlYXRtZW50IG9mIG9uY29sb2dpY2FsIGFuZCBvdGhlciBjcml0aWNhbCBkaXNlYXNlczsgcGFyZW50ZXJhbCBhbmQgZW50ZXJhbCBudXRyaXRpb24gcHJvZHVjdHM7IGluZnVzaW9uIHNvbHV0aW9ucyBhbmQgYmxvb2Qgdm9sdW1lIHN1YnN0aXR1dGVzIGZvciBpbmZ1c2lvbiB0aGVyYXB5OyBpbmZ1c2lvbiBhbmQgbnV0cml0aW9uIHB1bXBzLCBhcyB3ZWxsIGFzIGNvbnN1bWFibGVzOyBhbmQgcHJvZHVjdHMgdXNlZCBpbiB0aGUgY29sbGVjdGlvbiBhbmQgcHJvY2Vzc2luZyBvZiBibG9vZCBjb21wb25lbnRzLCBhcyB3ZWxsIGFzIGluIHRyYW5zZnVzaW9uIG1lZGljaW5lLiBUaGUgRnJlc2VuaXVzIEhlbGlvcyBzZWdtZW50IG9wZXJhdGVzIDg2IGhvc3BpdGFscywgMTI0IG91dHBhdGllbnQgY2xpbmljcywgYW5kIDEwIHByZXZlbnRp</t>
  </si>
  <si>
    <t>b24gY2VudGVycy4gVGhlIEZyZXNlbml1cyBWYW1lZCBzZWdtZW50IG1hbmFnZXMgcHJvamVjdHMgYW5kIHByb3ZpZGVzIHNlcnZpY2VzIGZvciBob3NwaXRhbHMgYW5kIG90aGVyIGhlYWx0aCBjYXJlIGZhY2lsaXRpZXMuIFRoaXMgc2VnbWVudCBvZmZlcnMgcHJvamVjdCBkZXZlbG9wbWVudCwgcGxhbm5pbmcsIGFuZCB0dXJua2V5IGNvbnN0cnVjdGlvbiBzZXJ2aWNlcywgYXMgd2VsbCBhcyBtYWludGVuYW5jZSwgdGVjaG5pY2FsIG1hbmFnZW1lbnQsIGFuZCBvcGVyYXRpb25hbCBtYW5hZ2VtZW50IHNlcnZpY2VzLiBUaGUgY29tcGFueSB3YXMgZm9ybWVybHkga25vd24gYXMgRnJlc2VuaXVzIFNFIGFuZCBjaGFuZ2VkIGl0cyBuYW1lIHRvIEZyZXNlbml1cyBTRSAmIENvLiBLR2FBIGluIEphbnVhcnkgMjAxMS4gRnJlc2VuaXVzIFNFICYgQ28uIEtHYUEgd2FzIGZvdW5kZWQgaW4gMTkxMiBhbmQgaXMgaGVhZHF1YXJ0ZXJlZCBpbiBCYWQgSG9tYnVyZyB2b3IgZGVyIEjDtmhlLCBHZXJtYW55LgDg7yZ6gtTWCO0RkoiC1NYIIUNJUS5JUVRSMTM4NjkxNjk1LklRX1RSX0JVWUVSTkFNRQEAAABvREQIAwAAACRGcmVzZW5pdXMgTWVkaWNhbCBDYXJlIEFHICYgQ28uIEtHYUEAeGMneoLU1gjSq5eIgtTWCCxDSVEuSVFUUjE0MTI3MjYxNi5JUV9UUl9UT1RBTF9HUk9TU19UVl9GSU5BTAEAAAAopmsI</t>
  </si>
  <si>
    <t>AgAAAAI5MQB4Yyd6gtTWCCrCloiC1NYIPkNJUS5JUTEzNzMwNDg5My5JUV9FQklUREFfTUFSR0lOLkZZMjAxNi4xMi8zMS8yMDE4LkxGUi5QLlVTRC5IAQAAAD0bLwgCAAAABjIyLjg1MgEIAAAABQAAAAExAQAAAAoxODc3MTcxMzY2AwAAAAMxNjACAAAABDQwNDcEAAAAATAHAAAACjEyLzMxLzIwMTgIAAAACjEyLzMxLzIwMTYJAAAAATAwjUKJgtTWCJ15DqCC1NYIIkNJUS5JUVRSNDA0Nzc2ODk3LklRX1RSX1RBUkdFVE5BTUUBAAAAwWcgGAMAAABLTWFqb3JpdHkgc3Rha2VzIGluIENsYXJpb24gRGlhbHlzaXMgQ2VudGVyIEFuZCBPaWwgQ2l0eSBEaWFseXNpcyBDZW50ZXIgTExDAHhjJ3qC1NYIx9KXiILU1ghEQ0lRLk5ZU0U6RFZBLklRX1JFVkVOVUVfTUVESUFOX0VTVF9DSVEuRlkyMDIxLjEyLzMxLzIwMTguQ09OLkYuVVNELkgBAAAAPIsAAAIAAAAFMTM1OTYBDgAAAAUAAAABMwEAAAABMAIAAAAKMTAwMTY5MzY0NQMAAAAGMTAwMTgxBAAAAAEyBgAAAAEwBwAAAAMxNjAIAAAAATAJAAAAATEKAAAAATALAAAACzExMTc2NjU3OTkyDAAAAAExDQAAAAgxLzEvMjAxORAAAAAKMTIvMzEvMjAxOFaxJ3qC1NYIr5WfiILU1gg5Q0lRLklRMzU2NDQuSVFfVE9UQUxfUkVWXzFZUl9BTk5fR1JPV1RILkZZMjAxNi4xMi8zMS8yMDE4AQAAADyLAAACAAAABjcuMjQ3NAEIAAAABQAAAAExAQAAAAoxODc1ODA3</t>
  </si>
  <si>
    <t>Mjk5AwAAAAMxNjACAAAABDQxOTQEAAAAATAHAAAACjEyLzMxLzIwMTgIAAAACjEyLzMxLzIwMTYJAAAAATA/ZkKJgtTWCGeKD6CC1NYIHENJUS4wLklRX0JFVEFfMllSLjEyLzMxLzIwMTgFAAAAAAAAAAgAAAAUKEludmFsaWQgSWRlbnRpZmllcilB/yd6gtTWCEDNmYiC1NYILENJUS5JUVRSMzA5ODczNTIxLklRX1RSX1RBUkdFVF9FQklUREFfRVFfSU5DAQAAAHFLeBICAAAAAACkPCd6gtTWCP7dmoiC1NYIOENJUS5JUTM1NjQ0LklRX0VCSVRfTUFSR0lOLkZZMjAxNS4xMi8zMS8yMDE4LkxGUi5QLlVTRC5IAQAAADyLAAACAAAABjE2LjI2MwEIAAAABQAAAAExAQAAAAoxODc1ODA3Mjg5AwAAAAMxNjACAAAABDQwNTMEAAAAATAHAAAACjEyLzMxLzIwMTgIAAAACjEyLzMxLzIwMTUJAAAAATAwjUKJgtTWCM62DaCC1NYIK0NJUS5JUTExNTU0NC5JUV9UT1RBTF9SRVYuRlkyMDE0LjEyLzMxLzIwMTgBAAAAWMMBAAIAAAAHMzAxLjUwMQEIAAAABQAAAAExAQAAAAoxODMwMTY1NjY5AwAAAAMxNjACAAAAAjI4BAAAAAEwBwAAAAoxMi8zMS8yMDE4CAAAAAoxMi8zMS8yMDE0CQAAAAEw/HomeoLU1gg+7ZuIgtTWCDpDSVEuSVE4Nzk1NTUuSVFfVE9UQUxfUkVWXzFZUl9BTk5fR1JPV1RILkZZMjAxNy4xMi8zMS8yMDE4AQAAAMNrDQACAAAABzE0Ljk4MDgBCAAAAAUAAAABMQEAAAAKMTg3OTY4ODk5MwMAAAAC</t>
  </si>
  <si>
    <t>NTACAAAABDQxOTQEAAAAATAHAAAACjEyLzMxLzIwMTgIAAAACjEyLzMxLzIwMTcJAAAAATA/ZkKJgtTWCAYWD6CC1NYINENJUS5JUTExNTU0NC5JUV9EQVlTX0lOVkVOVE9SWV9PVVQuRlkyMDE3LjEyLzMxLzIwMTgBAAAAWMMBAAIAAAAJNzcuNzkwNjI1AQgAAAAFAAAAATEBAAAACjE4NzQ4MDUwMjMDAAAAAzE2MAIAAAAENDAzNQQAAAABMAcAAAAKMTIvMzEvMjAxOAgAAAAKMTIvMzEvMjAxNwkAAAABME60QomC1NYINuULoILU1gggQ0lRLklRVFIzMDk4OTU0NjMuSVFfVFJfQU5OX0RBVEUBAAAAJ6F4EgUAAAAJOC8yMi8yMDE1AHhjJ3qC1NYI612XiILU1gg1Q0lRLklRODc5NTU1LklRX0VCSVRfMVlSX0FOTl9HUk9XVEguRlkyMDE1LjEyLzMxLzIwMTgBAAAAw2sNAAIAAAAGMjQuNDM4AQgAAAAFAAAAATEBAAAACjE4MzMwNDA4NTkDAAAAAjUwAgAAAAQ0MTk3BAAAAAEwBwAAAAoxMi8zMS8yMDE4CAAAAAoxMi8zMS8yMDE1CQAAAAEwMI1CiYLU1gisUg6ggtTWCEFDSVEuTllTRTpEVkEuSVFfRUJJVF9NRURJQU5fRVNUX0NJUS5GWTIwMjIuMTIvMzEvMjAxOC5DT04uRi5VU0QuSAEAAAA8iwAAAgAAAAQyMjg4AQ4AAAAFAAAAATMBAAAAATACAAAACjEwMDE2OTM2NTADAAAABjEwMDIxNgQAAAABMgYAAAABMAcAAAADMTYwCAAAAAEwCQAAAAExCgAAAAEwCwAAAAsxMTE3NjY1NzYxMwwAAAABMQ0AAAAI</t>
  </si>
  <si>
    <t>MS8xLzIwMTkQAAAACjEyLzMxLzIwMThhiid6gtTWCC1CoYiC1NYIIUNJUS5JUVRSMjI0NzU4MzYxLklRX1RSX0JVWUVSTkFNRQEAAABZimUNAwAAABtNZXJpdCBNZWRpY2FsIFN5c3RlbXMsIEluYy4AYYoneoLU1gh1sZWIgtTWCDFDSVEuSVE0OTM1OTU2LklRX0VCSVRfTUFSR0lOLjIwMDAuMi8yOC8yMDEyLkxGUi5QAQAAABRRSwADAAAAAADB8UGJgtTWCAD7EaCC1NYIPkNJUS5JUTEzNzMwNDg5My5JUV9FQklUREFfTUFSR0lOLkZZMjAxNC4xMi8zMS8yMDE4LkxGUi5QLlVTRC5IAQAAAD0bLwgCAAAABzI5LjkzNTkBCAAAAAUAAAABMQEAAAAKMTgzMTEwNDE3OQMAAAADMTYwAgAAAAQ0MDQ3BAAAAAEwBwAAAAoxMi8zMS8yMDE4CAAAAAoxMi8zMS8yMDE0CQAAAAEwUj9CiYLU1ggsJhCggtTWCDpDSVEuSVExMzczMDQ4OTMuSVFfRUJJVERBXzFZUl9BTk5fR1JPV1RILkZZMjAxNy4xMi8zMS8yMDE4AQAAAD0bLwgCAAAABy02LjA0NzgBCAAAAAUAAAABMQEAAAAKMTg3NzE3MTM3OAMAAAADMTYwAgAAAAQ0MTk2BAAAAAEwBwAAAAoxMi8zMS8yMDE4CAAAAAoxMi8zMS8yMDE3CQAAAAEwMI1CiYLU1gideQ6ggtTWCDRDSVEuSVEzODQ1MjIuSVFfREFZU19JTlZFTlRPUllfT1VULkZZMjAxNS4xMi8zMS8yMDE4AQAAAAreBQACAAAACDQwLjE1OTQ5AQgAAAAFAAAAATEBAAAACjE4NzYwNzE3ODIDAAAAAjUw</t>
  </si>
  <si>
    <t>AgAAAAQ0MDM1BAAAAAEwBwAAAAoxMi8zMS8yMDE4CAAAAAoxMi8zMS8yMDE1CQAAAAEwMI1CiYLU1ggg9AyggtTWCDZDSVEuWFRSQTpGTUUuSVFfVE9UQUxfREVCVC4yMDAwLjEyLzMxLzIwMTguTEZSLkYuVVNELkgBAAAACt4FAAIAAAALODU2Mi44NjA0NjMBCAAAAAUAAAABMQEAAAAKMTkxNzI4NDQ2NwMAAAADMTYwAgAAAAQ0MTczBAAAAAEwBwAAAAoxMi8zMS8yMDE4CAAAAAk5LzMwLzIwMTgJAAAAATDyoSZ6gtTWCJ7ulIiC1NYINUNJUS5JUTM4NDUyMi5JUV9FQklUXzFZUl9BTk5fR1JPV1RILkZZMjAxNi4xMi8zMS8yMDE4AQAAAAreBQACAAAABjkuMDk5OAEIAAAABQAAAAExAQAAAAoxODc2MDcxNzgzAwAAAAI1MAIAAAAENDE5NwQAAAABMAcAAAAKMTIvMzEvMjAxOAgAAAAKMTIvMzEvMjAxNgkAAAABMDCNQomC1NYIzN0NoILU1ggmQ0lRLkRCOkZSRS5JUV9FQklUREEuRlkyMDEzLjEyLzMxLzIwMTgBAAAAw2sNAAIAAAALNTI3OS45MDA4NDYBCAAAAAUAAAABMQEAAAAKMTcyNDIyMDc5MwMAAAADMTYwAgAAAAQ0MDUxBAAAAAEwBwAAAAoxMi8zMS8yMDE4CAAAAAoxMi8zMS8yMDEzCQAAAAEw/HomeoLU1ggvFJyIgtTWCDdDSVEuSVE4Nzk1NTUuSVFfRUJJVERBXzFZUl9BTk5fR1JPV1RILkZZMjAxMy4xMi8zMS8yMDE4AQAAAMNrDQACAAAABjEuNTg5OAEIAAAABQAAAAExAQAAAAoxNzI0MjIw</t>
  </si>
  <si>
    <t>NzkzAwAAAAI1MAIAAAAENDE5NgQAAAABMAcAAAAKMTIvMzEvMjAxOAgAAAAKMTIvMzEvMjAxMwkAAAABMFI/QomC1NYI4ZsQoILU1gg1Q0lRLklRMTM3MzA0ODkzLklRX0RBWVNfUEFZQUJMRV9PVVQuRlkyMDE1LjEyLzMxLzIwMTgBAAAAPRsvCAIAAAAIMjAuODU5MDIBCAAAAAUAAAABMQEAAAAKMTg3NzE3MTM2MwMAAAADMTYwAgAAAAQ0MTgzBAAAAAEwBwAAAAoxMi8zMS8yMDE4CAAAAAoxMi8zMS8yMDE1CQAAAAEwTrRCiYLU1ggkfwyggtTWCC5DSVEuSVExMTU1NDQuSVFfTEFTVFNBTEVQUklDRS4xMi8zMS8yMDE4LlVTRC5IAQAAAFjDAQACAAAABTI4LjYyAB9UJnqC1NYIwiCYiILU1gg7Q0lRLklRMzg0NTIyLklRX0VCSVREQV9NQVJHSU4uRlkyMDEzLjEyLzMxLzIwMTguTEZSLlAuVVNELkgBAAAACt4FAAIAAAAHMTkuMzI0OAEIAAAABQAAAAExAQAAAAoxNzc3ODI1NzMxAwAAAAMxNjACAAAABDQwNDcEAAAAATAHAAAACjEyLzMxLzIwMTgIAAAACjEyLzMxLzIwMTMJAAAAATA/ZkKJgtTWCCr/D6CC1NYIKkNJUS5JUVRSMjI0NzU4MzYxLklRX1RSX1RBUkdFVF9FQklUX0VRX0lOQwEAAABZimUNAgAAAAAApDwneoLU1gj+3ZqIgtTWCDRDSVEuSVExNDEyNzE4NjguSVFfRUJJVF9NQVJHSU4uMTk5OC4xMi8zMS8yMDE1LkxGUi5QAQAAADyjawgDAAAAAADB8UGJgtTWCCTUEaCC1NYII0NJUS5JUVRS</t>
  </si>
  <si>
    <t>MjI0NzU4MzYxLklRX1RSX0NMT1NFRF9EQVRFAQAAAFmKZQ0FAAAACjExLzI5LzIwMTIAeGMneoLU1ggqwpaIgtTWCDpDSVEuSVEzNTY0NC5JUV9FQklUREFfTUFSR0lOLkZZMjAxNC4xMi8zMS8yMDE4LkxGUi5QLlVTRC5IAQAAADyLAAACAAAABjE4Ljc2MwEIAAAABQAAAAExAQAAAAoxODI5MjQ1MjIzAwAAAAMxNjACAAAABDQwNDcEAAAAATAHAAAACjEyLzMxLzIwMTgIAAAACjEyLzMxLzIwMTQJAAAAATA/ZkKJgtTWCDHYD6CC1NYILUNJUS5YVFJBOkZNRS5JUV9FQklULjIwMDAuMTIvMzEvMjAxOC4uUC5VU0QuSAEAAAAK3gUAAgAAAAsyNDY3Ljg4Mjk4NgEIAAAABQAAAAExAQAAAAoxOTQ2NDA4OTU2AwAAAAMxNjACAAAAAzQwMAQAAAABMAcAAAAKMTIvMzEvMjAxOAgAAAAKMTIvMzEvMjAxOAkAAAABMPx6JnqC1NYIqyubiILU1ggsQ0lRLkRCOkZSRS5JUV9MQVNUU0FMRVBSSUNFLjEyLzMxLzIwMTguVVNELkgBAAAAw2sNAAIAAAAJNDguMzM5ODIxAB9UJnqC1NYIi7yYiILU1gg3Q0lRLklRMTM3MzA0ODkzLklRX0RBWVNfSU5WRU5UT1JZX09VVC5GWTIwMTUuMTIvMzEvMjAxOAEAAAA9Gy8IAgAAAAg0LjI1Njk5NQEIAAAABQAAAAExAQAAAAoxODc3MTcxMzYzAwAAAAMxNjACAAAABDQwMzUEAAAAATAHAAAACjEyLzMxLzIwMTgIAAAACjEyLzMxLzIwMTUJAAAAATBOtEKJgtTWCBbNDKCC1NYIIUNJ</t>
  </si>
  <si>
    <t>US5JUVRSMzA5ODk1NDYzLklRX1RSX1RBUkdFVF9JRAEAAAAnoXgSAwAAAAtJUTE0MTI3MTg2OABhiid6gtTWCNiXk4iC1NYIO0NJUS5JUTQwNDc3NjgxOS5JUV9FQklUXzFZUl9BTk5fR1JPV1RILjE5OTkuOS8xNS8yMDE2LkxGUi5QAQAAAHNnIBgDAAAAAABSP0KJgtTWCPLrEKCC1NYIRENJUS5JUTExNTU0NC5JUV9SRVZFTlVFX01FRElBTl9FU1RfQ0lRLkZZMjAxOS4xMi8zMS8yMDE4LkNPTi5GLlVTRC5IAQAAAFjDAQACAAAACDQ5MS4yNDQ1AQ4AAAAFAAAAATMBAAAAATACAAAACjEwMDA5OTQyNjEDAAAABjEwMDE4MQQAAAABMgYAAAABMAcAAAADMTYwCAAAAAEwCQAAAAExCgAAAAEwCwAAAAsxMTE3MzYyMTU0NgwAAAABMQ0AAAAIMS8xLzIwMTkQAAAACjEyLzMxLzIwMThM2Cd6gtTWCNpLnYiC1NYIPENJUS5JUTE0MTI3MTg2OC5JUV9FQklUXzFZUl9BTk5fR1JPV1RILjE5OTkuMTAvMzEvMjAxMS5MRlIuUAEAAAA8o2sIAwAAAAAAWBhCiYLU1ggyOBGggtTWCCxDSVEuSVFUUjMwOTg3MzUyMS5JUV9UUl9UT1RBTF9HUk9TU19UVl9GSU5BTAEAAABxS3gSAgAAAAMzNjABBgAAAAUAAAACNTQBAAAABjEwMjA0MwIAAAAJMzA5ODczNTIxAwAAAAk0MzA1MTAwNjcEAAAAAzE2MAYAAAAFRmFsc2WkPCd6gtTWCKi1moiC1NYIP0NJUS5EQjpGUkUuSVFfRUJJVF9NRURJQU5fRVNUX0NJUS5GWTIwMTguMTIv</t>
  </si>
  <si>
    <t>MzEvMjAxOC5DT04uRi5VU0QuSAEAAADDaw0AAgAAABA1Mjg3LjYyMTI5NTU0Mzg3AQ4AAAAFAAAAATMBAAAAATACAAAACjEwMDAzODg0NjQDAAAABjEwMDIxNgQAAAABMwYAAAABMAcAAAADMTYwCAAAAAEwCQAAAAExCgAAAAEwCwAAAAsxMTIxNTczMzU5NQwAAAABMQ0AAAAIMS8xLzIwMTkQAAAACjEyLzMxLzIwMThWsSd6gtTWCPernoiC1NYIKUNJUS5EQjpGUkUuSVFfVE9UQUxfUkVWLkZZMjAxNi4xMi8zMS8yMDE4AQAAAMNrDQACAAAACzMxMTEwLjUyNDY2AQgAAAAFAAAAATEBAAAACjE4Nzk2ODg5OTADAAAAAzE2MAIAAAACMjgEAAAAATAHAAAACjEyLzMxLzIwMTgIAAAACjEyLzMxLzIwMTYJAAAAATDyoSZ6gtTWCKQOnoiC1NYIIUNJUS5JUVRSMTE5MTMwNzQ1LklRX1RSX0JVWUVSTkFNRQEAAAB5yhkHAwAAAB1EYVZpdGEgSW5jLiAobmthOkRhVml0YSBJbmMuKQBhiid6gtTWCFbYlYiC1NYIKENJUS5YVFJBOkZNRS5JUV9FQklUREEuRlkyMDE2LjEyLzMxLzIwMTgBAAAACt4FAAIAAAALMzIyMS41NzYwNTkBCAAAAAUAAAABMQEAAAAKMTg3NjA3MTc4MwMAAAADMTYwAgAAAAQ0MDUxBAAAAAEwBwAAAAoxMi8zMS8yMDE4CAAAAAoxMi8zMS8yMDE2CQAAAAEw/HomeoLU1gi4R5+IgtTWCDxDSVEuMC5JUV9NSU5PUklUWV9JTlRFUkVTVF9UT1RBTC4yMDAwLjEyLzMxLzIwMTguTEZSLkYuVVNELkgF</t>
  </si>
  <si>
    <t>AAAAAAAAAAgAAAAUKEludmFsaWQgSWRlbnRpZmllcim/xyZ6gtTWCO02l4iC1NYILENJUS5JUVRSMTQxMjcyNjE2LklRX1RSX1RBUkdFVF9FQklUREFfRVFfSU5DAQAAACimawgCAAAAAAB4Yyd6gtTWCClNloiC1NYIO0NJUS5JUTM4NDUyMi5JUV9FQklUREFfTUFSR0lOLkZZMjAxNS4xMi8zMS8yMDE4LkxGUi5QLlVTRC5IAQAAAAreBQACAAAABzE4LjEzMjcBCAAAAAUAAAABMQEAAAAKMTg3NjA3MTc4MgMAAAACNTACAAAABDQwNDcEAAAAATAHAAAACjEyLzMxLzIwMTgIAAAACjEyLzMxLzIwMTUJAAAAATA/ZkKJgtTWCIzHDqCC1NYIL0NJUS5JUTM1NjQ0LklRX0RBWVNfU0FMRVNfT1VULkZZMjAxNi4xMi8zMS8yMDE4AQAAADyLAAACAAAABzYzLjYyOTEBCAAAAAUAAAABMQEAAAAKMTg3NTgwNzI5OQMAAAADMTYwAgAAAAQ0MDQyBAAAAAEwBwAAAAoxMi8zMS8yMDE4CAAAAAoxMi8zMS8yMDE2CQAAAAEwMI1CiYLU1gj5Gg2ggtTWCERDSVEuSVExMTU1NDQuSVFfUkVWRU5VRV9NRURJQU5fRVNUX0NJUS5GWTIwMTguMTIvMzEvMjAxOC5DT04uRi5VU0QuSAEAAABYwwEAAgAAAAc0MzQuMTk0AQ4AAAAFAAAAATMBAAAAATACAAAACjEwMDA5OTQyNTYDAAAABjEwMDE4MQQAAAABMgYAAAABMAcAAAADMTYwCAAAAAEwCQAAAAExCgAAAAEwCwAAAAsxMTE2OTkwNzkwNwwAAAABMQ0AAAAIMS8xLzIwMTkQAAAA</t>
  </si>
  <si>
    <t>CjEyLzMxLzIwMThM2Cd6gtTWCBZinIiC1NYILENJUS5JUVRSNTYyMDkzNDcwLklRX1RSX1RBUkdFVF9FQklUREFfRVFfSU5DAQAAAJ7dgCECAAAAAAB4Yyd6gtTWCMn5l4iC1NYIJkNJUS5JUTExNTU0NC5JUV9FQklULkZZMjAxNC4xMi8zMS8yMDE4AQAAAFjDAQACAAAABy0yMi4xODcBCAAAAAUAAAABMQEAAAAKMTgzMDE2NTY2OQMAAAADMTYwAgAAAAM0MDAEAAAAATAHAAAACjEyLzMxLzIwMTgIAAAACjEyLzMxLzIwMTQJAAAAATD8eiZ6gtTWCASwnIiC1NYIOkNJUS5JUTM4NDUyMi5JUV9UT1RBTF9SRVZfMVlSX0FOTl9HUk9XVEguRlkyMDE3LjEyLzMxLzIwMTgBAAAACt4FAAIAAAAGNy4zMjU3AQgAAAAFAAAAATEBAAAACjE4NzYwNzE3ODkDAAAAAjUwAgAAAAQ0MTk0BAAAAAEwBwAAAAoxMi8zMS8yMDE4CAAAAAoxMi8zMS8yMDE3CQAAAAEwP2ZCiYLU1giWoA6ggtTWCC1DSVEuREI6RlJFLklRX0VCSVREQS4xMDAwLjEyLzMxLzIwMTguLlAuVVNELkgBAAAAw2sNAAIAAAALNjQ4MS41NjYyOTIBCAAAAAUAAAABMQEAAAAKMTk1MDQ0MTkwOQMAAAADMTYwAgAAAAQ0MDUxBAAAAAEwBwAAAAoxMi8zMS8yMDE4CAAAAAoxMi8zMS8yMDE4CQAAAAEw8qEmeoLU1gjSq5eIgtTWCCpDSVEuSVFUUjIwODM0Mzg0My5JUV9UUl9UQVJHRVRfRUJJVF9FUV9JTkMBAAAAIxNrDAIAAAAAAHhjJ3qC1NYISG2YiILU</t>
  </si>
  <si>
    <t>1gg/Q0lRLkRCOkZSRS5JUV9FQklUX01FRElBTl9FU1RfQ0lRLkZZMjAyMC4xMi8zMS8yMDE4LkNPTi5GLlVTRC5IAQAAAMNrDQACAAAACzU3MjQuNzUzODM1AQ4AAAAFAAAAATMBAAAAATACAAAACjEwMDAzODg0NjYDAAAABjEwMDIxNgQAAAABMwYAAAABMAcAAAADMTYwCAAAAAEwCQAAAAExCgAAAAEwCwAAAAsxMTIxNTczMzQ1NwwAAAABMQ0AAAAIMS8xLzIwMTkQAAAACjEyLzMxLzIwMThhiid6gtTWCHJYoIiC1NYIKUNJUS5JUVRSNTYyMDkzNDcwLklRX0JVU0lORVNTX0RFU0NSSVBUSU9OAQAAAJLdgCEDAAAAugFBcyBvZiBNYXJjaCAzMSwgMjAxOCwgT25lIERpYWx5c2lzIENlbnRlciBpbiBVbml0ZWQgU3RhdGVzIHdhcyBhY3F1aXJlZCBieSBEYVZpdGEgSW5jLiBPbmUgRGlhbHlzaXMgQ2VudGVyIGluIFVuaXRlZCBTdGF0ZXMgY29tcHJpc2VzIGRpYWx5c2lzIGNlbnRlciBhbmQgaXMgbG9jYXRlZCBpbiB0aGUgVW5pdGVkIFN0YXRlcy4A4O8meoLU1gjtEZKIgtTWCCBDSVEuSVFUUjEwMDc3NDU2Mi5JUV9UUl9BTk5fREFURQEAAACisgEGBQAAAAk0LzE0LzIwMTAApDwneoLU1ggSaZqIgtTWCCtDSVEuWFRSQTpGTUUuSVFfVE9UQUxfUkVWLkZZMjAxNS4xMi8zMS8yMDE4AQAAAAreBQACAAAADDE2Nzg1LjA3NTIxNgEIAAAABQAAAAExAQAAAAoxODc2MDcxNzgyAwAAAAMxNjACAAAAAjI4BAAA</t>
  </si>
  <si>
    <t>AAEwBwAAAAoxMi8zMS8yMDE4CAAAAAoxMi8zMS8yMDE1CQAAAAEw/HomeoLU1ggTiZyIgtTWCDtDSVEuSVE1NjIwOTM0NTguSVFfRUJJVF8xWVJfQU5OX0dST1dUSC4yMDAwLjMvMzEvMjAxOC5MRlIuUAEAAACS3YAhAwAAAAAAWBhCiYLU1gj7hRGggtTWCCNDSVEuSVFUUjIxNDI0ODAzMC5JUV9UUl9DTE9TRURfREFURQEAAABeKsUMBQAAAAk4LzI3LzIwMTIAeGMneoLU1ggvdJaIgtTWCDhDSVEuSVExMzczMDQ4OTMuSVFfRUJJVF8xWVJfQU5OX0dST1dUSC5GWTIwMTQuMTIvMzEvMjAxOAEAAAA9Gy8IAgAAAAcyNS4zMDU5AQgAAAAFAAAAATEBAAAACjE4MzExMDQxNzkDAAAAAzE2MAIAAAAENDE5NwQAAAABMAcAAAAKMTIvMzEvMjAxOAgAAAAKMTIvMzEvMjAxNAkAAAABMD9mQomC1NYISzwPoILU1ggyQ0lRLk5ZU0U6QVJBLklRX0VCSVREQS5GWTIwMTYuMTIvMzEvMjAxOC5MLlAuVVNELkgBAAAAPRsvCAIAAAAHMTcxLjMzNwEIAAAABQAAAAExAQAAAAoxODc3MTcxMzY2AwAAAAMxNjACAAAABDQwNTEEAAAAATAHAAAACjEyLzMxLzIwMTgIAAAACjEyLzMxLzIwMTYJAAAAATD8eiZ6gtTWCP7dmoiC1NYII0NJUS5JUVRSMTE5MTMwNzQ1LklRX1RSX0NMT1NFRF9EQVRFAQAAAHnKGQcFAAAACDkvMi8yMDExAJIVJ3qC1NYIanibiILU1ggiQ0lRLklRVFIyMTQyNDgwMzAuSVFfVFJfVEFSR0VUTkFNRQEA</t>
  </si>
  <si>
    <t>AABeKsUMAwAAACFDb25tZWQgSGVhbHRoY2FyZSBNYW5hZ2VtZW50LCBJbmMAeGMneoLU1ghAJpaIgtTWCEJDSVEuREI6RlJFLklRX1JFVkVOVUVfTUVESUFOX0VTVF9DSVEuRlkyMDIxLjEyLzMxLzIwMTguQ09OLkYuVVNELkgBAAAAw2sNAAIAAAAPNDQ0NDIuNDA4OTcxODcyAQ4AAAAFAAAAATMBAAAAATACAAAACjEwMDAzODg0NjcDAAAABjEwMDE4MQQAAAABMwYAAAABMAcAAAADMTYwCAAAAAEwCQAAAAExCgAAAAEwCwAAAAsxMTIxMzEyNDIxNgwAAAABMQ0AAAAIMS8xLzIwMTkQAAAACjEyLzMxLzIwMThWsSd6gtTWCOQgn4iC1NYILUNJUS5JUTExNTU0NC5JUV9FQklULjIwMDAuMTIvMzEvMjAxOC4uUC5VU0QuSAEAAABYwwEAAgAAAAUxLjYxMgEIAAAABQAAAAExAQAAAAoxOTE5OTg2NDAzAwAAAAMxNjACAAAAAzQwMAQAAAABMAcAAAAKMTIvMzEvMjAxOAgAAAAJOS8zMC8yMDE4CQAAAAEw8qEmeoLU1gjSq5eIgtTWCCJDSVEuSVFUUjEzMzg0NTExMS5JUV9UUl9UQVJHRVROQU1FAQAAAHdQ+gcDAAAAT0ZyZWVzdGFuZGluZywgRmVlIFNpbXBsZSBEYVZpdGEgRGlhbHlzaXMgQ2VudGVyIEFuZCBUd28gRGlzdHJpYnV0aW9uIEZhY2lsaXRpZXMApDwneoLU1gj+3ZqIgtTWCCNDSVEuSVFUUjE0MTI3MjYxNi5JUV9UUl9DTE9TRURfREFURQEAAAAopmsIBQAAAAoxMC8zMS8yMDExAKQ8J3qC1NYIS6aZ</t>
  </si>
  <si>
    <t>iILU1gg7Q0lRLklRODc5NTU1LklRX0VCSVREQV9NQVJHSU4uRlkyMDE1LjEyLzMxLzIwMTguTEZSLlAuVVNELkgBAAAAw2sNAAIAAAAHMTcuOTE3OQEIAAAABQAAAAExAQAAAAoxODMzMDQwODU5AwAAAAI1MAIAAAAENDA0NwQAAAABMAcAAAAKMTIvMzEvMjAxOAgAAAAKMTIvMzEvMjAxNQkAAAABMD9mQomC1NYIlqAOoILU1ghEQ0lRLlhUUkE6Rk1FLklRX1JFVkVOVUVfTUVESUFOX0VTVF9DSVEuRlkyMDIyLjEyLzMxLzIwMTguQ09OLkYuVVNELkgBAAAACt4FAAIAAAAJMjQwMDAuMTEzAQ4AAAAFAAAAATMBAAAAATACAAAACjEwMDAyNDYxMzIDAAAABjEwMDE4MQQAAAABMwYAAAABMAcAAAADMTYwCAAAAAEwCQAAAAExCgAAAAEwCwAAAAsxMTIxMzE0NzU4MAwAAAABMQ0AAAAIMS8xLzIwMTkQAAAACjEyLzMxLzIwMThWsSd6gtTWCHnjn4iC1NYIM0NJUS5OWVNFOkFSQS5JUV9DQVNIX0VRVUlWLjIwMDAuMTIvMzEvMjAxOC4uUC5VU0QuSAEAAAA9Gy8IAgAAAAY2MS44NzIBCAAAAAUAAAABMQEAAAAKMTkyMTE2OTQ1NgMAAAADMTYwAgAAAAQxMDk2BAAAAAEwBwAAAAoxMi8zMS8yMDE4CAAAAAk5LzMwLzIwMTgJAAAAATDyoSZ6gtTWCKxXmYiC1NYIQ0NJUS5OWVNFOkFSQS5JUV9FQklUREFfTUVESUFOX0VTVF9DSVEuRlkyMDE5LjEyLzMxLzIwMTguQ09OLkYuVVNELkgBAAAAPRsvCAIAAAAJMTExLjcx</t>
  </si>
  <si>
    <t>Nzc5AQ4AAAAFAAAAATMBAAAAATACAAAACjEwMDM0MDE0MTIDAAAABjEwMDE4OAQAAAABMgYAAAABMAcAAAADMTYwCAAAAAEwCQAAAAExCgAAAAEwCwAAAAsxMTM1MDc4MDk2OAwAAAABMQ0AAAAIMS8xLzIwMTkQAAAACjEyLzMxLzIwMThWsSd6gtTWCK/nnYiC1NYIIUNJUS5JUVRSMzA5ODczNTIxLklRX1RSX0JVWUVSTkFNRQEAAABxS3gSAwAAADFEYVZpdGEgSGVhbHRoQ2FyZSBQYXJ0bmVycyBJbmMuIChua2E6RGFWaXRhIEluYy4pAKQ8J3qC1NYIWn+ZiILU1ghDQ0lRLlhUUkE6Rk1FLklRX0VCSVREQV9NRURJQU5fRVNUX0NJUS5GWTIwMTkuMTIvMzEvMjAxOC5DT04uRi5VU0QuSAEAAAAK3gUAAgAAAAgzNjk5Ljc4NgEOAAAABQAAAAEzAQAAAAEwAgAAAAoxMDAwMjQ2MTI5AwAAAAYxMDAxODgEAAAAATMGAAAAATAHAAAAAzE2MAgAAAABMAkAAAABMQoAAAABMAsAAAALMTEyMTc4MjU1NzcMAAAAATENAAAACDEvMS8yMDE5EAAAAAoxMi8zMS8yMDE4TNgneoLU1gjbwJ2IgtTWCCNDSVEuSVFUUjMwOTg5NTQ2My5JUV9UUl9DTE9TRURfREFURQEAAAAnoXgSBQAAAAoxMi8zMS8yMDE1AHhjJ3qC1NYInpWYiILU1ggzQ0lRLklRMzU2NDQuSVFfREFZU19JTlZFTlRPUllfT1VULkZZMjAxNS4xMi8zMS8yMDE4AQAAADyLAAACAAAACDguNTYxODA1AQgAAAAFAAAAATEBAAAACjE4NzU4MDcyODkDAAAAAzE2</t>
  </si>
  <si>
    <t>MAIAAAAENDAzNQQAAAABMAcAAAAKMTIvMzEvMjAxOAgAAAAKMTIvMzEvMjAxNQkAAAABME60QomC1NYIFs0MoILU1gg/Q0lRLkRCOkZSRS5JUV9FQklUX01FRElBTl9FU1RfQ0lRLkZZMjAyMS4xMi8zMS8yMDE4LkNPTi5GLlVTRC5IAQAAAMNrDQACAAAADjY0MzIuMzMzNDA5MDA2AQ4AAAAFAAAAATMBAAAAATACAAAACjEwMDAzODg0NjcDAAAABjEwMDIxNgQAAAABMwYAAAABMAcAAAADMTYwCAAAAAEwCQAAAAExCgAAAAEwCwAAAAsxMTIxMzEyNDE2OAwAAAABMQ0AAAAIMS8xLzIwMTkQAAAACjEyLzMxLzIwMThhiid6gtTWCPXLoIiC1NYIKENJUS5JUVRSMjQxOTU5Njg5LklRX1RSX1RBUkdFVF9UT1RBTF9SRVYBAAAACQNsDgIAAAAEMC4zNQB4Yyd6gtTWCEhtmIiC1NYIJkNJUS5JUTExNTU0NC5JUV9FQklULkZZMjAxNi4xMi8zMS8yMDE4AQAAAFjDAQACAAAABi0zLjc4NQEIAAAABQAAAAExAQAAAAoxODc0ODA0OTcyAwAAAAMxNjACAAAAAzQwMAQAAAABMAcAAAAKMTIvMzEvMjAxOAgAAAAKMTIvMzEvMjAxNgkAAAABMPx6JnqC1NYIeeOfiILU1ggyQ0lRLklRODc5NTU1LklRX0RBWVNfUEFZQUJMRV9PVVQuRlkyMDE1LjEyLzMxLzIwMTgBAAAAw2sNAAIAAAAIMjEuNzk0ODgBCAAAAAUAAAABMQEAAAAKMTgzMzA0MDg1OQMAAAACNTACAAAABDQxODMEAAAAATAHAAAACjEyLzMxLzIwMTgIAAAACjEy</t>
  </si>
  <si>
    <t>LzMxLzIwMTUJAAAAATBOtEKJgtTWCCR/DKCC1NYIKUNJUS5JUVRSMzA5ODk1NDYzLklRX0JVU0lORVNTX0RFU0NSSVBUSU9OAQAAADyjawgDAAAAzgVEaWFseXNpcyBOZXdjbywgSW5jLiwgZG9pbmcgYnVzaW5lc3MgYXMgRFNJIFJlbmFsIEluYy4sIG93bnMgYW5kIG9wZXJhdGVzIGRpYWx5c2lzIGNsaW5pY3MgaW4gdGhlIFVuaXRlZCBTdGF0ZXMuIFRoZSBjb21wYW55IG9mZmVycyBkaWFseXNpcyBzZXJ2aWNlcyBmb3IgcGF0aWVudHMgc3VmZmVyaW5nIGZyb20gY2hyb25pYyBraWRuZXkgZmFpbHVyZSBhbmQgcmVuYWwgZGlzZWFzZS4gSXQgcHJvdmlkZXMgaGVtb2RpYWx5c2lzIGFuZCBub2N0dXJuYWwgaGVtb2RpYWx5c2lzIHNlcnZpY2VzIGF0IHRoZSBjbGluaWM7IGhlbW9kaWFseXNpcy9OeFN0YWdlIGFuZCBwZXJpdG9uZWFsIGRpYWx5c2lzIGF0IHRoZSBwYXRpZW504oCZcyBob21lOyBhbmQga2lkbmV5IHRyYW5zcGxhbnRhdGlvbiBzZXJ2aWNlcy4gRGlhbHlzaXMgTmV3Y28sIEluYy4gd2FzIGZvcm1lcmx5IGtub3duIGFzIERhVml0YSBJbmMuLCAzMCBEaWFseXNpcyBDbGluaWNzIGFuZCBjaGFuZ2VkIGl0cyBuYW1lIHRvIERpYWx5c2lzIE5ld2NvLCBJbmMuIGluIFNlcHRlbWJlciwgMjAxMS4gRGlhbHlzaXMgTmV3Y28sIEluYy4gd2FzIGZvdW5kZWQgaW4gMjAxMSBhbmQgaXMgYmFz</t>
  </si>
  <si>
    <t>ZWQgaW4gTmFzaHZpbGxlLCBUZW5uZXNzZWUuIEFzIG9mIERlY2VtYmVyIDMxLCAyMDE1LCBEaWFseXNpcyBOZXdjbywgSW5jLiBvcGVyYXRlcyBhcyBhIHN1YnNpZGlhcnkgb2YgVS5TLiBSZW5hbCBDYXJlLCBJbmMuAODvJnqC1NYIKE6RiILU1ghEQ0lRLk5ZU0U6RFZBLklRX1JFVkVOVUVfTUVESUFOX0VTVF9DSVEuRlkyMDE3LjEyLzMxLzIwMTguQ09OLkYuVVNELkgBAAAAPIsAAAIAAAAHMTUzODkuMwEOAAAABQAAAAEzAQAAAAEwAgAAAAoxMDAxNjkzNjI1AwAAAAYxMDAxODEEAAAAATIGAAAAATAHAAAAAzE2MAgAAAABMAkAAAABMQoAAAABMAsAAAALMTA2OTMxMzA2MjYMAAAAATENAAAACDEvMS8yMDE5EAAAAAoxMi8zMS8yMDE3TNgneoLU1ggvFJyIgtTWCBpDSVEuREI6RlJFLklRX0NPTVBBTllfTkFNRQEAAADDaw0AAwAAABdGcmVzZW5pdXMgU0UgJiBDby4gS0dhQQDg7yZ6gtTWCBJpmoiC1NYIMUNJUS5JUTM1NjQ0LklRX0RBWVNfUEFZQUJMRV9PVVQuRlkyMDE3LjEyLzMxLzIwMTgBAAAAPIsAAAIAAAAIMjMuMDA0NDkBCAAAAAUAAAABMQEAAAAKMTg3NTgwNzIxNgMAAAADMTYwAgAAAAQ0MTgzBAAAAAEwBwAAAAoxMi8zMS8yMDE4CAAAAAoxMi8zMS8yMDE3CQAAAAEwTrRCiYLU1ghpvAuggtTWCDNDSVEuSVExMzczMDQ4OTMuSVFfREFZU19TQUxFU19PVVQuRlkyMDE2LjEyLzMxLzIwMTgB</t>
  </si>
  <si>
    <t>AAAAPRsvCAIAAAAJMzguNTc0OTM2AQgAAAAFAAAAATEBAAAACjE4NzcxNzEzNjYDAAAAAzE2MAIAAAAENDA0MgQAAAABMAcAAAAKMTIvMzEvMjAxOAgAAAAKMTIvMzEvMjAxNgkAAAABMDCNQomC1NYI9kENoILU1ggwQ0lRLklRMzg0NTIyLklRX0RBWVNfU0FMRVNfT1VULkZZMjAxNy4xMi8zMS8yMDE4AQAAAAreBQACAAAACDczLjMwNTE0AQgAAAAFAAAAATEBAAAACjE4NzYwNzE3ODkDAAAAAjUwAgAAAAQ0MDQyBAAAAAEwBwAAAAoxMi8zMS8yMDE4CAAAAAoxMi8zMS8yMDE3CQAAAAEwTrRCiYLU1ggkfwyggtTWCCZDSVEuWFRSQTpGTUUuSVFfRUJJVC5GWTIwMTUuMTIvMzEvMjAxOAEAAAAK3gUAAgAAAAsyMzM5LjY0ODExNAEIAAAABQAAAAExAQAAAAoxODc2MDcxNzgyAwAAAAMxNjACAAAAAzQwMAQAAAABMAcAAAAKMTIvMzEvMjAxOAgAAAAKMTIvMzEvMjAxNQkAAAABMPx6JnqC1NYIuEefiILU1ghDQ0lRLk5ZU0U6RFZBLklRX0VCSVREQV9NRURJQU5fRVNUX0NJUS5GWTIwMjEuMTIvMzEvMjAxOC5DT04uRi5VU0QuSAEAAAA8iwAAAwAAAAAAVrEneoLU1ghXCaCIgtTWCEJDSVEuREI6RlJFLklRX1JFVkVOVUVfTUVESUFOX0VTVF9DSVEuRlkyMDIyLjEyLzMxLzIwMTguQ09OLkYuVVNELkgBAAAAw2sNAAIAAAAQNDc1NzUuNTY2NzQ1NzY3NQEOAAAABQAAAAEzAQAAAAEwAgAAAAoxMDAwMzg4NDY4</t>
  </si>
  <si>
    <t>AwAAAAYxMDAxODEEAAAAATMGAAAAATAHAAAAAzE2MAgAAAABMAkAAAABMQoAAAABMAsAAAALMTEyMTMxMjQyMTAMAAAAATENAAAACDEvMS8yMDE5EAAAAAoxMi8zMS8yMDE4VrEneoLU1giNMaCIgtTWCDxDSVEuSVExNDEyNzE4NjguSVFfRUJJVF8xWVJfQU5OX0dST1dUSC4xOTk4LjEwLzMxLzIwMTEuTEZSLlABAAAAPKNrCAMAAAAAAFgYQomC1NYIMjgRoILU1ggrQ0lRLklRMTE1NTQ0LklRX1RPVEFMX1JFVi5GWTIwMTcuMTIvMzEvMjAxOAEAAABYwwEAAgAAAAczOTMuOTQxAQgAAAAFAAAAATEBAAAACjE4NzQ4MDUwMjMDAAAAAzE2MAIAAAACMjgEAAAAATAHAAAACjEyLzMxLzIwMTgIAAAACjEyLzMxLzIwMTcJAAAAATD8eiZ6gtTWCLhHn4iC1NYIQ0NJUS5YVFJBOkZNRS5JUV9FQklUREFfTUVESUFOX0VTVF9DSVEuRlkyMDIxLjEyLzMxLzIwMTguQ09OLkYuVVNELkgBAAAACt4FAAIAAAAJNDIyOC43Mjc1AQ4AAAAFAAAAATMBAAAAATACAAAACjEwMDAyNDYxMzEDAAAABjEwMDE4OAQAAAABMwYAAAABMAcAAAADMTYwCAAAAAEwCQAAAAExCgAAAAEwCwAAAAsxMTIxMzE0Nzc0MgwAAAABMQ0AAAAIMS8xLzIwMTkQAAAACjEyLzMxLzIwMThhiid6gtTWCI0xoIiC1NYIKENJUS5JUVRSMTE5MTMwNzQ1LklRX1RSX0lNUExJRURfRVZfRklOQUwBAAAAecoZBwIAAAAGNzMwLjc2AQYAAAAFAAAAAjU0AQAA</t>
  </si>
  <si>
    <t>AAYxMDIwNDUCAAAACTExOTEzMDc0NQMAAAAJMTE5MTMwODAwBAAAAAMxNjAGAAAABUZhbHNleGMneoLU1gjJ+ZeIgtTWCDdDSVEuSVExMTU1NDQuSVFfRUJJVERBXzFZUl9BTk5fR1JPV1RILkZZMjAxNy4xMi8zMS8yMDE4AQAAAFjDAQACAAAABy0xMS45MzcBCAAAAAUAAAABMQEAAAAKMTg3NDgwNTAyMwMAAAADMTYwAgAAAAQ0MTk2BAAAAAEwBwAAAAoxMi8zMS8yMDE4CAAAAAoxMi8zMS8yMDE3CQAAAAEwMI1CiYLU1giyKw6ggtTWCENDSVEuTllTRTpBUkEuSVFfRUJJVERBX01FRElBTl9FU1RfQ0lRLkZZMjAyMi4xMi8zMS8yMDE4LkNPTi5GLlVTRC5IAQAAAD0bLwgDAAAAAABhiid6gtTWCE/0oIiC1NYIM0NJUS5OWVNFOkFSQS5JUV9UT1RBTF9ERUJULjIwMDAuMTIvMzEvMjAxOC4uUC5VU0QuSAEAAAA9Gy8IAgAAAAc1NTMuOTU2AQgAAAAFAAAAATEBAAAACjE5MjExNjk0NTYDAAAAAzE2MAIAAAAENDE3MwQAAAABMAcAAAAKMTIvMzEvMjAxOAgAAAAJOS8zMC8yMDE4CQAAAAEw8qEmeoLU1gjghJeIgtTWCDpDSVEuSVEzNTY0NC5JUV9FQklUREFfTUFSR0lOLkZZMjAxNi4xMi8zMS8yMDE4LkxGUi5QLlVTRC5IAQAAADyLAAACAAAABzIyLjQ1NjQBCAAAAAUAAAABMQEAAAAKMTg3NTgwNzI5OQMAAAADMTYwAgAAAAQ0MDQ3BAAAAAEwBwAAAAoxMi8zMS8yMDE4CAAAAAoxMi8zMS8yMDE2CQAAAAEw</t>
  </si>
  <si>
    <t>MI1CiYLU1gideQ6ggtTWCCJDSVEuTllTRTpBUkEuSVFfQkVUQV8yWVIuNS8yMy8yMDE2AQAAAD0bLwgDAAAAAABM2Cd6gtTWCKi1moiC1NYIOUNJUS5JUTI2OTk3ODMzLklRX0VCSVRfMVlSX0FOTl9HUk9XVEguMjAwMC45LzIvMjAxMS5MRlIuUAEAAABJ9JsBAwAAAAAAwfFBiYLU1gi1bhKggtTWCCZDSVEuTllTRTpBUkEuSVFfRUJJVC5GWTIwMTQuMTIvMzEvMjAxOAEAAAA9Gy8IAgAAAAcxMzkuMzM0AQgAAAAFAAAAATEBAAAACjE4MzExMDQxNzkDAAAAAzE2MAIAAAADNDAwBAAAAAEwBwAAAAoxMi8zMS8yMDE4CAAAAAoxMi8zMS8yMDE0CQAAAAEw/HomeoLU1ggEsJyIgtTWCDZDSVEuTllTRTpBUkEuSVFfVE9UQUxfREVCVC4yMDAwLjEyLzMxLzIwMTguTEZSLkYuVVNELkgBAAAAPRsvCAIAAAAHNTUzLjk1NgEIAAAABQAAAAExAQAAAAoxOTIxMTY5NDU2AwAAAAMxNjACAAAABDQxNzMEAAAAATAHAAAACjEyLzMxLzIwMTgIAAAACTkvMzAvMjAxOAkAAAABML/HJnqC1NYIRNmQiILU1ggvQ0lRLklRMzU2NDQuSVFfREFZU19TQUxFU19PVVQuRlkyMDE3LjEyLzMxLzIwMTgBAAAAPIsAAAIAAAAJNjEuMDkxMTQ1AQgAAAAFAAAAATEBAAAACjE4NzU4MDcyMTYDAAAAAzE2MAIAAAAENDA0MgQAAAABMAcAAAAKMTIvMzEvMjAxOAgAAAAKMTIvMzEvMjAxNwkAAAABME60QomC1NYINlgMoILU1ghDQ0lRLklR</t>
  </si>
  <si>
    <t>MTE1NTQ0LklRX0VCSVREQV9NRURJQU5fRVNUX0NJUS5GWTIwMjEuMTIvMzEvMjAxOC5DT04uRi5VU0QuSAEAAABYwwEAAwAAAAAAYYoneoLU1ggtf6CIgtTWCCNDSVEuSVFUUjExMjIxODMwNS5JUV9UUl9DTE9TRURfREFURQEAAADBULAGBQAAAAkxMS8xLzIwMTAAeGMneoLU1gjrXZeIgtTWCCBDSVEuWFRSQTpGTUUuSVFfRklSU1RQUklDSU5HREFURQEAAAAK3gUABQAAAAg2LzcvMTk5OQCSFSd6gtTWCATDkYiC1NYIOkNJUS5JUTM4NDUyMi5JUV9UT1RBTF9SRVZfMVlSX0FOTl9HUk9XVEguRlkyMDE2LjEyLzMxLzIwMTgBAAAACt4FAAIAAAAGNy4yMTM2AQgAAAAFAAAAATEBAAAACjE4NzYwNzE3ODMDAAAAAjUwAgAAAAQ0MTk0BAAAAAEwBwAAAAoxMi8zMS8yMDE4CAAAAAoxMi8zMS8yMDE2CQAAAAEwP2ZCiYLU1ghdYw+ggtTWCCFDSVEuSVFUUjEzODY5MTY5NS5JUV9UUl9UQVJHRVRfSUQBAAAAb0RECAMAAAAJSVE0OTM1OTU2AGGKJ3qC1NYIVtiViILU1ggzQ0lRLklRNDA0Nzc2ODE5LklRX0VCSVRfTUFSR0lOLjE5OTkuOS8xNS8yMDE2LkxGUi5QAQAAAHNnIBgDAAAAAABSP0KJgtTWCPLrEKCC1NYIK0NJUS5OWVNFOkFSQS5JUV9UT1RBTF9SRVYuRlkyMDE2LjEyLzMxLzIwMTgBAAAAPRsvCAIAAAAHNzQ5Ljc2NwEIAAAABQAAAAExAQAAAAoxODc3MTcxMzY2AwAAAAMxNjACAAAAAjI4BAAAAAEw</t>
  </si>
  <si>
    <t>BwAAAAoxMi8zMS8yMDE4CAAAAAoxMi8zMS8yMDE2CQAAAAEwv8cmeoLU1giZg56IgtTWCDZDSVEuSVEzNTY0NC5JUV9FQklUREFfMVlSX0FOTl9HUk9XVEguRlkyMDEzLjEyLzMxLzIwMTgBAAAAPIsAAAIAAAAHMzYuODE3MwEIAAAABQAAAAExAQAAAAoxNzc4MTM1NTU3AwAAAAMxNjACAAAABDQxOTYEAAAAATAHAAAACjEyLzMxLzIwMTgIAAAACjEyLzMxLzIwMTMJAAAAATBSP0KJgtTWCP5zEKCC1NYIOENJUS5JUTEzNzMwNDg5My5JUV9FQklUXzFZUl9BTk5fR1JPV1RILkZZMjAxNS4xMi8zMS8yMDE4AQAAAD0bLwgCAAAABjkuNzYyMQEIAAAABQAAAAExAQAAAAoxODc3MTcxMzYzAwAAAAMxNjACAAAABDQxOTcEAAAAATAHAAAACjEyLzMxLzIwMTgIAAAACjEyLzMxLzIwMTUJAAAAATAwjUKJgtTWCJ15DqCC1NYIL0NJUS5OWVNFOkRWQS5JUV9FQklUREEuMjAwMC4xMi8zMS8yMDE4Li5QLlVTRC5IAQAAADyLAAACAAAACDIwODAuODg4AQgAAAAFAAAAATEBAAAACjE5NDY2NjY2MDADAAAAAzE2MAIAAAAENDA1MQQAAAABMAcAAAAKMTIvMzEvMjAxOAgAAAAKMTIvMzEvMjAxOAkAAAABMPKhJnqC1NYISG2YiILU1ggoQ0lRLklRVFI0MDQ3NzY4OTcuSVFfVFJfSU1QTElFRF9FVl9GSU5BTAEAAADBZyAYAgAAAAAAYYoneoLU1ghripWIgtTWCChDSVEuSVFUUjIyNDc1ODM2MS5JUV9UUl9UQVJHRVRfVE9U</t>
  </si>
  <si>
    <t>QUxfUkVWAQAAAFmKZQ0CAAAAATIAYYoneoLU1ghripWIgtTWCEFDSVEuREI6RlJFLklRX0VCSVREQV9NRURJQU5fRVNUX0NJUS5GWTIwMTkuMTIvMzEvMjAxOC5DT04uRi5VU0QuSAEAAADDaw0AAgAAAA83MTQ4Ljk1ODA5NDA3MTMBDgAAAAUAAAABMwEAAAABMAIAAAAKMTAwMDM4ODQ2NQMAAAAGMTAwMTg4BAAAAAEzBgAAAAEwBwAAAAMxNjAIAAAAATAJAAAAATEKAAAAATALAAAACzExMjE1NzMzNTQ3DAAAAAExDQAAAAgxLzEvMjAxORAAAAAKMTIvMzEvMjAxOFaxJ3qC1NYIqFyeiILU1ggsQ0lRLklRVFIyMjQ3NTgzNjEuSVFfVFJfVEFSR0VUX0VCSVREQV9FUV9JTkMBAAAAWYplDQIAAAAAAHhjJ3qC1NYI0quXiILU1gg8Q0lRLklRMTM3MzA0ODkzLklRX0VCSVRfTUFSR0lOLkZZMjAxNi4xMi8zMS8yMDE4LkxGUi5QLlVTRC5IAQAAAD0bLwgCAAAABzE4LjMzNTYBCAAAAAUAAAABMQEAAAAKMTg3NzE3MTM2NgMAAAADMTYwAgAAAAQ0MDUzBAAAAAEwBwAAAAoxMi8zMS8yMDE4CAAAAAoxMi8zMS8yMDE2CQAAAAEwMI1CiYLU1gjOtg2ggtTWCDxDSVEuSVExNDEyNzE4NjguSVFfRUJJVF8xWVJfQU5OX0dST1dUSC4yMDAwLjEwLzMxLzIwMTEuTEZSLlABAAAAPKNrCAMAAAAAAFgYQomC1NYIMjgRoILU1ggsQ0lRLklRVFIxMTIyMTgzMDUuSVFfVFJfVEFSR0VUX0VCSVREQV9FUV9JTkMBAAAAwVCwBgIA</t>
  </si>
  <si>
    <t>AAACMjcAeGMneoLU1gjPD5eIgtTWCCxDSVEuSVFUUjIyNDc1ODM2MS5JUV9UUl9UT1RBTF9HUk9TU19UVl9GSU5BTAEAAABZimUNAgAAAAM1LjUBBgAAAAUAAAACNTQBAAAABjEwMjA0MwIAAAAJMjI0NzU4MzYxAwAAAAkyMjQ3NTg0NjEEAAAAAzE2MAYAAAAFRmFsc2WkPCd6gtTWCCBCmoiC1NYIQ0NJUS5OWVNFOkRWQS5JUV9FQklUREFfTUVESUFOX0VTVF9DSVEuRlkyMDE5LjEyLzMxLzIwMTguQ09OLkYuVVNELkgBAAAAPIsAAAIAAAAGMjIzOS40AQ4AAAAFAAAAATMBAAAAATACAAAACjEwMDE2OTM2MzUDAAAABjEwMDE4OAQAAAABMgYAAAABMAcAAAADMTYwCAAAAAEwCQAAAAExCgAAAAEwCwAAAAsxMTIxMzgzMzE5MwwAAAABMQ0AAAAIMS8xLzIwMTkQAAAACjEyLzMxLzIwMThM2Cd6gtTWCNvAnYiC1NYIOENJUS5JUTM1NjQ0LklRX0VCSVRfTUFSR0lOLkZZMjAxNi4xMi8zMS8yMDE4LkxGUi5QLlVTRC5IAQAAADyLAAACAAAABzE1LjcyNDUBCAAAAAUAAAABMQEAAAAKMTg3NTgwNzI5OQMAAAADMTYwAgAAAAQ0MDUzBAAAAAEwBwAAAAoxMi8zMS8yMDE4CAAAAAoxMi8zMS8yMDE2CQAAAAEwMI1CiYLU1ghpkA2ggtTWCDtDSVEuSVEyODcyMzMzMDQuSVFfRUJJVF8xWVJfQU5OX0dST1dUSC4xOTk4LjkvMTcvMjAxNS5MRlIuUAEAAAAY1R4RAwAAAAAAUj9CiYLU1giSERGggtTWCCxDSVEuSVFUUjIw</t>
  </si>
  <si>
    <t>ODM0Mzg0My5JUV9UUl9UT1RBTF9HUk9TU19UVl9GSU5BTAEAAAAjE2sMAgAAAAQxNy43AQYAAAAFAAAAAjU0AQAAAAYxMDIwNDMCAAAACTIwODM0Mzg0MwMAAAAJMjA4MzQ0NDA1BAAAAAMxNjAGAAAABUZhbHNlpDwneoLU1ggkBZuIgtTWCCpDSVEuSVFUUjMwOTg3MzUyMS5JUV9UUl9UQVJHRVRfRUJJVF9FUV9JTkMBAAAAcUt4EgIAAAAAAHhjJ3qC1NYIQ/+ViILU1gg5Q0lRLklRMTE1NTQ0LklRX0VCSVRfTUFSR0lOLkZZMjAxMy4xMi8zMS8yMDE4LkxGUi5QLlVTRC5IAQAAAFjDAQACAAAABy02Ljc1NjIBCAAAAAUAAAABMQEAAAAKMTc3NTg1MTMwNQMAAAADMTYwAgAAAAQ0MDUzBAAAAAEwBwAAAAoxMi8zMS8yMDE4CAAAAAoxMi8zMS8yMDEzCQAAAAEwP2ZCiYLU1ggGFg+ggtTWCCRDSVEuWFRSQTpGTUUuSVFfVEVWLjEyLzMxLzIwMTguVVNELkgBAAAACt4FAAIAAAAMMjc2MjIuMDQxMDE3AQYAAAAFAAAAATEBAAAACjE5MTcyODQzODkDAAAAAzE2MAIAAAAGMTAwMDYwBAAAAAEwBwAAAAoxMi8zMS8yMDE4khUneoLU1gi7s5CIgtTWCDdDSVEuSVEzODQ1MjIuSVFfRUJJVERBXzFZUl9BTk5fR1JPV1RILkZZMjAxNi4xMi8zMS8yMDE4AQAAAAreBQACAAAABjguODk5NQEIAAAABQAAAAExAQAAAAoxODc2MDcxNzgzAwAAAAI1MAIAAAAENDE5NgQAAAABMAcAAAAKMTIvMzEvMjAxOAgAAAAKMTIvMzEv</t>
  </si>
  <si>
    <t>MjAxNgkAAAABMD9mQomC1NYIBhYPoILU1ggmQ0lRLklRMTE1NTQ0LklRX0VCSVQuRlkyMDE3LjEyLzMxLzIwMTgBAAAAWMMBAAIAAAAGLTYuODUxAQgAAAAFAAAAATEBAAAACjE4NzQ4MDUwMjMDAAAAAzE2MAIAAAADNDAwBAAAAAEwBwAAAAoxMi8zMS8yMDE4CAAAAAoxMi8zMS8yMDE3CQAAAAEwH1QmeoLU1ghP9KCIgtTWCDhDSVEuSVEzNTY0NC5JUV9FQklUX01BUkdJTi5GWTIwMTQuMTIvMzEvMjAxOC5MRlIuUC5VU0QuSAEAAAA8iwAAAgAAAAcxNC4xNTM0AQgAAAAFAAAAATEBAAAACjE4MjkyNDUyMjMDAAAAAzE2MAIAAAAENDA1MwQAAAABMAcAAAAKMTIvMzEvMjAxOAgAAAAKMTIvMzEvMjAxNAkAAAABMD9mQomC1NYIBhYPoILU1ggjQ0lRLklRVFIxMzg2OTE2OTUuSVFfVFJfQ0xPU0VEX0RBVEUBAAAAb0RECAUAAAAJMi8yOC8yMDEyAGGKJ3qC1NYIQ/+ViILU1ggiQ0lRLkRCOkZSRS5JUV9URVYuMTIvMzEvMjAxOC5VU0QuSAEAAADDaw0AAgAAAAw1NjI5MS4zNjMzMzIBBgAAAAUAAAABMQEAAAAKMTkxNzc2NzU2OQMAAAADMTYwAgAAAAYxMDAwNjAEAAAAATAHAAAACjEyLzMxLzIwMTiSFSd6gtTWCDkokYiC1NYII0NJUS5YVFJBOkZNRS5JUV9CRVRBXzJZUi4xMi8zMS8yMDE4AQAAAAreBQACAAAAETAuNzIwNjcyNzM3NzEzMzExAEH/J3qC1NYIsdyTiILU1ggxQ0lRLklRMzU2NDQuSVFfREFZ</t>
  </si>
  <si>
    <t>U19QQVlBQkxFX09VVC5GWTIwMTYuMTIvMzEvMjAxOAEAAAA8iwAAAgAAAAkyMy45ODEwNTIBCAAAAAUAAAABMQEAAAAKMTg3NTgwNzI5OQMAAAADMTYwAgAAAAQ0MTgzBAAAAAEwBwAAAAoxMi8zMS8yMDE4CAAAAAoxMi8zMS8yMDE2CQAAAAEwTrRCiYLU1gg25QuggtTWCDNDSVEuSVE1NjIwOTM0NTguSVFfRUJJVF9NQVJHSU4uMTk5OS4zLzMxLzIwMTguTEZSLlABAAAAkt2AIQMAAAAAALLgQImC1NYIdZUSoILU1gg5Q0lRLklRMzU2NDQuSVFfVE9UQUxfUkVWXzFZUl9BTk5fR1JPV1RILkZZMjAxNy4xMi8zMS8yMDE4AQAAADyLAAACAAAABjEuNzU2NQEIAAAABQAAAAExAQAAAAoxODc1ODA3MjE2AwAAAAMxNjACAAAABDQxOTQEAAAAATAHAAAACjEyLzMxLzIwMTgIAAAACjEyLzMxLzIwMTcJAAAAATA/ZkKJgtTWCH3uDqCC1NYIL0NJUS5JUTM4NDMzMS5JUV9FQklUX01BUkdJTi4yMDAwLjYvMS8yMDEwLkxGUi5QAQAAAEvdBQACAAAABDYuNzUBCAAAAAUAAAABMQEAAAAKMTM2NTUxMTY2MgMAAAADMTYwAgAAAAQ0MDUzBAAAAAEwBwAAAAg2LzEvMjAxMAgAAAAJMy8zMS8yMDEwCQAAAAEwwfFBiYLU1ggk1BGggtTWCDdDSVEuSVExMTU1NDQuSVFfRUJJVERBXzFZUl9BTk5fR1JPV1RILkZZMjAxNi4xMi8zMS8yMDE4AQAAAFjDAQACAAAACDQyNS45MTUyAQgAAAAFAAAAATEBAAAACjE4NzQ4MDQ5NzID</t>
  </si>
  <si>
    <t>AAAAAzE2MAIAAAAENDE5NgQAAAABMAcAAAAKMTIvMzEvMjAxOAgAAAAKMTIvMzEvMjAxNgkAAAABMD9mQomC1NYIlqAOoILU1gg5Q0lRLklRMzg0NTIyLklRX0VCSVRfTUFSR0lOLkZZMjAxNi4xMi8zMS8yMDE4LkxGUi5QLlVTRC5IAQAAAAreBQACAAAABjE0LjE4NAEIAAAABQAAAAExAQAAAAoxODc2MDcxNzgzAwAAAAI1MAIAAAAENDA1MwQAAAABMAcAAAAKMTIvMzEvMjAxOAgAAAAKMTIvMzEvMjAxNgkAAAABMDCNQomC1NYIaZANoILU1ggsQ0lRLk5ZU0U6QVJBLklRX1NIQVJFU09VVFNUQU5ESU5HLjEyLzMxLzIwMTgBAAAAPRsvCAIAAAAJMzIuNTE3MDY1AJIVJ3qC1NYIa4qViILU1gg6Q0lRLklRMTM3MzA0ODkzLklRX0VCSVREQV8xWVJfQU5OX0dST1dUSC5GWTIwMTMuMTIvMzEvMjAxOAEAAAA9Gy8IAgAAAAYzLjkzMDMBCAAAAAUAAAABMQEAAAAKMTc4Nzk4MzgzNAMAAAADMTYwAgAAAAQ0MTk2BAAAAAEwBwAAAAoxMi8zMS8yMDE4CAAAAAoxMi8zMS8yMDEzCQAAAAEwUj9CiYLU1giWThCggtTWCCZDSVEuTllTRTpBUkEuSVFfRUJJVC5GWTIwMTUuMTIvMzEvMjAxOAEAAAA9Gy8IAgAAAAcxNTIuOTM2AQgAAAAFAAAAATEBAAAACjE4NzcxNzEzNjMDAAAAAzE2MAIAAAADNDAwBAAAAAEwBwAAAAoxMi8zMS8yMDE4CAAAAAoxMi8zMS8yMDE1CQAAAAEw/HomeoLU1ghn0Z6IgtTWCDRDSVEuSVEz</t>
  </si>
  <si>
    <t>NTY0NC5JUV9FQklUXzFZUl9BTk5fR1JPV1RILkZZMjAxNy4xMi8zMS8yMDE4AQAAADyLAAACAAAABy0yLjk4NDUBCAAAAAUAAAABMQEAAAAKMTg3NTgwNzIxNgMAAAADMTYwAgAAAAQ0MTk3BAAAAAEwBwAAAAoxMi8zMS8yMDE4CAAAAAoxMi8zMS8yMDE3CQAAAAEwMI1CiYLU1gj2QQ2ggtTWCCFDSVEuSVFUUjQwNDc3Njg5Ny5JUV9UUl9UQVJHRVRfSUQBAAAAwWcgGAMAAAALSVE0MDQ3NzY4MTkAYYoneoLU1ggEw5GIgtTWCCBDSVEuSVFUUjEzODY5MTY5NS5JUV9UUl9BTk5fREFURQEAAABvREQIBQAAAAg4LzIvMjAxMQB4Yyd6gtTWCJ6VmIiC1NYIOkNJUS5JUTEzNzMwNDg5My5JUV9FQklUREFfMVlSX0FOTl9HUk9XVEguRlkyMDE2LjEyLzMxLzIwMTgBAAAAPRsvCAIAAAAHLTcuMjc2MgEIAAAABQAAAAExAQAAAAoxODc3MTcxMzY2AwAAAAMxNjACAAAABDQxOTYEAAAAATAHAAAACjEyLzMxLzIwMTgIAAAACjEyLzMxLzIwMTYJAAAAATA/ZkKJgtTWCH3uDqCC1NYIOUNJUS5JUTI2OTk3ODMzLklRX0VCSVRfMVlSX0FOTl9HUk9XVEguMTk5OS45LzIvMjAxMS5MRlIuUAEAAABJ9JsBAwAAAAAAwfFBiYLU1ginRxKggtTWCCRDSVEuTllTRTpBUkEuSVFfVEVWLjEyLzMxLzIwMTguVVNELkgBAAAAPRsvCAIAAAALMTE4MS43NTg1ODgBBgAAAAUAAAABMQEAAAAKMTkyMTE2Njg1NQMAAAADMTYwAgAAAAYx</t>
  </si>
  <si>
    <t>MDAwNjAEAAAAATAHAAAACjEyLzMxLzIwMTiSFSd6gtTWCO0RkoiC1NYINUNJUS5JUTM4NDUyMi5JUV9FQklUXzFZUl9BTk5fR1JPV1RILkZZMjAxNy4xMi8zMS8yMDE4AQAAAAreBQACAAAABy0yLjM0MTIBCAAAAAUAAAABMQEAAAAKMTg3NjA3MTc4OQMAAAACNTACAAAABDQxOTcEAAAAATAHAAAACjEyLzMxLzIwMTgIAAAACjEyLzMxLzIwMTcJAAAAATAwjUKJgtTWCPRoDaCC1NYIIUNJUS5JUVRSMTE5MTMwNzQ1LklRX1RSX1RBUkdFVF9JRAEAAAB5yhkHAwAAAApJUTI2OTk3ODMzAHhjJ3qC1NYIp0eYiILU1ggsQ0lRLklRVFI1NjIwOTM0NzAuSVFfVFJfVE9UQUxfR1JPU1NfVFZfRklOQUwBAAAAnt2AIQIAAAAAAHhjJ3qC1NYIwiCYiILU1gg3Q0lRLk5ZU0U6RFZBLklRX1BSRUZfRVFVSVRZLjIwMDAuMTIvMzEvMjAxOC5MRlIuRi5VU0QuSAEAAAA8iwAAAwAAAAAAv8cmeoLU1gjNXpKIgtTWCChDSVEuSVFUUjEwMDc3NDU2Mi5JUV9UUl9UQVJHRVRfVE9UQUxfUkVWAQAAAKKyAQYCAAAABTk2Ljc3AQYAAAAFAAAAAjM3AQAAAAoxMzY1NTExNjYyAgAAAAIyOAMAAAADMTYwBAAAAAEwBwAAAAgxLzEvMTkwMKQ8J3qC1NYIQM2ZiILU1gg6Q0lRLklRMTE1NTQ0LklRX1RPVEFMX1JFVl8xWVJfQU5OX0dST1dUSC5GWTIwMTQuMTIvMzEvMjAxOAEAAABYwwEAAgAAAAcxNC40NTI0AQgAAAAFAAAAATEBAAAA</t>
  </si>
  <si>
    <t>CjE4MzAxNjU2NjkDAAAAAzE2MAIAAAAENDE5NAQAAAABMAcAAAAKMTIvMzEvMjAxOAgAAAAKMTIvMzEvMjAxNAkAAAABMFI/QomC1NYIg8MQoILU1gg6Q0lRLklRMzU2NDQuSVFfRUJJVERBX01BUkdJTi5GWTIwMTUuMTIvMzEvMjAxOC5MRlIuUC5VU0QuSAEAAAA8iwAAAgAAAAcyMi42NTcyAQgAAAAFAAAAATEBAAAACjE4NzU4MDcyODkDAAAAAzE2MAIAAAAENDA0NwQAAAABMAcAAAAKMTIvMzEvMjAxOAgAAAAKMTIvMzEvMjAxNQkAAAABMD9mQomC1NYIfe4OoILU1ggaQ0lRLk5ZU0U6QVJBLklRX0NPTVBBTllfSUQBAAAAPRsvCAMAAAALSVExMzczMDQ4OTMA4O8meoLU1giDFZWIgtTWCEJDSVEuREI6RlJFLklRX1JFVkVOVUVfTUVESUFOX0VTVF9DSVEuRlkyMDIwLjEyLzMxLzIwMTguQ09OLkYuVVNELkgBAAAAw2sNAAIAAAAONDE5NjIuNDQ1NjEwNTUBDgAAAAUAAAABMwEAAAABMAIAAAAKMTAwMDM4ODQ2NgMAAAAGMTAwMTgxBAAAAAEzBgAAAAEwBwAAAAMxNjAIAAAAATAJAAAAATEKAAAAATALAAAACzExMjE1NzMzNTE3DAAAAAExDQAAAAgxLzEvMjAxORAAAAAKMTIvMzEvMjAxOFaxJ3qC1NYImYOeiILU1ggvQ0lRLjAuSVFfVE9UQUxfREVCVC4yMDAwLjEyLzMxLzIwMTguTEZSLkYuVVNELkgFAAAAAAAAAAgAAAAUKEludmFsaWQgSWRlbnRpZmllcim/xyZ6gtTWCBIwmYiC1NYIPENJUS5JUTEz</t>
  </si>
  <si>
    <t>NzMwNDg5My5JUV9FQklUX01BUkdJTi5GWTIwMTUuMTIvMzEvMjAxOC5MRlIuUC5VU0QuSAEAAAA9Gy8IAgAAAAcyMy40MjEyAQgAAAAFAAAAATEBAAAACjE4NzcxNzEzNjMDAAAAAzE2MAIAAAAENDA1MwQAAAABMAcAAAAKMTIvMzEvMjAxOAgAAAAKMTIvMzEvMjAxNQkAAAABMDCNQomC1NYIsisOoILU1gg1Q0lRLklRMTE1NTQ0LklRX0VCSVRfMVlSX0FOTl9HUk9XVEguRlkyMDE1LjEyLzMxLzIwMTgBAAAAWMMBAAMAAAACTk0BCAAAAAUAAAABMQEAAAAKMTg3NDgwNTA0NAMAAAADMTYwAgAAAAQ0MTk3BAAAAAEwBwAAAAoxMi8zMS8yMDE4CAAAAAoxMi8zMS8yMDE1CQAAAAEwMI1CiYLU1gisUg6ggtTWCDpDSVEuSVE4Nzk1NTUuSVFfVE9UQUxfUkVWXzFZUl9BTk5fR1JPV1RILkZZMjAxNC4xMi8zMS8yMDE4AQAAAMNrDQACAAAABzE0LjI2MzkBCAAAAAUAAAABMQEAAAAKMTc4MTczNTAyOAMAAAACNTACAAAABDQxOTQEAAAAATAHAAAACjEyLzMxLzIwMTgIAAAACjEyLzMxLzIwMTQJAAAAATBSP0KJgtTWCOGbEKCC1NYIMENJUS5YVFJBOkZNRS5JUV9FQklULkZZMjAxNi4xMi8zMS8yMDE4LkwuUC5VU0QuSAEAAAAK3gUAAgAAAAsyNDgxLjAxMjM1MgEIAAAABQAAAAExAQAAAAoxODc2MDcxNzgzAwAAAAMxNjACAAAAAzQwMAQAAAABMAcAAAAKMTIvMzEvMjAxOAgAAAAKMTIvMzEvMjAxNgkAAAABMPx6</t>
  </si>
  <si>
    <t>JnqC1NYI3fKZiILU1gg0Q0lRLklRMTQxMjcxODY4LklRX0VCSVRfTUFSR0lOLjIwMDAuMTAvMzEvMjAxMS5MRlIuUAEAAAA8o2sIAwAAAAAAWBhCiYLU1ggyOBGggtTWCDtDSVEuSVExMTU1NDQuSVFfRUJJVERBX01BUkdJTi5GWTIwMTMuMTIvMzEvMjAxOC5MRlIuUC5VU0QuSAEAAABYwwEAAgAAAActMi4zNzI1AQgAAAAFAAAAATEBAAAACjE3NzU4NTEzMDUDAAAAAzE2MAIAAAAENDA0NwQAAAABMAcAAAAKMTIvMzEvMjAxOAgAAAAKMTIvMzEvMjAxMwkAAAABMD9mQomC1NYIw7EPoILU1gghQ0lRLkRCOkZSRS5JUV9CRVRBXzJZUi4xMi8zMS8yMDE4AQAAAMNrDQACAAAAETAuODExMDU0MDc1NzU5Mjk3AEzYJ3qC1NYIwiCYiILU1ggoQ0lRLklRVFIzMDk4NzM1MjEuSVFfVFJfVEFSR0VUX1RPVEFMX1JFVgEAAABxS3gSAgAAAAAAeGMneoLU1ghIbZiIgtTWCCtDSVEuWFRSQTpGTUUuSVFfVE9UQUxfUkVWLkZZMjAxNC4xMi8zMS8yMDE4AQAAAAreBQACAAAACDE2MTM0LjI2AQgAAAAFAAAAATEBAAAACjE4Mjg5NTAwODADAAAAAzE2MAIAAAACMjgEAAAAATAHAAAACjEyLzMxLzIwMTgIAAAACjEyLzMxLzIwMTQJAAAAATD8eiZ6gtTWCE3Gm4iC1NYIHENJUS5OWVNFOkFSQS5JUV9DT01QQU5ZX05BTUUBAAAAPRsvCAMAAAAoQW1lcmljYW4gUmVuYWwgQXNzb2NpYXRlcyBIb2xkaW5ncywgSW5jLgDg7yZ6</t>
  </si>
  <si>
    <t>gtTWCNJSm4iC1NYIM0NJUS5JUTI4NzIzMzMwNC5JUV9FQklUX01BUkdJTi4yMDAwLjkvMTcvMjAxNS5MRlIuUAEAAAAY1R4RAwAAAAAAUj9CiYLU1giSERGggtTWCClDSVEuSVFUUjIwODM0Mzg0My5JUV9CVVNJTkVTU19ERVNDUklQVElPTgEAAADyEmsMAwAAAL4HQXMgb2YgSnVseSAyLCAyMDEyLCBXb29kcyBNZW1vcmlhbCBIb3NwaXRhbCwgTExDIHdhcyBhY3F1aXJlZCBieSBMaWZlUG9pbnQgSGVhbHRoLCBJbmMuIFdvb2RzIE1lbW9yaWFsIEhvc3BpdGFsLCBMTEMsIGRvaW5nIGJ1c2luZXNzIGFzIFdvb2RzIE1lbW9yaWFsIEhvc3BpdGFsLCBvcGVyYXRlcyBhIGhvc3BpdGFsIHRoYXQgcHJvdmlkZXMgdmFyaW91cyBoZWFsdGhjYXJlIHNlcnZpY2VzIHRvIHBhdGllbnRzIGluIFRlbm5lc3NlZS4gSXQgb2ZmZXJzIGVtZXJnZW5jeSBkZXBhcnRtZW50LCBzdXJnZXJ5LCBpbnRlbnNpdmUgY2FyZSB1bml0LCByZXNwaXJhdG9yeSBhbmQgY2FyZGlvcHVsbW9uYXJ5LCByZWhhYmlsaXRhdGlvbiwgbnVyc2luZyBob21lLCB3b3VuZCBjYXJlLCBzZW5pb3IgY2FyZSB1bml0LCBhbmQgdm9sdW50ZWVycyBhbmQgZ2lmdCBzaG9wIHNlcnZpY2VzOyBleHRlcm5hbCBzZXJ2aWNlcywgc3VjaCBhcyByZWdpb25hbCBkaWFseXNpcyBjZW50ZXIsIG11bHRpLXNwZWNpYWx0eSBjbGluaWMsIGFuZCB3b3VuZCBj</t>
  </si>
  <si>
    <t>YXJlOyBhbmQgZGlhZ25vc3RpYyBpbWFnaW5nIHNlcnZpY2VzLCBpbmNsdWRpbmcgQ1QsIE1SSSwgdWx0cmFzb3VuZC9lY2hvY2FyZGlvZ3JhcGh5LCBYLXJheS9mbG91cm9zY29weSwgbWFtbW9ncmFwaHksIG51Y2xlYXIgbWVkaWNpbmUsIGFuZCBib25lIGRlbnNpdG9tZXRyeS4gVGhlIGNvbXBhbnkgYWxzbyBwcm92aWRlcyBoZWxpY29wdGVyIGFtYnVsYW5jZXMsIG9jY3VwYXRpb25hbCBoZWFsdGgsIGF1eGlsaWFyeSwgYW5kIGFjY3JlZGl0YXRpb24gc2VydmljZXM7IGFuZCB2YXJpb3VzIG91dHBhdGllbnQgcHJvY2VkdXJlcywgaW5wYXRpZW50IGdlcmlhdHJpYyBwc3ljaGlhdHJpYyB1bml0LCBhbmQgb3RoZXIgc2VydmljZXMuIFRoZSBjb21wYW55IHdhcyBmb3VuZGVkIGluIDE5NjUgYW5kIGlzIGJhc2VkIGluIEV0b3dhaCwgVGVubmVzc2VlLgDg7yZ6gtTWCEDNmYiC1NYIQUNJUS5YVFJBOkZNRS5JUV9FQklUX01FRElBTl9FU1RfQ0lRLkZZMjAyMC4xMi8zMS8yMDE4LkNPTi5GLlVTRC5IAQAAAAreBQACAAAACDI5OTEuNzI5AQ4AAAAFAAAAATMBAAAAATACAAAACjEwMDAyNDYxMzADAAAABjEwMDIxNgQAAAABMwYAAAABMAcAAAADMTYwCAAAAAEwCQAAAAExCgAAAAEwCwAAAAsxMTIxNzgyNTQ0NQwAAAABMQ0AAAAIMS8xLzIwMTkQAAAACjEyLzMxLzIwMThhiid6gtTWCHJYoIiC1NYIKkNJ</t>
  </si>
  <si>
    <t>US5JUVRSMTM4NjkxNjk1LklRX1RSX1RBUkdFVF9FQklUX0VRX0lOQwEAAABvREQIAgAAAAAAYYoneoLU1ghripWIgtTWCCNDSVEuSVExMTU1NDQuSVFfQkVUQV8yWVIuMTIvMzEvMjAxOAEAAABYwwEAAgAAABIwLjA5MzExNzM0Mjg4MDE4NjcATNgneoLU1giDFZWIgtTWCChDSVEuSVEyNjY4NjQyLklRX0xBU1RTQUxFUFJJQ0UuNS8yMy8yMDE2AQAAAGK4KAACAAAAAzQuNwAfVCZ6gtTWCBIwmYiC1NYIKENJUS5OWVNFOkRWQS5JUV9FQklUREEuRlkyMDEzLjEyLzMxLzIwMTgBAAAAPIsAAAIAAAAIMjM4Mi4yNzEBCAAAAAUAAAABMQEAAAAKMTc3ODEzNTU1NwMAAAADMTYwAgAAAAQ0MDUxBAAAAAEwBwAAAAoxMi8zMS8yMDE4CAAAAAoxMi8zMS8yMDEzCQAAAAEw/HomeoLU1gg+7ZuIgtTWCBpDSVEuTllTRTpEVkEuSVFfQ09NUEFOWV9JRAEAAAA8iwAAAwAAAAdJUTM1NjQ0AODvJnqC1NYIgxWViILU1ggiQ0lRLklRVFIzMDk4NzM1MjEuSVFfVFJfVEFSR0VUTkFNRQEAAABxS3gSAwAAAB5SZW5hbCBWZW50dXJlcyBNYW5hZ2VtZW50LCBMTEMApDwneoLU1ggSaZqIgtTWCDRDSVEuSVEzNTY0NC5JUV9FQklUXzFZUl9BTk5fR1JPV1RILkZZMjAxNi4xMi8zMS8yMDE4AQAAADyLAAACAAAABjMuNjk2NgEIAAAABQAAAAExAQAAAAoxODc1ODA3Mjk5AwAAAAMxNjACAAAABDQxOTcEAAAAATAHAAAACjEyLzMx</t>
  </si>
  <si>
    <t>LzIwMTgIAAAACjEyLzMxLzIwMTYJAAAAATAwjUKJgtTWCM62DaCC1NYIMENJUS5OWVNFOkRWQS5JUV9FQklULkZZMjAxNi4xMi8zMS8yMDE4LkwuUC5VU0QuSAEAAAA8iwAAAgAAAAcxNjgxLjg3AQgAAAAFAAAAATEBAAAACjE4NzU4MDcyOTkDAAAAAzE2MAIAAAADNDAwBAAAAAEwBwAAAAoxMi8zMS8yMDE4CAAAAAoxMi8zMS8yMDE2CQAAAAEw/HomeoLU1gjSUpuIgtTWCChDSVEuTllTRTpEVkEuSVFfRUJJVERBLkZZMjAxNC4xMi8zMS8yMDE4AQAAADyLAAACAAAACDIzOTguMDQ0AQgAAAAFAAAAATEBAAAACjE4MjkyNDUyMjMDAAAAAzE2MAIAAAAENDA1MQQAAAABMAcAAAAKMTIvMzEvMjAxOAgAAAAKMTIvMzEvMjAxNAkAAAABMPx6JnqC1NYIFmKciILU1gg5Q0lRLklRMTE1NTQ0LklRX0VCSVRfTUFSR0lOLkZZMjAxNi4xMi8zMS8yMDE4LkxGUi5QLlVTRC5IAQAAAFjDAQACAAAABi0xLjAzMwEIAAAABQAAAAExAQAAAAoxODc0ODA0OTcyAwAAAAMxNjACAAAABDQwNTMEAAAAATAHAAAACjEyLzMxLzIwMTgIAAAACjEyLzMxLzIwMTYJAAAAATAwjUKJgtTWCPRoDaCC1NYIMUNJUS5EQjpGUkUuSVFfQ0FTSF9FUVVJVi4yMDAwLjEyLzMxLzIwMTguLlAuVVNELkgBAAAAw2sNAAIAAAALMzEwMS42NzE2MjgBCAAAAAUAAAABMQEAAAAKMTk1MDQ0MjU5NwMAAAADMTYwAgAAAAQxMDk2BAAAAAEwBwAAAAox</t>
  </si>
  <si>
    <t>Mi8zMS8yMDE4CAAAAAoxMi8zMS8yMDE4CQAAAAEw8qEmeoLU1giOCpmIgtTWCClDSVEuREI6RlJFLklRX1RPVEFMX1JFVi5GWTIwMTUuMTIvMzEvMjAxOAEAAADDaw0AAgAAAAwzMDAwMy44MDEyNTgBCAAAAAUAAAABMQEAAAAKMTgzMzA0MDg1OQMAAAADMTYwAgAAAAIyOAQAAAABMAcAAAAKMTIvMzEvMjAxOAgAAAAKMTIvMzEvMjAxNQkAAAABMPx6JnqC1NYIBLCciILU1gg1Q0lRLlhUUkE6Rk1FLklRX1RPVEFMX1JFVi5GWTIwMTYuMTIvMzEvMjAxOC5MLlAuVVNELkgBAAAACt4FAAIAAAAMMTc0OTEuNTE4MDA1AQgAAAAFAAAAATEBAAAACjE4NzYwNzE3ODMDAAAAAzE2MAIAAAACMjgEAAAAATAHAAAACjEyLzMxLzIwMTgIAAAACjEyLzMxLzIwMTYJAAAAATDyoSZ6gtTWCNKrl4iC1NYIKENJUS5JUVRSNTYyMDkzNDcwLklRX1RSX0lNUExJRURfRVZfRklOQUwBAAAAnt2AIQIAAAAAAGGKJ3qC1NYIa4qViILU1ggzQ0lRLlhUUkE6Rk1FLklRX0NBU0hfRVFVSVYuMjAwMC4xMi8zMS8yMDE4Li5QLlVTRC5IAQAAAAreBQACAAAACzI0NTYuNjQzMDA0AQgAAAAFAAAAATEBAAAACjE5NDY0MDg5NTYDAAAAAzE2MAIAAAAEMTA5NgQAAAABMAcAAAAKMTIvMzEvMjAxOAgAAAAKMTIvMzEvMjAxOAkAAAABMPx6JnqC1NYIEmmaiILU1gg1Q0lRLk5ZU0U6RFZBLklRX1RPVEFMX1JFVi5GWTIwMTYuMTIvMzEvMjAx</t>
  </si>
  <si>
    <t>OC5MLlAuVVNELkgBAAAAPIsAAAIAAAAIMTA2OTUuNzkBCAAAAAUAAAABMQEAAAAKMTg3NTgwNzI5OQMAAAADMTYwAgAAAAIyOAQAAAABMAcAAAAKMTIvMzEvMjAxOAgAAAAKMTIvMzEvMjAxNgkAAAABMPKhJnqC1NYIKU2WiILU1ggcQ0lRLklRMTE1NTQ0LklRX0NPTVBBTllfTkFNRQEAAABYwwEAAwAAABVOeFN0YWdlIE1lZGljYWwsIEluYy4A4O8meoLU1gggm5aIgtTWCCZDSVEuREI6RlJFLklRX0VCSVREQS5GWTIwMTcuMTIvMzEvMjAxOAEAAADDaw0AAgAAAAs3MDcyLjUyNjQxOAEIAAAABQAAAAExAQAAAAoxODc5Njg4OTkzAwAAAAMxNjACAAAABDQwNTEEAAAAATAHAAAACjEyLzMxLzIwMTgIAAAACjEyLzMxLzIwMTcJAAAAATAfVCZ6gtTWCFcJoIiC1NYIIUNJUS5JUVRSNjA1NTc3MjM2LklRX1RSX1RBUkdFVF9JRAEAAAAUYBgkAwAAAAtJUTYwNTU3NzIwMwBhiid6gtTWCLxJk4iC1NYIM0NJUS5JUTEzNzMwNDg5My5JUV9EQVlTX1NBTEVTX09VVC5GWTIwMTcuMTIvMzEvMjAxOAEAAAA9Gy8IAgAAAAgzOS4zODIwNAEIAAAABQAAAAExAQAAAAoxODc3MTcxMzc4AwAAAAMxNjACAAAABDQwNDIEAAAAATAHAAAACjEyLzMxLzIwMTgIAAAACjEyLzMxLzIwMTcJAAAAATBOtEKJgtTWCCGmDKCC1NYIMENJUS5JUTM4NDUyMi5JUV9EQVlTX1NBTEVTX09VVC5GWTIwMTYuMTIvMzEvMjAxOAEAAAAK3gUA</t>
  </si>
  <si>
    <t>AgAAAAk3Ny42MDgxMDQBCAAAAAUAAAABMQEAAAAKMTg3NjA3MTc4MwMAAAACNTACAAAABDQwNDIEAAAAATAHAAAACjEyLzMxLzIwMTgIAAAACjEyLzMxLzIwMTYJAAAAATAwjUKJgtTWCPZBDaCC1NYIJkNJUS5YVFJBOkZNRS5JUV9FQklULkZZMjAxNC4xMi8zMS8yMDE4AQAAAAreBQACAAAACDIyMjkuNjk1AQgAAAAFAAAAATEBAAAACjE4Mjg5NTAwODADAAAAAzE2MAIAAAADNDAwBAAAAAEwBwAAAAoxMi8zMS8yMDE4CAAAAAoxMi8zMS8yMDE0CQAAAAEw/HomeoLU1gjv/ZyIgtTWCDxDSVEuSVExNDEyNzE4NjguSVFfRUJJVF8xWVJfQU5OX0dST1dUSC4xOTk4LjEyLzMxLzIwMTUuTEZSLlABAAAAPKNrCAMAAAAAAMHxQYmC1NYIAPsRoILU1ggrQ0lRLklRMTE1NTQ0LklRX1RPVEFMX1JFVi5GWTIwMTYuMTIvMzEvMjAxOAEAAABYwwEAAgAAAAczNjYuMzc4AQgAAAAFAAAAATEBAAAACjE4NzQ4MDQ5NzIDAAAAAzE2MAIAAAACMjgEAAAAATAHAAAACjEyLzMxLzIwMTgIAAAACjEyLzMxLzIwMTYJAAAAATC/xyZ6gtTWCM9ynYiC1NYINUNJUS5JUTExNTU0NC5JUV9FQklUXzFZUl9BTk5fR1JPV1RILkZZMjAxNC4xMi8zMS8yMDE4AQAAAFjDAQADAAAAAk5NAQgAAAAFAAAAATEBAAAACjE4MzAxNjU2NjkDAAAAAzE2MAIAAAAENDE5NwQAAAABMAcAAAAKMTIvMzEvMjAxOAgAAAAKMTIvMzEvMjAxNAkAAAAB</t>
  </si>
  <si>
    <t>MD9mQomC1NYISzwPoILU1gg5Q0lRLklRMzU2NDQuSVFfVE9UQUxfUkVWXzFZUl9BTk5fR1JPV1RILkZZMjAxMy4xMi8zMS8yMDE4AQAAADyLAAACAAAABzQzLjcyMTMBCAAAAAUAAAABMQEAAAAKMTc3ODEzNTU1NwMAAAADMTYwAgAAAAQ0MTk0BAAAAAEwBwAAAAoxMi8zMS8yMDE4CAAAAAoxMi8zMS8yMDEzCQAAAAEwUj9CiYLU1gjhmxCggtTWCDpDSVEuSVE4Nzk1NTUuSVFfVE9UQUxfUkVWXzFZUl9BTk5fR1JPV1RILkZZMjAxNS4xMi8zMS8yMDE4AQAAAMNrDQACAAAABzE4LjkxODYBCAAAAAUAAAABMQEAAAAKMTgzMzA0MDg1OQMAAAACNTACAAAABDQxOTQEAAAAATAHAAAACjEyLzMxLzIwMTgIAAAACjEyLzMxLzIwMTUJAAAAATBSP0KJgtTWCCwmEKCC1NYINENJUS5JUTExNTU0NC5JUV9EQVlTX0lOVkVOVE9SWV9PVVQuRlkyMDE1LjEyLzMxLzIwMTgBAAAAWMMBAAIAAAAINzQuNzk1MDcBCAAAAAUAAAABMQEAAAAKMTg3NDgwNTA0NAMAAAADMTYwAgAAAAQ0MDM1BAAAAAEwBwAAAAoxMi8zMS8yMDE4CAAAAAoxMi8zMS8yMDE1CQAAAAEwMI1CiYLU1gj5Gg2ggtTWCDRDSVEuSVEzODQ1MjIuSVFfREFZU19JTlZFTlRPUllfT1VULkZZMjAxNy4xMi8zMS8yMDE4AQAAAAreBQACAAAACTQwLjcxODMwNQEIAAAABQAAAAExAQAAAAoxODc2MDcxNzg5AwAAAAI1MAIAAAAENDAzNQQAAAABMAcAAAAKMTIv</t>
  </si>
  <si>
    <t>MzEvMjAxOAgAAAAKMTIvMzEvMjAxNwkAAAABME60QomC1NYIabwLoILU1ggsQ0lRLklRVFIxMzg2OTE2OTUuSVFfVFJfVEFSR0VUX0VCSVREQV9FUV9JTkMBAAAAb0RECAIAAAAAAHhjJ3qC1NYIx9KXiILU1gg1Q0lRLklRMzg0NTIyLklRX0VCSVRfMVlSX0FOTl9HUk9XVEguRlkyMDE0LjEyLzMxLzIwMTgBAAAACt4FAAIAAAAHLTAuMDE3OAEIAAAABQAAAAExAQAAAAoxODI4OTUwMDgwAwAAAAMxNjACAAAABDQxOTcEAAAAATAHAAAACjEyLzMxLzIwMTgIAAAACjEyLzMxLzIwMTQJAAAAATA/ZkKJgtTWCF1jD6CC1NYINENJUS5EQjpGUkUuSVFfVE9UQUxfREVCVC4yMDAwLjEyLzMxLzIwMTguTEZSLkYuVVNELkgBAAAAw2sNAAIAAAAMMjIwMjkuNzQzMjM1AQgAAAAFAAAAATEBAAAACjE5MTc3Njc2MDkDAAAAAzE2MAIAAAAENDE3MwQAAAABMAcAAAAKMTIvMzEvMjAxOAgAAAAJOS8zMC8yMDE4CQAAAAEw/HomeoLU1ghqeJuIgtTWCDJDSVEuSVEzODQ1MjIuSVFfREFZU19QQVlBQkxFX09VVC5GWTIwMTUuMTIvMzEvMjAxOAEAAAAK3gUAAgAAAAkyMy45NTUzMTUBCAAAAAUAAAABMQEAAAAKMTg3NjA3MTc4MgMAAAACNTACAAAABDQxODMEAAAAATAHAAAACjEyLzMxLzIwMTgIAAAACjEyLzMxLzIwMTUJAAAAATBOtEKJgtTWCDkxDKCC1NYIP0NJUS5EQjpGUkUuSVFfRUJJVF9NRURJQU5fRVNUX0NJUS5G</t>
  </si>
  <si>
    <t>WTIwMTkuMTIvMzEvMjAxOC5DT04uRi5VU0QuSAEAAADDaw0AAgAAAA81NDE0LjQ2ODc0MjI5MDcBDgAAAAUAAAABMwEAAAABMAIAAAAKMTAwMDM4ODQ2NQMAAAAGMTAwMjE2BAAAAAEzBgAAAAEwBwAAAAMxNjAIAAAAATAJAAAAATEKAAAAATALAAAACzExMjE1NzMzNjE2DAAAAAExDQAAAAgxLzEvMjAxORAAAAAKMTIvMzEvMjAxOFaxJ3qC1NYIwm6fiILU1gg8Q0lRLklRMTM3MzA0ODkzLklRX0VCSVRfTUFSR0lOLkZZMjAxNy4xMi8zMS8yMDE4LkxGUi5QLlVTRC5IAQAAAD0bLwgCAAAABzE2LjU1MzQBCAAAAAUAAAABMQEAAAAKMTg3NzE3MTM3OAMAAAADMTYwAgAAAAQ0MDUzBAAAAAEwBwAAAAoxMi8zMS8yMDE4CAAAAAoxMi8zMS8yMDE3CQAAAAEwTrRCiYLU1gghpgyggtTWCCpDSVEuWFRSQTpGTUUuSVFfTUFSS0VUQ0FQLjEyLzMxLzIwMTguVVNELkgBAAAACt4FAAIAAAAMMTk4OTguOTMxMzMzAQYAAAAFAAAAATEBAAAACjE5MTcyODQzODkDAAAAAzE2MAIAAAAGMTAwMDU0BAAAAAEwBwAAAAoxMi8zMS8yMDE4khUneoLU1gg5KJGIgtTWCDdDSVEuSVE4Nzk1NTUuSVFfRUJJVERBXzFZUl9BTk5fR1JPV1RILkZZMjAxNi4xMi8zMS8yMDE4AQAAAMNrDQACAAAABjkuNDk0OQEIAAAABQAAAAExAQAAAAoxODc5Njg4OTkwAwAAAAI1MAIAAAAENDE5NgQAAAABMAcAAAAKMTIvMzEvMjAxOAgAAAAKMTIv</t>
  </si>
  <si>
    <t>MzEvMjAxNgkAAAABMD9mQomC1NYIBhYPoILU1gg5Q0lRLklRODc5NTU1LklRX0VCSVRfTUFSR0lOLkZZMjAxNC4xMi8zMS8yMDE4LkxGUi5QLlVTRC5IAQAAAMNrDQACAAAABzEzLjQwNDUBCAAAAAUAAAABMQEAAAAKMTc4MTczNTAyOAMAAAACNTACAAAABDQwNTMEAAAAATAHAAAACjEyLzMxLzIwMTgIAAAACjEyLzMxLzIwMTQJAAAAATA/ZkKJgtTWCIzHDqCC1NYILENJUS5JUVRSMjQxOTU5Njg5LklRX1RSX1RPVEFMX0dST1NTX1RWX0ZJTkFMAQAAAAkDbA4CAAAABDQuNjQApDwneoLU1gggQpqIgtTWCCRDSVEuTllTRTpEVkEuSVFfQlVTSU5FU1NfREVTQ1JJUFRJT04BAAAAPIsAAAMAAADtCkRhVml0YSBJbmMuIHByb3ZpZGVzIGtpZG5leSBkaWFseXNpcyBzZXJ2aWNlcyBmb3IgcGF0aWVudHMgc3VmZmVyaW5nIGZyb20gY2hyb25pYyBraWRuZXkgZmFpbHVyZSBvciBlbmQgc3RhZ2UgcmVuYWwgZGlzZWFzZSAoRVNSRCkuIFRoZSBjb21wYW55IG9wZXJhdGVzIGtpZG5leSBkaWFseXNpcyBjZW50ZXJzIGFuZCBwcm92aWRlcyByZWxhdGVkIGxhYiBzZXJ2aWNlcyBpbiBvdXRwYXRpZW50IGRpYWx5c2lzIGNlbnRlcnMuIEl0IGFsc28gcHJvdmlkZXMgb3V0cGF0aWVudCwgaG9zcGl0YWwgaW5wYXRpZW50LCBhbmQgaG9tZS1iYXNlZCBoZW1vZGlhbHlzaXMgc2VydmljZXM7IG93bnMgY2xpbmljYWwg</t>
  </si>
  <si>
    <t>bGFib3JhdG9yaWVzIHRoYXQgcHJvdmlkZSByb3V0aW5lIGxhYm9yYXRvcnkgdGVzdHMgZm9yIGRpYWx5c2lzIGFuZCBvdGhlciBwaHlzaWNpYW4tcHJlc2NyaWJlZCBsYWJvcmF0b3J5IHRlc3RzIGZvciBFU1JEIHBhdGllbnRzOyBhbmQgbWFuYWdlbWVudCBhbmQgYWRtaW5pc3RyYXRpdmUgc2VydmljZXMgdG8gb3V0cGF0aWVudCBkaWFseXNpcyBjZW50ZXJzLiBJbiBhZGRpdGlvbiwgdGhlIGNvbXBhbnkgcHJvdmlkZXMgZGlzZWFzZSBtYW5hZ2VtZW50IHNlcnZpY2VzOyB2YXNjdWxhciBhY2Nlc3Mgc2VydmljZXM7IGNsaW5pY2FsIHJlc2VhcmNoIHByb2dyYW1zOyBwaHlzaWNpYW4gc2VydmljZXM7IGFuZCBjb21wcmVoZW5zaXZlIGNhcmUgc2VydmljZXMuIEFzIG9mIERlY2VtYmVyIDMxLCAyMDE4LCBpdCBwcm92aWRlZCBkaWFseXNpcyBhbmQgYWRtaW5pc3RyYXRpdmUgc2VydmljZXMgaW4gdGhlIFVuaXRlZCBTdGF0ZXMgdGhyb3VnaCBhIG5ldHdvcmsgb2YgMiw2NjQgb3V0cGF0aWVudCBkaWFseXNpcyBjZW50ZXJzIHNlcnZpbmcgYXBwcm94aW1hdGVseSAyMDIsNzAwIHBhdGllbnRzOyBhbmQgb3BlcmF0ZWQgMjQxIG91dHBhdGllbnQgZGlhbHlzaXMgY2VudGVycyBsb2NhdGVkIGluIDkgY291bnRyaWVzIG91dHNpZGUgb2YgdGhlIFVuaXRlZCBTdGF0ZXMgc2VydmluZyBhcHByb3hpbWF0</t>
  </si>
  <si>
    <t>ZWx5IDI1LDAwMCBwYXRpZW50cy4gRnVydGhlciwgdGhlIGNvbXBhbnkgcHJvdmlkZXMgYWN1dGUgaW5wYXRpZW50IGRpYWx5c2lzIHNlcnZpY2VzIGluIGFwcHJveGltYXRlbHkgOTAwIGhvc3BpdGFscyBhbmQgcmVsYXRlZCBsYWJvcmF0b3J5IHNlcnZpY2VzIGluIHRoZSBVbml0ZWQgU3RhdGVzLiBUaGUgY29tcGFueSB3YXMgZm9ybWVybHkga25vd24gYXMgRGFWaXRhIEhlYWx0aENhcmUgUGFydG5lcnMgSW5jLiBhbmQgY2hhbmdlZCBpdHMgbmFtZSB0byBEYVZpdGEgSW5jLiBpbiBTZXB0ZW1iZXIgMjAxNi4gRGFWaXRhIEluYy4gd2FzIGZvdW5kZWQgaW4gMTk5NCBhbmQgaXMgaGVhZHF1YXJ0ZXJlZCBpbiBEZW52ZXIsIENvbG9yYWRvLgDg7yZ6gtTWCETZkIiC1NYIMkNJUS5JUTg3OTU1NS5JUV9EQVlTX1BBWUFCTEVfT1VULkZZMjAxNi4xMi8zMS8yMDE4AQAAAMNrDQACAAAACTIzLjUwNzQ0OAEIAAAABQAAAAExAQAAAAoxODc5Njg4OTkwAwAAAAI1MAIAAAAENDE4MwQAAAABMAcAAAAKMTIvMzEvMjAxOAgAAAAKMTIvMzEvMjAxNgkAAAABME60QomC1NYINuULoILU1ghEQ0lRLk5ZU0U6QVJBLklRX1JFVkVOVUVfTUVESUFOX0VTVF9DSVEuRlkyMDE5LjEyLzMxLzIwMTguQ09OLkYuVVNELkgBAAAAPRsvCAIAAAAIOTA2LjIxNzUBDgAAAAUAAAABMwEAAAABMAIAAAAKMTAwMzQwMTQxMgMAAAAG</t>
  </si>
  <si>
    <t>MTAwMTgxBAAAAAEyBgAAAAEwBwAAAAMxNjAIAAAAATAJAAAAATEKAAAAATALAAAACzExMzUwNzgxMDA1DAAAAAExDQAAAAgxLzEvMjAxORAAAAAKMTIvMzEvMjAxOEzYJ3qC1NYI+taciILU1ggjQ0lRLjAuSVFfTUFSS0VUQ0FQLjEyLzMxLzIwMTguVVNELkgFAAAAAAAAAAgAAAAUKEludmFsaWQgSWRlbnRpZmllcimSFSd6gtTWCCBCmoiC1NYIKENJUS5OWVNFOkRWQS5JUV9FQklUREEuRlkyMDE1LjEyLzMxLzIwMTgBAAAAPIsAAAIAAAAIMjI1OS42MDYBCAAAAAUAAAABMQEAAAAKMTg3NTgwNzI4OQMAAAADMTYwAgAAAAQ0MDUxBAAAAAEwBwAAAAoxMi8zMS8yMDE4CAAAAAoxMi8zMS8yMDE1CQAAAAEw/HomeoLU1giiNZ6IgtTWCERDSVEuWFRSQTpGTUUuSVFfUkVWRU5VRV9NRURJQU5fRVNUX0NJUS5GWTIwMTguMTIvMzEvMjAxOC5DT04uRi5VU0QuSAEAAAAK3gUAAgAAAAoxODY5OS4xOTk1AQ4AAAAFAAAAATMBAAAAATACAAAACjEwMDAyNDYxMjgDAAAABjEwMDE4MQQAAAABMwYAAAABMAcAAAADMTYwCAAAAAEwCQAAAAExCgAAAAEwCwAAAAsxMTIxNzgyNjAyNQwAAAABMQ0AAAAIMS8xLzIwMTkQAAAACjEyLzMxLzIwMThM2Cd6gtTWCHCfm4iC1NYIPkNJUS5JUTEzNzMwNDg5My5JUV9FQklUREFfTUFSR0lOLkZZMjAxMy4xMi8zMS8yMDE4LkxGUi5QLlVTRC5IAQAAAD0bLwgCAAAABjI3LjIwMgEI</t>
  </si>
  <si>
    <t>AAAABQAAAAExAQAAAAoxNzg3OTgzODM0AwAAAAMxNjACAAAABDQwNDcEAAAAATAHAAAACjEyLzMxLzIwMTgIAAAACjEyLzMxLzIwMTMJAAAAATBSP0KJgtTWCCwmEKCC1NYIQUNJUS5YVFJBOkZNRS5JUV9FQklUX01FRElBTl9FU1RfQ0lRLkZZMjAyMS4xMi8zMS8yMDE4LkNPTi5GLlVTRC5IAQAAAAreBQACAAAACDMyNTMuNDk5AQ4AAAAFAAAAATMBAAAAATACAAAACjEwMDAyNDYxMzEDAAAABjEwMDIxNgQAAAABMwYAAAABMAcAAAADMTYwCAAAAAEwCQAAAAExCgAAAAEwCwAAAAsxMTIxMzE0NzczNgwAAAABMQ0AAAAIMS8xLzIwMTkQAAAACjEyLzMxLzIwMThhiid6gtTWCPXLoIiC1NYIQ0NJUS5OWVNFOkRWQS5JUV9FQklUREFfTUVESUFOX0VTVF9DSVEuRlkyMDIyLjEyLzMxLzIwMTguQ09OLkYuVVNELkgBAAAAPIsAAAMAAAAAAGGKJ3qC1NYI9cugiILU1ggpQ0lRLkRCOkZSRS5JUV9UT1RBTF9SRVYuRlkyMDE0LjEyLzMxLzIwMTgBAAAAw2sNAAIAAAAMMjgxMTkuNTkwODgzAQgAAAAFAAAAATEBAAAACjE3ODE3MzUwMjgDAAAAAzE2MAIAAAACMjgEAAAAATAHAAAACjEyLzMxLzIwMTgIAAAACjEyLzMxLzIwMTQJAAAAATD8eiZ6gtTWCBZinIiC1NYIQUNJUS5EQjpGUkUuSVFfRUJJVERBX01FRElBTl9FU1RfQ0lRLkZZMjAxNy4xMi8zMS8yMDE4LkNPTi5GLlVTRC5IAQAAAMNrDQACAAAAEDc1Mjku</t>
  </si>
  <si>
    <t>MDU1NzA0Njg2MzMBDgAAAAUAAAABMwEAAAABMAIAAAAKMTAwMDM4ODQ2MwMAAAAGMTAwMTg4BAAAAAEzBgAAAAEwBwAAAAMxNjAIAAAAATAJAAAAATEKAAAAATALAAAACzEwODM3MDAyMTYxDAAAAAExDQAAAAgxLzEvMjAxORAAAAAKMTIvMzEvMjAxN0zYJ3qC1NYIFmKciILU1ggoQ0lRLklRVFI2MDU1NzcyMzYuSVFfVFJfVEFSR0VUX1RPVEFMX1JFVgEAAAAUYBgkAgAAAAAAeGMneoLU1gjSq5eIgtTWCChDSVEuSVFUUjExOTEzMDc0NS5JUV9UUl9UQVJHRVRfVE9UQUxfUkVWAQAAAHnKGQcCAAAAAzM2MAB4Yyd6gtTWCIu8mIiC1NYIOENJUS5JUTM1NjQ0LklRX0VCSVRfTUFSR0lOLkZZMjAxNy4xMi8zMS8yMDE4LkxGUi5QLlVTRC5IAQAAADyLAAACAAAABzE0Ljk5MTkBCAAAAAUAAAABMQEAAAAKMTg3NTgwNzIxNgMAAAADMTYwAgAAAAQ0MDUzBAAAAAEwBwAAAAoxMi8zMS8yMDE4CAAAAAoxMi8zMS8yMDE3CQAAAAEwMI1CiYLU1ggg9AyggtTWCCFDSVEuSVFUUjU2MjA5MzQ3MC5JUV9UUl9CVVlFUk5BTUUBAAAAnt2AIQMAAAALRGFWaXRhIEluYy4ApDwneoLU1giotZqIgtTWCERDSVEuWFRSQTpGTUUuSVFfUkVWRU5VRV9NRURJQU5fRVNUX0NJUS5GWTIwMjEuMTIvMzEvMjAxOC5DT04uRi5VU0QuSAEAAAAK3gUAAgAAAAoyMjMyMy44OTc1AQ4AAAAFAAAAATMBAAAAATACAAAACjEwMDAyNDYxMzED</t>
  </si>
  <si>
    <t>AAAABjEwMDE4MQQAAAABMwYAAAABMAcAAAADMTYwCAAAAAEwCQAAAAExCgAAAAEwCwAAAAsxMTIxMzE0Nzc1NAwAAAABMQ0AAAAIMS8xLzIwMTkQAAAACjEyLzMxLzIwMThWsSd6gtTWCMJun4iC1NYIKUNJUS5JUVRSMjQxOTU5Njg5LklRX0JVU0lORVNTX0RFU0NSSVBUSU9OAQAAAMv/aw4DAAAAiAJBcyBvZiBKdW5lIDExLCAyMDEzLCBEaWFseXNpcyBDZW50ZXIgUHJvcGVydHkgaW4gSW5kaWFuYSB3YXMgYWNxdWlyZWQgYnkgQ2FydGVyL1ZhbGlkdXMgT3BlcmF0aW5nIFBhcnRuZXJzaGlwLCBMUC4gRGlhbHlzaXMgQ2VudGVyIFByb3BlcnR5IGluIEluZGlhbmEgY29tcHJpc2VzIGEgbWVkaWNhbCBmYWNpbGl0eSBpbmNsdWRpbmcgYW4gb3V0cGF0aWVudCBkaWFseXNpcyBjZW50ZXIuIFRoZSBwcm9wZXJ0eSBpcyBsb2NhdGVkIGluIEdvc2hlbiwgSW5kaWFuYS4A4O8meoLU1ggSMJmIgtTWCDNDSVEuSVExMTU1NDQuSVFfQ0FTSF9FUVVJVi4yMDAwLjEyLzMxLzIwMTguLlAuVVNELkgBAAAAWMMBAAIAAAAGODEuOTQ0AQgAAAAFAAAAATEBAAAACjE5MTk5ODY0MDMDAAAAAzE2MAIAAAAEMTA5NgQAAAABMAcAAAAKMTIvMzEvMjAxOAgAAAAJOS8zMC8yMDE4CQAAAAEw8qEmeoLU1ghAzZmIgtTWCCBDSVEuSVFUUjIyNDc1ODM2MS5JUV9UUl9BTk5fREFURQEAAABZimUNBQAAAAoxMC8yNS8yMDEyAKQ8</t>
  </si>
  <si>
    <t>J3qC1NYIrFeZiILU1ggqQ0lRLklRMzYxODM4NDAuSVFfTEFTVFNBTEVQUklDRS4xMi8zMS8yMDE4AQAAACAfKAICAAAABDIuODcAH1QmeoLU1ggdYpWIgtTWCCZDSVEuREI6RlJFLklRX0VCSVREQS5GWTIwMTYuMTIvMzEvMjAxOAEAAADDaw0AAgAAAAs1NzIxLjUyNDMzNAEIAAAABQAAAAExAQAAAAoxODc5Njg4OTkwAwAAAAMxNjACAAAABDQwNTEEAAAAATAHAAAACjEyLzMxLzIwMTgIAAAACjEyLzMxLzIwMTYJAAAAATD8eiZ6gtTWCK+Vn4iC1NYIN0NJUS5JUTM4NDUyMi5JUV9FQklUREFfMVlSX0FOTl9HUk9XVEguRlkyMDE3LjEyLzMxLzIwMTgBAAAACt4FAAIAAAAHLTAuNjkwOAEIAAAABQAAAAExAQAAAAoxODc2MDcxNzg5AwAAAAI1MAIAAAAENDE5NgQAAAABMAcAAAAKMTIvMzEvMjAxOAgAAAAKMTIvMzEvMjAxNwkAAAABMDCNQomC1NYIsisOoILU1gg6Q0lRLklRMzg0NTIyLklRX1RPVEFMX1JFVl8xWVJfQU5OX0dST1dUSC5GWTIwMTUuMTIvMzEvMjAxOAEAAAAK3gUAAgAAAAY0LjAzMzcBCAAAAAUAAAABMQEAAAAKMTg3NjA3MTc4MgMAAAACNTACAAAABDQxOTQEAAAAATAHAAAACjEyLzMxLzIwMTgIAAAACjEyLzMxLzIwMTUJAAAAATBSP0KJgtTWCCwmEKCC1NYIO0NJUS5JUTg3OTU1NS5JUV9FQklUREFfTUFSR0lOLkZZMjAxNy4xMi8zMS8yMDE4LkxGUi5QLlVTRC5IAQAAAMNrDQACAAAA</t>
  </si>
  <si>
    <t>BzE3LjM4MTgBCAAAAAUAAAABMQEAAAAKMTg3OTY4ODk5MwMAAAACNTACAAAABDQwNDcEAAAAATAHAAAACjEyLzMxLzIwMTgIAAAACjEyLzMxLzIwMTcJAAAAATAwjUKJgtTWCM62DaCC1NYIQ0NJUS5JUTExNTU0NC5JUV9FQklUREFfTUVESUFOX0VTVF9DSVEuRlkyMDIwLjEyLzMxLzIwMTguQ09OLkYuVVNELkgBAAAAWMMBAAIAAAAGOTUuOTYyAQ4AAAAFAAAAATMBAAAAATACAAAACjEwMDA5OTQyNjYDAAAABjEwMDE4OAQAAAABMgYAAAABMAcAAAADMTYwCAAAAAEwCQAAAAExCgAAAAEwCwAAAAsxMTE2OTkxMTg5MgwAAAABMQ0AAAAIMS8xLzIwMTkQAAAACjEyLzMxLzIwMThWsSd6gtTWCK+Vn4iC1NYIKENJUS5OWVNFOkFSQS5JUV9FQklUREEuRlkyMDE0LjEyLzMxLzIwMTgBAAAAPRsvCAIAAAAHMTY3Ljg2MQEIAAAABQAAAAExAQAAAAoxODMxMTA0MTc5AwAAAAMxNjACAAAABDQwNTEEAAAAATAHAAAACjEyLzMxLzIwMTgIAAAACjEyLzMxLzIwMTQJAAAAATD8eiZ6gtTWCD7tm4iC1NYIO0NJUS5JUTM4NDUyMi5JUV9FQklUREFfTUFSR0lOLkZZMjAxNi4xMi8zMS8yMDE4LkxGUi5QLlVTRC5IAQAAAAreBQACAAAABzE4LjQxNzkBCAAAAAUAAAABMQEAAAAKMTg3NjA3MTc4MwMAAAACNTACAAAABDQwNDcEAAAAATAHAAAACjEyLzMxLzIwMTgIAAAACjEyLzMxLzIwMTYJAAAAATAwjUKJgtTWCLIrDqCC</t>
  </si>
  <si>
    <t>1NYIK0NJUS5YVFJBOkZNRS5JUV9UT1RBTF9SRVYuRlkyMDE3LjEyLzMxLzIwMTgBAAAACt4FAAIAAAAMMjEzNTMuOTUyOTMzAQgAAAAFAAAAATEBAAAACjE4NzYwNzE3ODkDAAAAAzE2MAIAAAACMjgEAAAAATAHAAAACjEyLzMxLzIwMTgIAAAACjEyLzMxLzIwMTcJAAAAATD8eiZ6gtTWCMJun4iC1NYIQ0NJUS5OWVNFOkFSQS5JUV9FQklUREFfTUVESUFOX0VTVF9DSVEuRlkyMDE4LjEyLzMxLzIwMTguQ09OLkYuVVNELkgBAAAAPRsvCAIAAAAJMTA2LjExMDk0AQ4AAAAFAAAAATMBAAAAATACAAAACjEwMDM0MDA2NjgDAAAABjEwMDE4OAQAAAABMgYAAAABMAcAAAADMTYwCAAAAAEwCQAAAAExCgAAAAEwCwAAAAsxMTM1MDc4MTAyOQwAAAABMQ0AAAAIMS8xLzIwMTkQAAAACjEyLzMxLzIwMThM2Cd6gtTWCNpLnYiC1NYIOENJUS5JUTEzNzMwNDg5My5JUV9FQklUXzFZUl9BTk5fR1JPV1RILkZZMjAxNi4xMi8zMS8yMDE4AQAAAD0bLwgCAAAACC0xMC4xMDk1AQgAAAAFAAAAATEBAAAACjE4NzcxNzEzNjYDAAAAAzE2MAIAAAAENDE5NwQAAAABMAcAAAAKMTIvMzEvMjAxOAgAAAAKMTIvMzEvMjAxNgkAAAABMDCNQomC1NYIzrYNoILU1ggpQ0lRLklRVFI2MDU1NzcyMzYuSVFfQlVTSU5FU1NfREVTQ1JJUFRJT04BAAAA818YJAMAAAB3RGFWaXRhIERpYWx5c2lzIFByb3BlcnR5IGluIFRleGFzIGNvbXBy</t>
  </si>
  <si>
    <t>aXNlcyBjb21tZXJjaWFsIHJlYWwgZXN0YXRlIHByb3BlcnR5LiBUaGUgYXNzZXQgaXMgbG9jYXRlZCBpbiB0aGUgVW5pdGVkIFN0YXRlcy4A4O8meoLU1gjYl5OIgtTWCDlDSVEuSVExMTU1NDQuSVFfRUJJVF9NQVJHSU4uRlkyMDE1LjEyLzMxLzIwMTguTEZSLlAuVVNELkgBAAAAWMMBAAIAAAAHLTQuMjkyNwEIAAAABQAAAAExAQAAAAoxODc0ODA1MDQ0AwAAAAMxNjACAAAABDQwNTMEAAAAATAHAAAACjEyLzMxLzIwMTgIAAAACjEyLzMxLzIwMTUJAAAAATAwjUKJgtTWCMEEDqCC1NYIJENJUS5JUTExNTU0NC5JUV9CVVNJTkVTU19ERVNDUklQVElPTgEAAABYwwEAAwAAAKEITnhTdGFnZSBNZWRpY2FsLCBJbmMuLCBhIG1lZGljYWwgdGVjaG5vbG9neSBjb21wYW55LCBkZXZlbG9wcywgbWFudWZhY3R1cmVzIGFuZCBtYXJrZXRzIHByb2R1Y3RzIGZvciB0aGUgdHJlYXRtZW50IG9mIGVuZC1zdGFnZSByZW5hbCBkaXNlYXNlIChFU1JEKSBhbmQgYWN1dGUga2lkbmV5IGZhaWx1cmUuIEl0IG9mZmVycyBTeXN0ZW0gT25lIEN5Y2xlLCBhIHBvcnRhYmxlIGhlbW9kaWFseXNpcyBzeXN0ZW0sIHdoaWNoIGlzIHVzZWQgcHJpbWFyaWx5IGZvciBob21lIGhlbW9kaWFseXNpczsgUHVyZUZsb3cgU0wsIG9mZmVycyB3YXRlciBwdXJpZmljYXRpb24gYW5kIGRpYWx5c2F0ZSBwcm9kdWN0aW9uIGluIG9uZSBp</t>
  </si>
  <si>
    <t>bnRlZ3JhdGVkIHVuaXQsIGRlc2lnbmVkIGZvciB1c2UgYXQgaG9tZSBvciBpbi1jZW50ZXI7IGNocm9uaWMgY2FydHJpZGdlcyBwcm92aWRlcyBwYXRpZW50IGZsZXhpYmlsaXR5IGZvciBtb3JlIGZyZXF1ZW50LCBub2N0dXJuYWwsIG9yIGludGVybWl0dGVudCByZW5hbCByZXBsYWNlbWVudCB0aGVyYXB5IGF0IGhvbWU7IGFuZCBOeDJtZSBDb25uZWN0ZWQgSGVhbHRoLCBhIHRlbGVoZWFsdGggcGxhdGZvcm0gZm9yIHRoZSBjb2xsZWN0aW9uIGFuZCBkZWxpdmVyeSBvZiBob21lIGhlbW9kaWFseXNpcyB0cmVhdG1lbnQgYW5kIHBhdGllbnQgbWVkaWNhbCBpbmZvcm1hdGlvbi4gSXQgYWxzbyBvZmZlcnMgYmxvb2RsaW5lcywgbmVlZGxlcywgYW5kIGRpYWx5c2lzIGZsdWlkcy4gVGhlIGNvbXBhbnkgcHJvdmlkZXMgZGlhbHlzaXMgc2VydmljZXMuIEl0IG9wZXJhdGVzIGRpYWx5c2lzIGNlbnRlcnMuIE54U3RhZ2UgTWVkaWNhbCwgSW5jLiB3YXMgZm9ybWVybHkga25vd24gYXMgUUIgTWVkaWNhbCwgSW5jLiBUaGUgY29tcGFueSB3YXMgZm91bmRlZCBpbiAxOTk4IGFuZCBpcyBiYXNlZCBpbiBMYXdyZW5jZSwgTWFzc2FjaHVzZXR0cy4gQXMgb2YgRmVicnVhcnkgMjEsIDIwMTksIE54U3RhZ2UgTWVkaWNhbCwgSW5jLiBvcGVyYXRlcyBhcyBhIHN1YnNpZGlhcnkgb2YgRnJlc2VuaXVzIE1lZGlj</t>
  </si>
  <si>
    <t>YWwgQ2FyZSBIb2xkaW5ncywgSW5jLgDg7yZ6gtTWCOr7koiC1NYIMUNJUS5JUTI2OTk3ODMzLklRX0VCSVRfTUFSR0lOLjIwMDAuOS8yLzIwMTEuTEZSLlABAAAASfSbAQMAAAAAAMHxQYmC1NYItW4SoILU1gg5Q0lRLklRMjY5OTc4MzMuSVFfRUJJVF8xWVJfQU5OX0dST1dUSC4xOTk4LjkvMi8yMDExLkxGUi5QAQAAAEn0mwEDAAAAAADB8UGJgtTWCKdHEqCC1NYIO0NJUS5JUTU2MjA5MzQ1OC5JUV9FQklUXzFZUl9BTk5fR1JPV1RILjE5OTguMy8zMS8yMDE4LkxGUi5QAQAAAJLdgCEDAAAAAACy4ECJgtTWCHWVEqCC1NYINENJUS5JUTM4NDUyMi5JUV9EQVlTX0lOVkVOVE9SWV9PVVQuRlkyMDE2LjEyLzMxLzIwMTgBAAAACt4FAAIAAAAJNDIuOTY4NzY2AQgAAAAFAAAAATEBAAAACjE4NzYwNzE3ODMDAAAAAjUwAgAAAAQ0MDM1BAAAAAEwBwAAAAoxMi8zMS8yMDE4CAAAAAoxMi8zMS8yMDE2CQAAAAEwTrRCiYLU1gg2WAyggtTWCDdDSVEuSVEzODQzMzEuSVFfRUJJVF8xWVJfQU5OX0dST1dUSC4yMDAwLjYvMS8yMDEwLkxGUi5QAQAAAEvdBQACAAAABzE1LjQ2NzUBCAAAAAUAAAABMQEAAAAKMTM2NTUxMTY2MgMAAAADMTYwAgAAAAQ0MTk3BAAAAAEwBwAAAAg2LzEvMjAxMAgAAAAJMy8zMS8yMDEwCQAAAAEwWBhCiYLU1ggNrRGggtTWCCJDSVEuSVFUUjEzODY5MTY5NS5JUV9UUl9UQVJHRVROQU1F</t>
  </si>
  <si>
    <t>AQAAAG9ERAgDAAAAFUxpYmVydHkgRGlhbHlzaXMsIExMQwB4Yyd6gtTWCMn5l4iC1NYIIENJUS5JUVRSMTMzODQ1MTExLklRX1RSX0FOTl9EQVRFAQAAAHdQ+gcFAAAACDYvMi8yMDExAKQ8J3qC1NYIIEKaiILU1ggoQ0lRLklRVFIxMzM4NDUxMTEuSVFfVFJfVEFSR0VUX1RPVEFMX1JFVgEAAAB3UPoHAgAAAAQzLjE4AHhjJ3qC1NYIKU2WiILU1gg3Q0lRLklRODc5NTU1LklRX0VCSVREQV8xWVJfQU5OX0dST1dUSC5GWTIwMTcuMTIvMzEvMjAxOAEAAADDaw0AAgAAAAY4LjY3MTUBCAAAAAUAAAABMQEAAAAKMTg3OTY4ODk5MwMAAAACNTACAAAABDQxOTYEAAAAATAHAAAACjEyLzMxLzIwMTgIAAAACjEyLzMxLzIwMTcJAAAAATAwjUKJgtTWCKxSDqCC1NYIOUNJUS5JUTUwMDk0ODI1LklRX0VCSVRfMVlSX0FOTl9HUk9XVEguMTk5OC41LzEvMjAxNy5MRlIuUAEAAADpYvwCAwAAAAAAWBhCiYLU1gjCXRGggtTWCCZDSVEuTllTRTpBUkEuSVFfRUJJVC5GWTIwMTMuMTIvMzEvMjAxOAEAAAA9Gy8IAgAAAAcxMTEuMTk1AQgAAAAFAAAAATEBAAAACjE3ODc5ODM4MzQDAAAAAzE2MAIAAAADNDAwBAAAAAEwBwAAAAoxMi8zMS8yMDE4CAAAAAoxMi8zMS8yMDEzCQAAAAEw/HomeoLU1ggTiZyIgtTWCDpDSVEuSVExMTU1NDQuSVFfVE9UQUxfUkVWXzFZUl9BTk5fR1JPV1RILkZZMjAxNS4xMi8zMS8yMDE4AQAA</t>
  </si>
  <si>
    <t>AFjDAQACAAAABzExLjQ4MzIBCAAAAAUAAAABMQEAAAAKMTg3NDgwNTA0NAMAAAADMTYwAgAAAAQ0MTk0BAAAAAEwBwAAAAoxMi8zMS8yMDE4CAAAAAoxMi8zMS8yMDE1CQAAAAEwUj9CiYLU1giWThCggtTWCC5DSVEuREI6RlJFLklRX0VCSVQuRlkyMDE2LjEyLzMxLzIwMTguTC5QLlVTRC5IAQAAAMNrDQACAAAACzQ1MDYuNDkyMTM3AQgAAAAFAAAAATEBAAAACjE4Nzk2ODg5OTADAAAAAzE2MAIAAAADNDAwBAAAAAEwBwAAAAoxMi8zMS8yMDE4CAAAAAoxMi8zMS8yMDE2CQAAAAEw/HomeoLU1gjSUpuIgtTWCDJDSVEuSVE4Nzk1NTUuSVFfREFZU19QQVlBQkxFX09VVC5GWTIwMTcuMTIvMzEvMjAxOAEAAADDaw0AAgAAAAkyMy4zNDc5NTUBCAAAAAUAAAABMQEAAAAKMTg3OTY4ODk5MwMAAAACNTACAAAABDQxODMEAAAAATAHAAAACjEyLzMxLzIwMTgIAAAACjEyLzMxLzIwMTcJAAAAATBOtEKJgtTWCGm8C6CC1NYIKENJUS5EQjpGUkUuSVFfTUFSS0VUQ0FQLjEyLzMxLzIwMTguVVNELkgBAAAAw2sNAAIAAAALMjY4ODEuMDEyOTgBBgAAAAUAAAABMQEAAAAKMTkxNzc2NzU2OQMAAAADMTYwAgAAAAYxMDAwNTQEAAAAATAHAAAACjEyLzMxLzIwMTiSFSd6gtTWCHw8lYiC1NYIMENJUS5JUTg3OTU1NS5JUV9EQVlTX1NBTEVTX09VVC5GWTIwMTUuMTIvMzEvMjAxOAEAAADDaw0AAgAAAAk2MC4zNzI4MjUB</t>
  </si>
  <si>
    <t>CAAAAAUAAAABMQEAAAAKMTgzMzA0MDg1OQMAAAACNTACAAAABDQwNDIEAAAAATAHAAAACjEyLzMxLzIwMTgIAAAACjEyLzMxLzIwMTUJAAAAATAwjUKJgtTWCPRoDaCC1NYIK0NJUS5OWVNFOkFSQS5JUV9UT1RBTF9SRVYuRlkyMDEzLjEyLzMxLzIwMTgBAAAAPRsvCAIAAAAHNDk1LjkyNgEIAAAABQAAAAExAQAAAAoxNzg3OTgzODM0AwAAAAMxNjACAAAAAjI4BAAAAAEwBwAAAAoxMi8zMS8yMDE4CAAAAAoxMi8zMS8yMDEzCQAAAAEwv8cmeoLU1gjyhpKIgtTWCDRDSVEuSVExMTU1NDQuSVFfRUJJVERBX0VTVC4xMDAwMS4xMi8zMS8yMDE4Li5QLlVTRC5IAQAAAFjDAQACAAAABTMzLjIxAQ4AAAAFAAAAAjExAQAAAAEwAgAAAAoxMDAwOTk0MjU2AwAAAAYxMDAxODcEAAAAATIGAAAAATAHAAAAAzE2MAgAAAABMAkAAAABMQoAAAABMAsAAAALMTExNjk5MTIzMDAMAAAAATcNAAAACDEvMS8yMDE5EAAAAAoxMi8zMS8yMDE4TNgneoLU1ggkBZuIgtTWCDFDSVEuSVEzNTY0NC5JUV9EQVlTX1BBWUFCTEVfT1VULkZZMjAxNS4xMi8zMS8yMDE4AQAAADyLAAACAAAACDI1LjM1NTA5AQgAAAAFAAAAATEBAAAACjE4NzU4MDcyODkDAAAAAzE2MAIAAAAENDE4MwQAAAABMAcAAAAKMTIvMzEvMjAxOAgAAAAKMTIvMzEvMjAxNQkAAAABME60QomC1NYIOTEMoILU1gg6Q0lRLklRMzg0NTIyLklRX1RPVEFMX1JFVl8x</t>
  </si>
  <si>
    <t>WVJfQU5OX0dST1dUSC5GWTIwMTMuMTIvMzEvMjAxOAEAAAAK3gUAAgAAAAU1Ljc3OQEIAAAABQAAAAExAQAAAAoxNzc3ODI1NzMxAwAAAAMxNjACAAAABDQxOTQEAAAAATAHAAAACjEyLzMxLzIwMTgIAAAACjEyLzMxLzIwMTMJAAAAATBSP0KJgtTWCIPDEKCC1NYIN0NJUS5JUTM4NDMzMS5JUV9FQklUXzFZUl9BTk5fR1JPV1RILjE5OTkuNi8xLzIwMTAuTEZSLlABAAAAS90FAAIAAAAGOS4zMTY5AQgAAAAFAAAAATEBAAAACjEzNDM4NzM3NTgDAAAAAzE2MAIAAAAENDE5NwQAAAABMAcAAAAINi8xLzIwMTAIAAAACjEyLzMxLzIwMDkJAAAAATDB8UGJgtTWCCTUEaCC1NYINUNJUS5EQjpGUkUuSVFfUFJFRl9FUVVJVFkuMjAwMC4xMi8zMS8yMDE4LkxGUi5GLlVTRC5IAQAAAMNrDQADAAAAAAC/xyZ6gtTWCO0RkoiC1NYIJkNJUS5YVFJBOkZNRS5JUV9FQklULkZZMjAxNy4xMi8zMS8yMDE4AQAAAAreBQACAAAACzI3NTYuMDUxODc0AQgAAAAFAAAAATEBAAAACjE4NzYwNzE3ODkDAAAAAzE2MAIAAAADNDAwBAAAAAEwBwAAAAoxMi8zMS8yMDE4CAAAAAoxMi8zMS8yMDE3CQAAAAEwH1QmeoLU1giJpqCIgtTWCDxDSVEuSVE2MDU1NzcyMDMuSVFfRUJJVF8xWVJfQU5OX0dST1dUSC4xOTk5LjEyLzMxLzIwMTguTEZSLlABAAAA818YJAMAAAAAAMHxQYmC1NYI9iESoILU1ggsQ0lRLklRVFIzMDk4OTU0NjMu</t>
  </si>
  <si>
    <t>SVFfVFJfVE9UQUxfR1JPU1NfVFZfRklOQUwBAAAAJ6F4EgIAAAADNjQwAQYAAAAFAAAAAjU0AQAAAAYxMDIwNDMCAAAACTMwOTg5NTQ2MwMAAAAJMzA5ODk1NTM2BAAAAAMxNjAGAAAABUZhbHNleGMneoLU1ggvdJaIgtTWCDZDSVEuSVExMTU1NDQuSVFfVE9UQUxfREVCVC4yMDAwLjEyLzMxLzIwMTguTEZSLkYuVVNELkgBAAAAWMMBAAIAAAAGMTMuMzA2AQgAAAAFAAAAATEBAAAACjE5MTk5ODY0MDMDAAAAAzE2MAIAAAAENDE3MwQAAAABMAcAAAAKMTIvMzEvMjAxOAgAAAAJOS8zMC8yMDE4CQAAAAEw8qEmeoLU1gie7pSIgtTWCClDSVEuSVFUUjQwNDc3Njg5Ny5JUV9CVVNJTkVTU19ERVNDUklQVElPTgEAAABzZyAYAwAAAIAFTWFqb3JpdHkgc3Rha2VzIGluIENsYXJpb24gRGlhbHlzaXMgQ2VudGVyIEFuZCBPaWwgQ2l0eSBEaWFseXNpcyBDZW50ZXIgTExDIHJlcHJlc2VudHMgdGhlIGNvbWJpbmVkIG9wZXJhdGlvbnMgb2YgaW4gQ2xhcmlvbiBEaWFseXNpcyBDZW50ZXIgYW5kIE9pbCBDaXR5IERpYWx5c2lzIENlbnRlciBMTEMgaW4gdGhlaXIgc2FsZSB0byBBbWVyaWNhbiBSZW5hbCBBc3NvY2lhdGVzIExMQy4gQXMgb2YgU2VwdGVtYmVyIDE1LCAyMDE2LCBNYWpvcml0eSBzdGFrZXMgaW4gQ2xhcmlvbiBEaWFseXNpcyBDZW50ZXIgQW5kIE9pbCBDaXR5IERpYWx5c2lzIENlbnRlciBMTEMg</t>
  </si>
  <si>
    <t>d2VyZSBhY3F1aXJlZCBieSBBbWVyaWNhbiBSZW5hbCBBc3NvY2lhdGVzIExMQy4gQ2xhcmlvbiBEaWFseXNpcyBDZW50ZXIgYW5kIE9pbCBDaXR5IERpYWx5c2lzIENlbnRlciBMTEMgcHJvdmlkZSBoZW1vZGlhbHlzaXMgYW5kIHBlcml0b25lYWwgZGlhbHlzaXMgdG8gcGF0aWVudHMgc3VmZmVyaW5nIGZyb20gcmVuYWwgZmFpbHVyZS4gQ2xhcmlvbiBEaWFseXNpcyBDZW50ZXIgaXMgYmFzZWQgaW4gQ2xhcmlvbiwgUGVubnN5bHZhbmlhLiBPaWwgQ2l0eSBEaWFseXNpcyBDZW50ZXIgTExDIGlzIGJhc2VkIGluIENyYW5iZXJyeSwgUGVubnN5bHZhbmlhLgDg7yZ6gtTWCKDHlIiC1NYIJkNJUS5OWVNFOkFSQS5JUV9FQklULkZZMjAxNi4xMi8zMS8yMDE4AQAAAD0bLwgCAAAABzEzNy40NzUBCAAAAAUAAAABMQEAAAAKMTg3NzE3MTM2NgMAAAADMTYwAgAAAAM0MDAEAAAAATAHAAAACjEyLzMxLzIwMTgIAAAACjEyLzMxLzIwMTYJAAAAATD8eiZ6gtTWCHnjn4iC1NYIPENJUS5JUTEzNzMwNDg5My5JUV9FQklUX01BUkdJTi5GWTIwMTQuMTIvMzEvMjAxOC5MRlIuUC5VU0QuSAEAAAA9Gy8IAgAAAAcyNC44NDg1AQgAAAAFAAAAATEBAAAACjE4MzExMDQxNzkDAAAAAzE2MAIAAAAENDA1MwQAAAABMAcAAAAKMTIvMzEvMjAxOAgAAAAKMTIvMzEvMjAxNAkAAAABMD9mQomC1NYIjMcOoILU1ggvQ0lRLk5Z</t>
  </si>
  <si>
    <t>U0U6RFZBLklRX0VCSVREQS4xMDAwLjEyLzMxLzIwMTguLlAuVVNELkgBAAAAPIsAAAIAAAAIMjA4MC44ODgBCAAAAAUAAAABMQEAAAAKMTk0NjY2NTQxNAMAAAADMTYwAgAAAAQ0MDUxBAAAAAEwBwAAAAoxMi8zMS8yMDE4CAAAAAoxMi8zMS8yMDE4CQAAAAEw8qEmeoLU1ghaf5mIgtTWCC9DSVEuSVEzNTY0NC5JUV9EQVlTX1NBTEVTX09VVC5GWTIwMTUuMTIvMzEvMjAxOAEAAAA8iwAAAgAAAAk2Ny45MTY2NDUBCAAAAAUAAAABMQEAAAAKMTg3NTgwNzI4OQMAAAADMTYwAgAAAAQ0MDQyBAAAAAEwBwAAAAoxMi8zMS8yMDE4CAAAAAoxMi8zMS8yMDE1CQAAAAEwMI1CiYLU1ghpkA2ggtTWCEFDSVEuSVExMTU1NDQuSVFfRUJJVF9NRURJQU5fRVNUX0NJUS5GWTIwMjAuMTIvMzEvMjAxOC5DT04uRi5VU0QuSAEAAABYwwEAAgAAAAYzMC4xNjcBDgAAAAUAAAABMwEAAAABMAIAAAAKMTAwMDk5NDI2NgMAAAAGMTAwMjE2BAAAAAEyBgAAAAEwBwAAAAMxNjAIAAAAATAJAAAAATEKAAAAATALAAAACzExMTY5OTA3ODcxDAAAAAExDQAAAAgxLzEvMjAxORAAAAAKMTIvMzEvMjAxOFaxJ3qC1NYInLyfiILU1gg6Q0lRLklRMzg0NTIyLklRX1RPVEFMX1JFVl8xWVJfQU5OX0dST1dUSC5GWTIwMTQuMTIvMzEvMjAxOAEAAAAK3gUAAgAAAAY4LjMyNDUBCAAAAAUAAAABMQEAAAAKMTgyODk1MDA4MAMAAAADMTYwAgAA</t>
  </si>
  <si>
    <t>AAQ0MTk0BAAAAAEwBwAAAAoxMi8zMS8yMDE4CAAAAAoxMi8zMS8yMDE0CQAAAAEwUj9CiYLU1gjhmxCggtTWCDlDSVEuSVEzODQ1MjIuSVFfRUJJVF9NQVJHSU4uRlkyMDEzLjEyLzMxLzIwMTguTEZSLlAuVVNELkgBAAAACt4FAAIAAAAHMTQuOTcyNwEIAAAABQAAAAExAQAAAAoxNzc3ODI1NzMxAwAAAAMxNjACAAAABDQwNTMEAAAAATAHAAAACjEyLzMxLzIwMTgIAAAACjEyLzMxLzIwMTMJAAAAATA/ZkKJgtTWCJagDqCC1NYIOkNJUS5JUTExNTU0NC5JUV9UT1RBTF9SRVZfMVlSX0FOTl9HUk9XVEguRlkyMDEzLjEyLzMxLzIwMTgBAAAAWMMBAAIAAAAGOC43OTU2AQgAAAAFAAAAATEBAAAACjE3NzU4NTEzMDUDAAAAAzE2MAIAAAAENDE5NAQAAAABMAcAAAAKMTIvMzEvMjAxOAgAAAAKMTIvMzEvMjAxMwkAAAABMFI/QomC1NYI4ZsQoILU1gg4Q0lRLklRMzU2NDQuSVFfRUJJVF9NQVJHSU4uRlkyMDEzLjEyLzMxLzIwMTguTEZSLlAuVVNELkgBAAAAPIsAAAIAAAAHMTUuNzc5OQEIAAAABQAAAAExAQAAAAoxNzc4MTM1NTU3AwAAAAMxNjACAAAABDQwNTMEAAAAATAHAAAACjEyLzMxLzIwMTgIAAAACjEyLzMxLzIwMTMJAAAAATA/ZkKJgtTWCH3uDqCC1NYIIkNJUS5JUVRSMjA4MzQzODQzLklRX1RSX1RBUkdFVE5BTUUBAAAAIxNrDAMAAAAcV29vZHMgTWVtb3JpYWwgSG9zcGl0YWwsIExMQwBhiid6</t>
  </si>
  <si>
    <t>gtTWCB1ilYiC1NYIKENJUS5YVFJBOkZNRS5JUV9FQklUREEuRlkyMDEzLjEyLzMxLzIwMTgBAAAACt4FAAIAAAAIMjg3OC4zMTYBCAAAAAUAAAABMQEAAAAKMTc3NzgyNTczMQMAAAADMTYwAgAAAAQ0MDUxBAAAAAEwBwAAAAoxMi8zMS8yMDE4CAAAAAoxMi8zMS8yMDEzCQAAAAEw/HomeoLU1ggWYpyIgtTWCChDSVEuTllTRTpBUkEuSVFfRUJJVERBLkZZMjAxNS4xMi8zMS8yMDE4AQAAAD0bLwgCAAAABzE4NC43ODIBCAAAAAUAAAABMQEAAAAKMTg3NzE3MTM2MwMAAAADMTYwAgAAAAQ0MDUxBAAAAAEwBwAAAAoxMi8zMS8yMDE4CAAAAAoxMi8zMS8yMDE1CQAAAAEw/HomeoLU1giv552IgtTWCChDSVEuSVFUUjMwOTg3MzUyMS5JUV9UUl9JTVBMSUVEX0VWX0ZJTkFMAQAAAHFLeBICAAAAAzM2MAEGAAAABQAAAAI1NAEAAAAGMTAyMDQ1AgAAAAkzMDk4NzM1MjEDAAAACTQzMDUxMDA2NwQAAAADMTYwBgAAAAVGYWxzZXhjJ3qC1NYI4ISXiILU1ggyQ0lRLklRMzg0NTIyLklRX0RBWVNfUEFZQUJMRV9PVVQuRlkyMDE2LjEyLzMxLzIwMTgBAAAACt4FAAIAAAAJMjUuNzk2MDQ2AQgAAAAFAAAAATEBAAAACjE4NzYwNzE3ODMDAAAAAjUwAgAAAAQ0MTgzBAAAAAEwBwAAAAoxMi8zMS8yMDE4CAAAAAoxMi8zMS8yMDE2CQAAAAEwTrRCiYLU1gg7CgyggtTWCDpDSVEuTllTRTpEVkEuSVFfQ0FTSF9TVF9JTlZF</t>
  </si>
  <si>
    <t>U1QuMjAwMC4xMi8zMS8yMDE4LkxGUi5GLlVTRC5IAQAAADyLAAACAAAABzQ1Mi45NDUBCAAAAAUAAAABMQEAAAAKMTkyMDMxODQzNgMAAAADMTYwAgAAAAQxMDAyBAAAAAEwBwAAAAoxMi8zMS8yMDE4CAAAAAk5LzMwLzIwMTgJAAAAATC/xyZ6gtTWCO+tkoiC1NYIKENJUS5JUVRSMjg3MjM0NTIyLklRX1RSX0lNUExJRURfRVZfRklOQUwBAAAA2tkeEQIAAAACMTIApDwneoLU1ghaf5mIgtTWCDdDSVEuWFRSQTpGTUUuSVFfUFJFRl9FUVVJVFkuMjAwMC4xMi8zMS8yMDE4LkxGUi5GLlVTRC5IAQAAAAreBQADAAAAAADyoSZ6gtTWCJ7ulIiC1NYILENJUS5JUVRSMjA4MzQzODQzLklRX1RSX1RBUkdFVF9FQklUREFfRVFfSU5DAQAAACMTawwCAAAAAACkPCd6gtTWCEDNmYiC1NYIOENJUS5JUTEzNzMwNDg5My5JUV9FQklUXzFZUl9BTk5fR1JPV1RILkZZMjAxNy4xMi8zMS8yMDE4AQAAAD0bLwgCAAAACC0xMC4yODEyAQgAAAAFAAAAATEBAAAACjE4NzcxNzEzNzgDAAAAAzE2MAIAAAAENDE5NwQAAAABMAcAAAAKMTIvMzEvMjAxOAgAAAAKMTIvMzEvMjAxNwkAAAABMDCNQomC1NYIzrYNoILU1ggrQ0lRLlhUUkE6Rk1FLklRX1RPVEFMX1JFVi5GWTIwMTMuMTIvMzEvMjAxOAEAAAAK3gUAAgAAAAkxNDg5NC4zNzUBCAAAAAUAAAABMQEAAAAKMTc3NzgyNTczMQMAAAADMTYwAgAAAAIyOAQAAAABMAcAAAAK</t>
  </si>
  <si>
    <t>MTIvMzEvMjAxOAgAAAAKMTIvMzEvMjAxMwkAAAABML/HJnqC1NYI/HSRiILU1ghBQ0lRLk5ZU0U6RFZBLklRX0VCSVRfTUVESUFOX0VTVF9DSVEuRlkyMDIxLjEyLzMxLzIwMTguQ09OLkYuVVNELkgBAAAAPIsAAAIAAAAEMjA1MwEOAAAABQAAAAEzAQAAAAEwAgAAAAoxMDAxNjkzNjQ1AwAAAAYxMDAyMTYEAAAAATIGAAAAATAHAAAAAzE2MAgAAAABMAkAAAABMQoAAAABMAsAAAALMTExNzY2NTc4NTkMAAAAATENAAAACDEvMS8yMDE5EAAAAAoxMi8zMS8yMDE4YYoneoLU1giJpqCIgtTWCDtDSVEuSVE4Nzk1NTUuSVFfRUJJVERBX01BUkdJTi5GWTIwMTMuMTIvMzEvMjAxOC5MRlIuUC5VU0QuSAEAAADDaw0AAgAAAAcxOC44NTc5AQgAAAAFAAAAATEBAAAACjE3MjQyMjA3OTMDAAAAAjUwAgAAAAQ0MDQ3BAAAAAEwBwAAAAoxMi8zMS8yMDE4CAAAAAoxMi8zMS8yMDEzCQAAAAEwUj9CiYLU1ggsJhCggtTWCCtDSVEuREI6RlJFLklRX0VCSVQuMjAwMC4xMi8zMS8yMDE4Li5QLlVTRC5IAQAAAMNrDQACAAAACzQ5NjMuMzYxNTc1AQgAAAAFAAAAATEBAAAACjE5NTA0NDI1OTcDAAAAAzE2MAIAAAADNDAwBAAAAAEwBwAAAAoxMi8zMS8yMDE4CAAAAAoxMi8zMS8yMDE4CQAAAAEw8qEmeoLU1ggpTZaIgtTWCDRDSVEuSVExNDEyNzE4NjguSVFfRUJJVF9NQVJHSU4uMTk5OS4xMC8zMS8yMDExLkxGUi5QAQAA</t>
  </si>
  <si>
    <t>ADyjawgDAAAAAABYGEKJgtTWCDI4EaCC1NYIKUNJUS5JUVRSMjI0NzU4MzYxLklRX0JVU0lORVNTX0RFU0NSSVBUSU9OAQAAAEjUTg0DAAAAvARNZWRpZ3JvdXAgSW5jLiBwcm92aWRlcyBwZXJpdG9uZWFsIGRpYWx5c2lzIGFjY2VzcyBwcm9kdWN0cyBhbmQgc2VydmljZXMuIFRoZSBjb21wYW55IG9mZmVycyBmbGV4LW5lY2sgY2xhc3NpYyBhbmQgQVJDIGFkdWx0IGNhdGhldGVycywgZmxleC1uZWNrIGFkdWx0IGV4eHRlbmRlZCBjYXRoZXRlcnMsIGFuZCBmbGV4LW5lY2sgY2hpbGRyZW7igJlzIGNhdGhldGVycy4gSXQgYWxzbyBwcm92aWRlcyBwcm90ZWN0aXZlIGZpbG0gcHJvZHVjdHMsIHN1Y2ggYXMgcHJvdGVjdGl2ZSBzaG9lIGFuZCBmb290c3dpdGNoIGNvdmVycyBhZ2FpbnN0IGZsdWlkIGFuZCBwYXJ0aWN1bGF0ZSBjb250YW1pbmF0aW9uIGFuZCBkYW1hZ2UgZm9yIHBlcnNvbm5lbCwgZW52aXJvbm1lbnRhbCwgYW5kIGVxdWlwbWVudCBwcm90ZWN0aW9uLiBUaGUgY29tcGFueSB3YXMgZm91bmRlZCBpbiAxOTc5IGFuZCBpcyBiYXNlZCBpbiBPc3dlZ28sIElsbGlub2lzLiBBcyBvZiBOb3ZlbWJlciAyOSwgMjAxMiwgTWVkaWdyb3VwIEluYy4gb3BlcmF0ZXMgYXMgYSBzdWJzaWRpYXJ5IG9mIE1lcml0IE1lZGljYWwgU3lzdGVtcywgSW5jLgDg7yZ6gtTWCB1ilYiC1NYIHkNJUS5EQjpG</t>
  </si>
  <si>
    <t>UkUuSVFfRklSU1RQUklDSU5HREFURQEAAADDaw0ABQAAAAoxMS8xMy8xOTkyAJIVJ3qC1NYI6vuSiILU1gg5Q0lRLklRODc5NTU1LklRX0VCSVRfTUFSR0lOLkZZMjAxMy4xMi8zMS8yMDE4LkxGUi5QLlVTRC5IAQAAAMNrDQACAAAABzE0LjcxMTUBCAAAAAUAAAABMQEAAAAKMTcyNDIyMDc5MwMAAAACNTACAAAABDQwNTMEAAAAATAHAAAACjEyLzMxLzIwMTgIAAAACjEyLzMxLzIwMTMJAAAAATA/ZkKJgtTWCJagDqCC1NYIKENJUS5JUVRSMzA5ODk1NDYzLklRX1RSX1RBUkdFVF9UT1RBTF9SRVYBAAAAJ6F4EgIAAAAAAHhjJ3qC1NYIF+KYiILU1ghDQ0lRLlhUUkE6Rk1FLklRX01JTk9SSVRZX0lOVEVSRVNUX1RPVEFMLjIwMDAuMTIvMzEvMjAxOC5MRlIuRi5VU0QuSAEAAAAK3gUAAgAAAAsxMzEyLjE0MzYwNAEIAAAABQAAAAExAQAAAAoxOTE3Mjg0NDY3AwAAAAMxNjACAAAABDEzMTIEAAAAATAHAAAACjEyLzMxLzIwMTgIAAAACTkvMzAvMjAxOAkAAAABMPKhJnqC1NYIoMeUiILU1ghDQ0lRLk5ZU0U6QVJBLklRX01JTk9SSVRZX0lOVEVSRVNUX1RPVEFMLjIwMDAuMTIvMzEvMjAxOC5MRlIuRi5VU0QuSAEAAAA9Gy8IAgAAAAczMTYuMTA1AQgAAAAFAAAAATEBAAAACjE5MjExNjk0NTYDAAAAAzE2MAIAAAAEMTMxMgQAAAABMAcAAAAKMTIvMzEvMjAxOAgAAAAJOS8zMC8yMDE4CQAAAAEw8qEmeoLU</t>
  </si>
  <si>
    <t>1gh8PJWIgtTWCDtDSVEuSVEzODQ1MjIuSVFfRUJJVERBX01BUkdJTi5GWTIwMTQuMTIvMzEvMjAxOC5MRlIuUC5VU0QuSAEAAAAK3gUAAgAAAAYxOC4xNTQBCAAAAAUAAAABMQEAAAAKMTgyODk1MDA4MAMAAAADMTYwAgAAAAQ0MDQ3BAAAAAEwBwAAAAoxMi8zMS8yMDE4CAAAAAoxMi8zMS8yMDE0CQAAAAEwP2ZCiYLU1ggsJhCggtTWCCpDSVEuSVFUUjU2MjA5MzQ3MC5JUV9UUl9UQVJHRVRfRUJJVF9FUV9JTkMBAAAAnt2AIQIAAAAAAHhjJ3qC1NYI612XiILU1gg7Q0lRLklRMTE1NTQ0LklRX0VCSVREQV9NQVJHSU4uRlkyMDE2LjEyLzMxLzIwMTguTEZSLlAuVVNELkgBAAAAWMMBAAIAAAAGMy45OTkxAQgAAAAFAAAAATEBAAAACjE4NzQ4MDQ5NzIDAAAAAzE2MAIAAAAENDA0NwQAAAABMAcAAAAKMTIvMzEvMjAxOAgAAAAKMTIvMzEvMjAxNgkAAAABMDCNQomC1NYIrFIOoILU1ggsQ0lRLklRVFIzMDk4OTU0NjMuSVFfVFJfVEFSR0VUX0VCSVREQV9FUV9JTkMBAAAAJ6F4EgIAAAAAAJIVJ3qC1NYI0lKbiILU1gghQ0lRLklRVFIyODcyMzQ1MjIuSVFfVFJfQlVZRVJOQU1FAQAAANrZHhEDAAAAFFB1cmUgTGlmZSBSZW5hbCwgTExDAJIVJ3qC1NYIqyubiILU1gg3Q0lRLklRMzg0NTIyLklRX0VCSVREQV8xWVJfQU5OX0dST1dUSC5GWTIwMTQuMTIvMzEvMjAxOAEAAAAK3gUAAgAAAAYxLjc2MTYBCAAA</t>
  </si>
  <si>
    <t>AAUAAAABMQEAAAAKMTgyODk1MDA4MAMAAAADMTYwAgAAAAQ0MTk2BAAAAAEwBwAAAAoxMi8zMS8yMDE4CAAAAAoxMi8zMS8yMDE0CQAAAAEwUj9CiYLU1giWThCggtTWCEFDSVEuTllTRTpBUkEuSVFfRUJJVF9NRURJQU5fRVNUX0NJUS5GWTIwMjAuMTIvMzEvMjAxOC5DT04uRi5VU0QuSAEAAAA9Gy8IAwAAAAAAVrEneoLU1ghXCaCIgtTWCChDSVEuSVFUUjIwODM0Mzg0My5JUV9UUl9JTVBMSUVEX0VWX0ZJTkFMAQAAACMTawwCAAAABDE3LjcBBgAAAAUAAAACNTQBAAAABjEwMjA0NQIAAAAJMjA4MzQzODQzAwAAAAkyMDgzNDQ0MDUEAAAAAzE2MAYAAAAFRmFsc2V4Yyd6gtTWCC90loiC1NYIO0NJUS5JUTExNTU0NC5JUV9FQklUREFfTUFSR0lOLkZZMjAxNC4xMi8zMS8yMDE4LkxGUi5QLlVTRC5IAQAAAFjDAQACAAAABy0yLjk0ODUBCAAAAAUAAAABMQEAAAAKMTgzMDE2NTY2OQMAAAADMTYwAgAAAAQ0MDQ3BAAAAAEwBwAAAAoxMi8zMS8yMDE4CAAAAAoxMi8zMS8yMDE0CQAAAAEwP2ZCiYLU1ggq/w+ggtTWCCxDSVEuSVFUUjExOTEzMDc0NS5JUV9UUl9UQVJHRVRfRUJJVERBX0VRX0lOQwEAAAB5yhkHAgAAAAAAYYoneoLU1gh1sZWIgtTWCA==</t>
  </si>
</sst>
</file>

<file path=xl/styles.xml><?xml version="1.0" encoding="utf-8"?>
<styleSheet xmlns="http://schemas.openxmlformats.org/spreadsheetml/2006/main" xmlns:mc="http://schemas.openxmlformats.org/markup-compatibility/2006" xmlns:x14ac="http://schemas.microsoft.com/office/spreadsheetml/2009/9/ac" mc:Ignorable="x14ac">
  <numFmts count="209">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0.0%"/>
    <numFmt numFmtId="166" formatCode="&quot;$&quot;#,##0.0_);\(&quot;$&quot;#,##0.0\)"/>
    <numFmt numFmtId="167" formatCode="&quot;Page &quot;0"/>
    <numFmt numFmtId="168" formatCode="[$-409]mmmm\ d\,\ yyyy;@"/>
    <numFmt numFmtId="169" formatCode="0.000"/>
    <numFmt numFmtId="170" formatCode="mm/dd/yy;@"/>
    <numFmt numFmtId="171" formatCode="#,##0.00%;\(#,##0.00%\)"/>
    <numFmt numFmtId="172" formatCode="_(&quot;$&quot;* #,##0.0_);_(&quot;$&quot;* \(#,##0.0\);_(&quot;$&quot;* &quot;-&quot;?_);_(@_)"/>
    <numFmt numFmtId="173" formatCode="#,##0.0_);\(#,##0.0\)"/>
    <numFmt numFmtId="174" formatCode="0.0\x"/>
    <numFmt numFmtId="175" formatCode="_(* #,##0.0_);_(* \(#,##0.0\);_(* &quot;-&quot;_);_(@_)"/>
    <numFmt numFmtId="176" formatCode="_(&quot;$&quot;* #,##0.0_);_(&quot;$&quot;* \(#,##0.0\);_(&quot;$&quot;* &quot;-&quot;??_);_(@_)"/>
    <numFmt numFmtId="177" formatCode="0.00\x"/>
    <numFmt numFmtId="178" formatCode="0.00\ \x"/>
    <numFmt numFmtId="179" formatCode="#,##0.0\x;\(#,##0.0\x\)"/>
    <numFmt numFmtId="180" formatCode="_(&quot;$&quot;* #,##0_);_(&quot;$&quot;* \(#,##0\);_(&quot;$&quot;* &quot;-&quot;??_);_(@_)"/>
    <numFmt numFmtId="181" formatCode="0.0\x_);\(0.0\x\);"/>
    <numFmt numFmtId="182" formatCode="&quot;$&quot;#,##0.0"/>
    <numFmt numFmtId="183" formatCode="&quot;$&quot;#,##0"/>
    <numFmt numFmtId="184" formatCode="_(* #,##0.00_);_(* \(#,##0.00\);_(* &quot;-&quot;_);_(@_)"/>
    <numFmt numFmtId="185" formatCode="_(* #,##0_);[Red]_(* \(#,##0\);_(* &quot;-&quot;??_);_(@_)"/>
    <numFmt numFmtId="186" formatCode="_(* #,##0.000_);_(* \(#,##0.000\);_(* &quot;-&quot;??_);_(@_)"/>
    <numFmt numFmtId="187" formatCode="&quot;$&quot;#,##0.0_);[Red]\(&quot;$&quot;#,##0.0\)"/>
    <numFmt numFmtId="188" formatCode="0.0"/>
    <numFmt numFmtId="189" formatCode="0.000%"/>
    <numFmt numFmtId="190" formatCode="_-* #,##0\ &quot;F&quot;_-;\-* #,##0\ &quot;F&quot;_-;_-* &quot;-&quot;\ &quot;F&quot;_-;_-@_-"/>
    <numFmt numFmtId="191" formatCode="_-&quot;$&quot;* #,##0.00_-;\-&quot;$&quot;* #,##0.00_-;_-&quot;$&quot;* &quot;-&quot;??_-;_-@_-"/>
    <numFmt numFmtId="192" formatCode="[$€-2]\ #,##0_);\([$€-2]\ #,##0\)"/>
    <numFmt numFmtId="193" formatCode="#,##0.0_);\(#,##0.0\);@_)"/>
    <numFmt numFmtId="194" formatCode="#,##0.0_);\(#,##0.0\);&quot;-&quot;?_);@_)"/>
    <numFmt numFmtId="195" formatCode="&quot;$&quot;#,##0.0_);\(&quot;$&quot;#,##0.0\);&quot;-&quot;?_);@_)"/>
    <numFmt numFmtId="196" formatCode="#,##0\ &quot;DM&quot;;[Red]\-#,##0\ &quot;DM&quot;"/>
    <numFmt numFmtId="197" formatCode="0.0000000000000\x"/>
    <numFmt numFmtId="198" formatCode="0.00000000000000\x"/>
    <numFmt numFmtId="199" formatCode="0.000000000000000\x"/>
    <numFmt numFmtId="200" formatCode="0.0%;\-0.0%;&quot;-&quot;?_);@_)"/>
    <numFmt numFmtId="201" formatCode="0.00%;\(0.00\)%"/>
    <numFmt numFmtId="202" formatCode="0%;[Red]\(0%\)"/>
    <numFmt numFmtId="203" formatCode=";;;"/>
    <numFmt numFmtId="204" formatCode="_(\ #,##0_);_(\ \(#,##0\);_(\ &quot;-&quot;_);_(@_)"/>
    <numFmt numFmtId="205" formatCode="_-* #,##0_-;\-* #,##0_-;_-* &quot;-&quot;_-;_-@_-"/>
    <numFmt numFmtId="206" formatCode="_(* &quot;$&quot;\ #,##0\ \ ;_(* &quot;$&quot;\ \(#,##0\)\ ;_(* &quot;-&quot;\ \ ;_(@\ "/>
    <numFmt numFmtId="207" formatCode="0.0_)\%;\(0.0\)\%;0.0_)\%;@_)_%"/>
    <numFmt numFmtId="208" formatCode="#0.0\x"/>
    <numFmt numFmtId="209" formatCode="#,##0.0_)_%;\(#,##0.0\)_%;0.0_)_%;@_)_%"/>
    <numFmt numFmtId="210" formatCode="#0.00\x"/>
    <numFmt numFmtId="211" formatCode="#,##0.0_);[Red]\(#,##0.0\)"/>
    <numFmt numFmtId="212" formatCode="_(* #,##0\ \ ;_(* \(#,##0\)\ \ ;_(* &quot;-&quot;\ \ ;_(* @_)"/>
    <numFmt numFmtId="213" formatCode="&quot;$&quot;_(#,##0.00_);&quot;$&quot;\(#,##0.00\);&quot;$&quot;_(0.00_);@_)"/>
    <numFmt numFmtId="214" formatCode="&quot;$&quot;_(#,##0.00_);&quot;$&quot;\(#,##0.00\)"/>
    <numFmt numFmtId="215" formatCode="&quot;£&quot;_(#,##0.00_);&quot;£&quot;\(#,##0.00\)"/>
    <numFmt numFmtId="216" formatCode="&quot;€&quot;_(#,##0.00_);&quot;€&quot;\(#,##0.00\)"/>
    <numFmt numFmtId="217" formatCode="&quot;£&quot;_(#,##0.00_);&quot;£&quot;\(#,##0.00\);&quot;£&quot;_(0.00_);@_)"/>
    <numFmt numFmtId="218" formatCode="&quot;€&quot;_(#,##0.00_);&quot;€&quot;\(#,##0.00\);&quot;€&quot;_(0.00_);@_)"/>
    <numFmt numFmtId="219" formatCode="0.0\ \x\ "/>
    <numFmt numFmtId="220" formatCode="&quot;DM&quot;_(#,##0.00_);&quot;DM&quot;\(#,##0.00\)"/>
    <numFmt numFmtId="221" formatCode="#,##0.00_);\(#,##0.00\);0.00_);@_)"/>
    <numFmt numFmtId="222" formatCode="_-* #,##0.00_-;\-* #,##0.00_-;_-* &quot;-&quot;??_-;_-@_-"/>
    <numFmt numFmtId="223" formatCode="\€_(#,##0.00_);\€\(#,##0.00\);\€_(0.00_);@_)"/>
    <numFmt numFmtId="224" formatCode="mm/dd/yy"/>
    <numFmt numFmtId="225" formatCode="\£_(#,##0_);\£\(#,##0\)"/>
    <numFmt numFmtId="226" formatCode="* \L\+0.00%;* \L\-0.00%;* @\ \ "/>
    <numFmt numFmtId="227" formatCode="* \L\+0.00%;* \L\-0.00%;* &quot;-&quot;\ \ ;* @\ \ "/>
    <numFmt numFmtId="228" formatCode="#,##0_)\x;\(#,##0\)\x;0_)\x;@_)_x"/>
    <numFmt numFmtId="229" formatCode="#,##0.0_)\x;\(#,##0.0\)\x"/>
    <numFmt numFmtId="230" formatCode="#,##0.0\ \x;\(#,##0.0\)\x;@\ \ "/>
    <numFmt numFmtId="231" formatCode="#,##0.0_)\x;\(#,##0.0\)\x;0.0_)\x;@_)_x"/>
    <numFmt numFmtId="232" formatCode="#,##0.0\ \x;\(#,##0.0\)\x;@\ "/>
    <numFmt numFmtId="233" formatCode="#0.0%_);\(#0.0%\)"/>
    <numFmt numFmtId="234" formatCode="#,##0.0\ \x;\(#,##0.0\)\x;@\ \ \x"/>
    <numFmt numFmtId="235" formatCode="#,##0_)_x;\(#,##0\)_x;0_)_x;@_)_x"/>
    <numFmt numFmtId="236" formatCode="#,##0.0_)_x;\(#,##0.0\)_x"/>
    <numFmt numFmtId="237" formatCode="#,##0.0_)_x;\(#,##0.0\)_x;0.0_)_x;@_)_x"/>
    <numFmt numFmtId="238" formatCode="0.0_)\%;\(0.0\)\%"/>
    <numFmt numFmtId="239" formatCode="* 0.0%;* \(0.0\)%;* &quot;-&quot;\ \ ;* @\ \ "/>
    <numFmt numFmtId="240" formatCode="0.0%;\(0.0\)%;@\ \ "/>
    <numFmt numFmtId="241" formatCode="#,##0.0_)_%;\(#,##0.0\)_%"/>
    <numFmt numFmtId="242" formatCode="0.000000"/>
    <numFmt numFmtId="243" formatCode="\£\ #,##0_);[Red]\(\£\ #,##0\)"/>
    <numFmt numFmtId="244" formatCode="_-#,##0&quot; £/GJ&quot;"/>
    <numFmt numFmtId="245" formatCode="_-#,##0&quot; £/t&quot;"/>
    <numFmt numFmtId="246" formatCode="_(\£* #,##0_);_(\£* \(#,##0\);_(\£* &quot;-&quot;_);_(@_)"/>
    <numFmt numFmtId="247" formatCode="_(\£* #,##0.0_);_(\£* \(#,##0.0\);_(\£* &quot;-&quot;_);_(@_)"/>
    <numFmt numFmtId="248" formatCode="_(\£* #,##0.00_);_(\£* \(#,##0.00\);_(\£* &quot;-&quot;_);_(@_)"/>
    <numFmt numFmtId="249" formatCode="_(* #,##0\p_);_(* \(#,##0\p\);_(* &quot;-&quot;\ \p_);_(@_)"/>
    <numFmt numFmtId="250" formatCode="_(* #,##0.00\p_);_(* \(#,##0.00\p\);_(* &quot;-&quot;\ \p_);_(@_)"/>
    <numFmt numFmtId="251" formatCode="\£#,##0.00"/>
    <numFmt numFmtId="252" formatCode="\¥\ #,##0_);[Red]\(\¥\ #,##0\)"/>
    <numFmt numFmtId="253" formatCode="_-#,##0&quot;°&quot;"/>
    <numFmt numFmtId="254" formatCode="_-#\,##0&quot;°&quot;"/>
    <numFmt numFmtId="255" formatCode="0_)"/>
    <numFmt numFmtId="256" formatCode="#,##0.0;\(#,##0.0\);\-"/>
    <numFmt numFmtId="257" formatCode="#,##0.0&quot; F&quot;;\(#,##0.0&quot; F&quot;\);\-"/>
    <numFmt numFmtId="258" formatCode="0.0%;\(0.0%\);\-"/>
    <numFmt numFmtId="259" formatCode="\ "/>
    <numFmt numFmtId="260" formatCode="0.0\ \x"/>
    <numFmt numFmtId="261" formatCode="0_);\(0\)"/>
    <numFmt numFmtId="262" formatCode="#,##0;\(#,##0\);\-"/>
    <numFmt numFmtId="263" formatCode="#,##0&quot; MF&quot;;\(#,##0&quot; MF&quot;\);\-"/>
    <numFmt numFmtId="264" formatCode="mmmm\-yy"/>
    <numFmt numFmtId="265" formatCode="0.00;[Red]0.00"/>
    <numFmt numFmtId="266" formatCode="00000000"/>
    <numFmt numFmtId="267" formatCode="0.0000000000000000\x"/>
    <numFmt numFmtId="268" formatCode="&quot;$&quot;#,##0.00"/>
    <numFmt numFmtId="269" formatCode="#,##0.0\ ;\(#,##0.0\)"/>
    <numFmt numFmtId="270" formatCode="0.00\ ;\(0.00\)"/>
    <numFmt numFmtId="271" formatCode="0.00%;[Red]\(0.00%\)"/>
    <numFmt numFmtId="272" formatCode="#,##0.00\ ;\(#,##0.00\)"/>
    <numFmt numFmtId="273" formatCode="[$-409]d\-mmm\-yy;@"/>
    <numFmt numFmtId="274" formatCode="_(&quot;$&quot;* #,##0.0_);_(* \(#,##0.0\);_(&quot;$&quot;* &quot;0.0&quot;_);_(@_)"/>
    <numFmt numFmtId="275" formatCode="_(* #,##0.0_);_(* \(#,##0.0\);_(* &quot;-&quot;?_);_(@_)"/>
    <numFmt numFmtId="276" formatCode="#,##0.0_x;&quot;NM&quot;_x"/>
    <numFmt numFmtId="277" formatCode="#,##0\x_);&quot;NM&quot;_)"/>
    <numFmt numFmtId="278" formatCode="#,##0&quot; kr&quot;;[Red]\-#,##0&quot; kr&quot;"/>
    <numFmt numFmtId="279" formatCode="&quot;$&quot;#,##0_);[Red]\(&quot;$&quot;#,##0\);0_);@_)"/>
    <numFmt numFmtId="280" formatCode="0.0_x_);\(0.0\)_x"/>
    <numFmt numFmtId="281" formatCode="#,##0;\(#,##0\)"/>
    <numFmt numFmtId="282" formatCode="#,##0_}&quot;bar&quot;;\(#,##0\)&quot;bar&quot;"/>
    <numFmt numFmtId="283" formatCode="0\ \ \ \ \ \ "/>
    <numFmt numFmtId="284" formatCode="&quot;$&quot;0.00\ \ \ _);\(&quot;$&quot;0.00\)\ \ \ "/>
    <numFmt numFmtId="285" formatCode="0.0\ \ \ \ \ _);\(0.0\)\ \ \ \ \ "/>
    <numFmt numFmtId="286" formatCode="0.00\ \x\ \ _);\(0.00\)\ \x\ \ "/>
    <numFmt numFmtId="287" formatCode="0.00\ \ \ \ \ _);\(0.00\)\ \ \ \ \ "/>
    <numFmt numFmtId="288" formatCode="0.0\ \ \ _);\(0.0\)\ \ \ "/>
    <numFmt numFmtId="289" formatCode="[Blue]#,##0.000_);[Blue]\(#,##0.000\)"/>
    <numFmt numFmtId="290" formatCode="[Blue]&quot;$&quot;#,##0.000_);[Blue]\(&quot;$&quot;#,##0.000\)"/>
    <numFmt numFmtId="291" formatCode="&quot;$&quot;#,##0.0_);[Red]\(&quot;$&quot;#,##0.0\);&quot;$&quot;0.0_);@_)"/>
    <numFmt numFmtId="292" formatCode="#,##0;\(#,##0\);&quot; - &quot;"/>
    <numFmt numFmtId="293" formatCode="#,##0\ ;\(#,##0\);\-\ \ \ \ \ "/>
    <numFmt numFmtId="294" formatCode="#,##0\ ;\(#,##0\);\–\ \ \ \ \ "/>
    <numFmt numFmtId="295" formatCode="#,##0.00&quot;w&quot;_);[Red]\(#,##0.00&quot;w&quot;\)"/>
    <numFmt numFmtId="296" formatCode="_(* #,##0.000000_);_(* \(#,##0.000000\);_(* &quot;-&quot;??_);_(@_)"/>
    <numFmt numFmtId="297" formatCode="_(* #,##0.0000_);_(* \(#,##0.0000\);_(* &quot;-&quot;??_);_(@_)"/>
    <numFmt numFmtId="298" formatCode="_-* #,##0\ _F_-;\-* #,##0\ _F_-;_-* &quot;-&quot;\ _F_-;_-@_-"/>
    <numFmt numFmtId="299" formatCode="#,##0.0000000000;[Red]\-#,##0.0000000000"/>
    <numFmt numFmtId="300" formatCode="0.00_)"/>
    <numFmt numFmtId="301" formatCode="#,##0_)_%;\(#,##0\)_%;"/>
    <numFmt numFmtId="302" formatCode="#,##0.000_);[Red]\(#,##0.000\)"/>
    <numFmt numFmtId="303" formatCode="#,##0_%_);\(#,##0\)_%;**;@_%_)"/>
    <numFmt numFmtId="304" formatCode="&quot;$&quot;* \(#,##0\);&quot;$&quot;* #,##0_);&quot;$&quot;* &quot;-&quot;??_);@_)"/>
    <numFmt numFmtId="305" formatCode="#,##0.0000,"/>
    <numFmt numFmtId="306" formatCode="_-* #,##0.00_ _k_r_-;\-* #,##0.00_ _k_r_-;_-* &quot;-&quot;??_ _k_r_-;_-@_-"/>
    <numFmt numFmtId="307" formatCode="_(&quot;$&quot;* #,##0,_);_(&quot;$&quot;* \(#,##0,\);_(&quot;$&quot;* &quot;-&quot;_);_(@_)"/>
    <numFmt numFmtId="308" formatCode="&quot;$&quot;* \(#,##0\)_%;&quot;$&quot;* #,##0_)_%;&quot;$&quot;* &quot;-&quot;??_)_%;@_)_%"/>
    <numFmt numFmtId="309" formatCode="_-&quot;$&quot;* #,##0_-;\-&quot;$&quot;* #,##0_-;_-&quot;$&quot;* &quot;-&quot;_-;_-@_-"/>
    <numFmt numFmtId="310" formatCode="_(* #,##0.0000,_);_(* \(#,##0.0000,\);_(* &quot;-&quot;_);_(@_)"/>
    <numFmt numFmtId="311" formatCode="&quot;$&quot;* \(#,##0.0\);&quot;$&quot;* #,##0.0_);&quot;$&quot;* &quot;-&quot;??_);@_)"/>
    <numFmt numFmtId="312" formatCode="#,##0.00_%_);\(#,##0.00\)_%;**;@_%_)"/>
    <numFmt numFmtId="313" formatCode="General_)"/>
    <numFmt numFmtId="314" formatCode="#,##0.00000000_);[Red]\(#,##0.00000000\)"/>
    <numFmt numFmtId="315" formatCode="#,##0.000000_);[Red]\(#,##0.000000\)"/>
    <numFmt numFmtId="316" formatCode="0.00_);\(0.00\);0.00"/>
    <numFmt numFmtId="317" formatCode="#,##0.0000000_);[Red]\(#,##0.0000000\)"/>
    <numFmt numFmtId="318" formatCode="&quot;$&quot;#,##0_%_);\(&quot;$&quot;#,##0\)_%;&quot;$&quot;#,##0_%_);@_%_)"/>
    <numFmt numFmtId="319" formatCode="\(#,##0\)_%;#,##0_)_%;"/>
    <numFmt numFmtId="320" formatCode="&quot;$&quot;\ #,##0.00;[Red]&quot;$&quot;\ \-#,##0.00"/>
    <numFmt numFmtId="321" formatCode="\(#,##0.0\);#,##0.0_);"/>
    <numFmt numFmtId="322" formatCode="_ * #,##0_ ;_ * \-#,##0_ ;_ * &quot;-&quot;_ ;_ @_ "/>
    <numFmt numFmtId="323" formatCode="\(#,##0.0\)_%;#,##0.0_)_%;"/>
    <numFmt numFmtId="324" formatCode="_ * #,##0.00_ ;_ * \-#,##0.00_ ;_ * &quot;-&quot;??_ ;_ @_ "/>
    <numFmt numFmtId="325" formatCode="mmm\-d\-yy"/>
    <numFmt numFmtId="326" formatCode="mmm\-d\-yyyy"/>
    <numFmt numFmtId="327" formatCode="#,##0.00&quot; kr&quot;;\-#,##0.00&quot; kr&quot;"/>
    <numFmt numFmtId="328" formatCode="#,##0.000,_);[Red]\(#,##0.000,\)"/>
    <numFmt numFmtId="329" formatCode="yyyy"/>
    <numFmt numFmtId="330" formatCode="yyyy&quot;E&quot;"/>
    <numFmt numFmtId="331" formatCode="###0_);\(###0\)"/>
    <numFmt numFmtId="332" formatCode="#,##0&quot; kr&quot;;\-#,##0&quot; kr&quot;"/>
    <numFmt numFmtId="333" formatCode="\«#,##0;_(* #,##0;_(* &quot;-&quot;??_);_(@_)"/>
    <numFmt numFmtId="334" formatCode="&quot;$&quot;#,##0.000"/>
    <numFmt numFmtId="335" formatCode="\ #,##0\ \ \ ;\(#,##0\)\ \ ;\—\ \ \ \ "/>
    <numFmt numFmtId="336" formatCode="0.0%;[Red]\(0.0%\)"/>
    <numFmt numFmtId="337" formatCode="#,##0.00&quot; kr&quot;;[Red]\-#,##0.00&quot; kr&quot;"/>
    <numFmt numFmtId="338" formatCode="0.00_);\(0.00\)"/>
    <numFmt numFmtId="339" formatCode="#,##0.0"/>
    <numFmt numFmtId="340" formatCode="_-* #,##0&quot; kr&quot;_-;\-* #,##0&quot; kr&quot;_-;_-* &quot;-&quot;&quot; kr&quot;_-;_-@_-"/>
    <numFmt numFmtId="341" formatCode="_-* #,##0_ _k_r_-;\-* #,##0_ _k_r_-;_-* &quot;-&quot;_ _k_r_-;_-@_-"/>
    <numFmt numFmtId="342" formatCode="_-* #,##0.00&quot; kr&quot;_-;\-* #,##0.00&quot; kr&quot;_-;_-* &quot;-&quot;??&quot; kr&quot;_-;_-@_-"/>
    <numFmt numFmtId="343" formatCode="_(* #,##0.0000_);_(* \(#,##0.0000\);_(* &quot;-&quot;_);_(@_)"/>
    <numFmt numFmtId="344" formatCode="0.0\ \ "/>
    <numFmt numFmtId="345" formatCode="&quot;$&quot;#,##0.0_);&quot;$&quot;\(#,##0.0\)"/>
    <numFmt numFmtId="346" formatCode="_(* #,##0.00\ ___);_(* \(#,##0.00\ __\);_(* &quot;-&quot;??_);_(@_)"/>
    <numFmt numFmtId="347" formatCode="_(* #,##0\ \x_);_(* \(#,##0\ \x\);_(* &quot;-&quot;??_);_(@_)"/>
    <numFmt numFmtId="348" formatCode="_(* #,##0\ ___);_(* \(#,##0\ __\);_(* &quot;-&quot;??_);_(@_)"/>
    <numFmt numFmtId="349" formatCode="_(* #,##0.0\ ___);_(* \(#,##0.0\ __\);_(* &quot;-&quot;??_);_(@_)"/>
    <numFmt numFmtId="350" formatCode="_(* #,##0.0_);_(* \(#,##0.0\);_(* &quot;-&quot;??_);_(@_)"/>
    <numFmt numFmtId="351" formatCode="* #,##0_);* \(\ #,##0_);* \-"/>
    <numFmt numFmtId="352" formatCode="0.0_)_x;\(0.0\)_x"/>
    <numFmt numFmtId="353" formatCode="&quot;$&quot;#,##0.0;[Red]\-&quot;$&quot;#,##0.0"/>
    <numFmt numFmtId="354" formatCode="#,##0.0_)\ \ ;[Red]\(#,##0.0\)\ \ "/>
    <numFmt numFmtId="355" formatCode="&quot;$&quot;#,##0.0000"/>
    <numFmt numFmtId="356" formatCode="#,##0\ \ \ ;[Red]\(#,##0\)\ \ ;\—\ \ \ \ "/>
    <numFmt numFmtId="357" formatCode="0.0%;\(0.0%\)"/>
    <numFmt numFmtId="358" formatCode="\(#,##0.00\);#,##0.00_);"/>
    <numFmt numFmtId="359" formatCode="\(#,##0.00\)_%;#,##0.00_)_%;"/>
    <numFmt numFmtId="360" formatCode="0.0_%"/>
    <numFmt numFmtId="361" formatCode="\(#,##0.000\);#,##0.000_);"/>
    <numFmt numFmtId="362" formatCode="\(#,##0.000\)_%;#,##0.000_)_%;"/>
    <numFmt numFmtId="363" formatCode="#,##0.0\%_);\(#,##0.0\%\);#,##0.0\%_);@_%_)"/>
    <numFmt numFmtId="364" formatCode="0.00\%;\-0.00\%;0.00\%"/>
  </numFmts>
  <fonts count="288">
    <font>
      <sz val="11"/>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4" tint="-0.499984740745262"/>
      <name val="Times New Roman"/>
      <family val="1"/>
    </font>
    <font>
      <b/>
      <sz val="12"/>
      <color theme="4" tint="-0.499984740745262"/>
      <name val="Times New Roman"/>
      <family val="1"/>
    </font>
    <font>
      <i/>
      <sz val="11"/>
      <color theme="1"/>
      <name val="Times New Roman"/>
      <family val="1"/>
    </font>
    <font>
      <sz val="11"/>
      <color theme="4" tint="-0.499984740745262"/>
      <name val="Times New Roman"/>
      <family val="2"/>
    </font>
    <font>
      <b/>
      <sz val="32"/>
      <color theme="4" tint="-0.499984740745262"/>
      <name val="Times New Roman"/>
      <family val="2"/>
    </font>
    <font>
      <sz val="32"/>
      <color theme="1"/>
      <name val="Times New Roman"/>
      <family val="2"/>
    </font>
    <font>
      <b/>
      <sz val="40"/>
      <color theme="4" tint="-0.499984740745262"/>
      <name val="Times New Roman"/>
      <family val="2"/>
    </font>
    <font>
      <i/>
      <sz val="20"/>
      <color theme="4" tint="-0.499984740745262"/>
      <name val="Times New Roman"/>
      <family val="1"/>
    </font>
    <font>
      <i/>
      <sz val="20"/>
      <color theme="1"/>
      <name val="Times New Roman"/>
      <family val="1"/>
    </font>
    <font>
      <sz val="12"/>
      <color theme="1"/>
      <name val="Times New Roman"/>
      <family val="1"/>
    </font>
    <font>
      <b/>
      <sz val="11"/>
      <color theme="1"/>
      <name val="Times New Roman"/>
      <family val="1"/>
    </font>
    <font>
      <sz val="11"/>
      <color theme="1"/>
      <name val="Times New Roman"/>
      <family val="1"/>
    </font>
    <font>
      <u val="singleAccounting"/>
      <sz val="11"/>
      <color theme="1"/>
      <name val="Times New Roman"/>
      <family val="1"/>
    </font>
    <font>
      <sz val="11"/>
      <color theme="0"/>
      <name val="Times New Roman"/>
      <family val="1"/>
    </font>
    <font>
      <b/>
      <sz val="12"/>
      <color theme="1"/>
      <name val="Times New Roman"/>
      <family val="1"/>
    </font>
    <font>
      <sz val="11"/>
      <color theme="6" tint="0.79998168889431442"/>
      <name val="Times New Roman"/>
      <family val="1"/>
    </font>
    <font>
      <sz val="11"/>
      <color rgb="FFFFFFFF"/>
      <name val="Times New Roman"/>
      <family val="1"/>
    </font>
    <font>
      <b/>
      <u val="singleAccounting"/>
      <sz val="11"/>
      <color theme="1"/>
      <name val="Times New Roman"/>
      <family val="1"/>
    </font>
    <font>
      <sz val="11"/>
      <color rgb="FF0000FF"/>
      <name val="Times New Roman"/>
      <family val="1"/>
    </font>
    <font>
      <sz val="10"/>
      <color theme="1"/>
      <name val="Times New Roman"/>
      <family val="1"/>
    </font>
    <font>
      <u val="singleAccounting"/>
      <sz val="10"/>
      <color theme="1"/>
      <name val="Times New Roman"/>
      <family val="1"/>
    </font>
    <font>
      <b/>
      <sz val="12"/>
      <color theme="0"/>
      <name val="Times New Roman"/>
      <family val="1"/>
    </font>
    <font>
      <sz val="10"/>
      <color rgb="FF0000FF"/>
      <name val="Times New Roman"/>
      <family val="1"/>
    </font>
    <font>
      <sz val="10"/>
      <name val="Times New Roman"/>
      <family val="1"/>
    </font>
    <font>
      <i/>
      <sz val="10"/>
      <name val="Times New Roman"/>
      <family val="1"/>
    </font>
    <font>
      <sz val="10"/>
      <name val="Arial"/>
      <family val="2"/>
    </font>
    <font>
      <u/>
      <sz val="11"/>
      <color theme="10"/>
      <name val="Calibri"/>
      <family val="2"/>
      <scheme val="minor"/>
    </font>
    <font>
      <u/>
      <sz val="11"/>
      <color theme="11"/>
      <name val="Calibri"/>
      <family val="2"/>
      <scheme val="minor"/>
    </font>
    <font>
      <sz val="10"/>
      <color theme="1"/>
      <name val="Times New Roman"/>
      <family val="2"/>
    </font>
    <font>
      <sz val="10"/>
      <color theme="0"/>
      <name val="Times New Roman"/>
      <family val="2"/>
    </font>
    <font>
      <sz val="10"/>
      <color indexed="0"/>
      <name val="Arial"/>
      <family val="2"/>
    </font>
    <font>
      <sz val="10"/>
      <color rgb="FF9C0006"/>
      <name val="Times New Roman"/>
      <family val="2"/>
    </font>
    <font>
      <b/>
      <sz val="10"/>
      <color theme="1"/>
      <name val="Times New Roman"/>
      <family val="1"/>
    </font>
    <font>
      <b/>
      <sz val="10"/>
      <name val="Times New Roman"/>
      <family val="1"/>
    </font>
    <font>
      <sz val="10"/>
      <color indexed="8"/>
      <name val="Times New Roman"/>
      <family val="1"/>
    </font>
    <font>
      <u/>
      <sz val="10"/>
      <name val="Times New Roman"/>
      <family val="1"/>
    </font>
    <font>
      <b/>
      <sz val="16"/>
      <color theme="0"/>
      <name val="Calibri"/>
      <family val="2"/>
      <scheme val="minor"/>
    </font>
    <font>
      <sz val="16"/>
      <name val="Calibri"/>
      <family val="2"/>
      <scheme val="minor"/>
    </font>
    <font>
      <sz val="16"/>
      <color theme="0"/>
      <name val="Calibri"/>
      <family val="2"/>
      <scheme val="minor"/>
    </font>
    <font>
      <sz val="10"/>
      <name val="Arial"/>
      <family val="2"/>
    </font>
    <font>
      <b/>
      <sz val="12"/>
      <color theme="1"/>
      <name val="Calibri"/>
      <family val="2"/>
      <scheme val="minor"/>
    </font>
    <font>
      <b/>
      <sz val="12"/>
      <name val="Calibri"/>
      <family val="2"/>
      <scheme val="minor"/>
    </font>
    <font>
      <b/>
      <sz val="12"/>
      <color rgb="FF1F4E78"/>
      <name val="Times New Roman"/>
      <family val="1"/>
    </font>
    <font>
      <b/>
      <sz val="12"/>
      <color theme="0"/>
      <name val="Calibri"/>
      <family val="2"/>
      <scheme val="minor"/>
    </font>
    <font>
      <b/>
      <sz val="12"/>
      <name val="Times New Roman"/>
      <family val="1"/>
    </font>
    <font>
      <b/>
      <u val="singleAccounting"/>
      <sz val="10"/>
      <name val="Times New Roman"/>
      <family val="1"/>
    </font>
    <font>
      <u val="singleAccounting"/>
      <sz val="10"/>
      <name val="Times New Roman"/>
      <family val="1"/>
    </font>
    <font>
      <b/>
      <u val="singleAccounting"/>
      <sz val="10"/>
      <color theme="1"/>
      <name val="Times New Roman"/>
      <family val="1"/>
    </font>
    <font>
      <sz val="10"/>
      <color indexed="39"/>
      <name val="Times New Roman"/>
      <family val="1"/>
    </font>
    <font>
      <b/>
      <u/>
      <sz val="10"/>
      <name val="Times New Roman"/>
      <family val="1"/>
    </font>
    <font>
      <b/>
      <sz val="10"/>
      <color indexed="9"/>
      <name val="Times New Roman"/>
      <family val="1"/>
    </font>
    <font>
      <b/>
      <u/>
      <sz val="10"/>
      <color theme="1"/>
      <name val="Times New Roman"/>
      <family val="1"/>
    </font>
    <font>
      <b/>
      <sz val="10"/>
      <color indexed="10"/>
      <name val="Times New Roman"/>
      <family val="1"/>
    </font>
    <font>
      <sz val="11"/>
      <name val="Times New Roman"/>
      <family val="1"/>
    </font>
    <font>
      <sz val="10"/>
      <name val="Calibri"/>
      <family val="2"/>
      <scheme val="minor"/>
    </font>
    <font>
      <sz val="12"/>
      <name val="Times New Roman"/>
      <family val="1"/>
    </font>
    <font>
      <b/>
      <sz val="16"/>
      <color theme="0"/>
      <name val="Times New Roman"/>
      <family val="1"/>
    </font>
    <font>
      <sz val="16"/>
      <color theme="0"/>
      <name val="Times New Roman"/>
      <family val="1"/>
    </font>
    <font>
      <sz val="16"/>
      <name val="Times New Roman"/>
      <family val="1"/>
    </font>
    <font>
      <sz val="10"/>
      <color theme="1"/>
      <name val="Garamond"/>
      <family val="2"/>
    </font>
    <font>
      <sz val="16"/>
      <color theme="1"/>
      <name val="Times New Roman"/>
      <family val="1"/>
    </font>
    <font>
      <sz val="16"/>
      <color indexed="12"/>
      <name val="Times New Roman"/>
      <family val="1"/>
    </font>
    <font>
      <sz val="14"/>
      <color theme="1"/>
      <name val="Times New Roman"/>
      <family val="1"/>
    </font>
    <font>
      <sz val="14"/>
      <color indexed="12"/>
      <name val="Times New Roman"/>
      <family val="1"/>
    </font>
    <font>
      <sz val="11"/>
      <color indexed="12"/>
      <name val="Times New Roman"/>
      <family val="1"/>
    </font>
    <font>
      <sz val="10"/>
      <color indexed="17"/>
      <name val="Times New Roman"/>
      <family val="1"/>
    </font>
    <font>
      <sz val="10"/>
      <color indexed="12"/>
      <name val="Times New Roman"/>
      <family val="1"/>
    </font>
    <font>
      <sz val="10"/>
      <color indexed="10"/>
      <name val="Times New Roman"/>
      <family val="1"/>
    </font>
    <font>
      <u/>
      <sz val="10"/>
      <color theme="1"/>
      <name val="Times New Roman"/>
      <family val="1"/>
    </font>
    <font>
      <b/>
      <u val="singleAccounting"/>
      <sz val="11"/>
      <color theme="0"/>
      <name val="Times New Roman"/>
      <family val="1"/>
    </font>
    <font>
      <b/>
      <i/>
      <sz val="10"/>
      <color theme="1"/>
      <name val="Times New Roman"/>
      <family val="1"/>
    </font>
    <font>
      <b/>
      <sz val="14"/>
      <color theme="0"/>
      <name val="Times New Roman"/>
      <family val="1"/>
    </font>
    <font>
      <i/>
      <sz val="10"/>
      <color theme="1"/>
      <name val="Times New Roman"/>
      <family val="1"/>
    </font>
    <font>
      <b/>
      <sz val="11"/>
      <name val="Times New Roman"/>
      <family val="1"/>
    </font>
    <font>
      <b/>
      <sz val="11"/>
      <color theme="0"/>
      <name val="Times New Roman"/>
      <family val="1"/>
    </font>
    <font>
      <b/>
      <sz val="10"/>
      <color theme="0"/>
      <name val="Times New Roman"/>
      <family val="1"/>
    </font>
    <font>
      <sz val="10"/>
      <color theme="0"/>
      <name val="Times New Roman"/>
      <family val="1"/>
    </font>
    <font>
      <b/>
      <u val="singleAccounting"/>
      <sz val="11"/>
      <name val="Times New Roman"/>
      <family val="1"/>
    </font>
    <font>
      <i/>
      <u val="singleAccounting"/>
      <sz val="11"/>
      <color theme="1"/>
      <name val="Times New Roman"/>
      <family val="1"/>
    </font>
    <font>
      <i/>
      <sz val="11"/>
      <name val="Times New Roman"/>
      <family val="1"/>
    </font>
    <font>
      <u val="singleAccounting"/>
      <sz val="11"/>
      <name val="Times New Roman"/>
      <family val="1"/>
    </font>
    <font>
      <u val="doubleAccounting"/>
      <sz val="11"/>
      <color theme="1"/>
      <name val="Times New Roman"/>
      <family val="1"/>
    </font>
    <font>
      <b/>
      <i/>
      <u/>
      <sz val="11"/>
      <color theme="1"/>
      <name val="Times New Roman"/>
      <family val="1"/>
    </font>
    <font>
      <b/>
      <sz val="10"/>
      <color theme="9" tint="-0.499984740745262"/>
      <name val="Times New Roman"/>
      <family val="1"/>
    </font>
    <font>
      <i/>
      <sz val="28"/>
      <color theme="4" tint="-0.499984740745262"/>
      <name val="Times New Roman"/>
      <family val="1"/>
    </font>
    <font>
      <b/>
      <sz val="11"/>
      <color theme="4" tint="-0.499984740745262"/>
      <name val="Times New Roman"/>
      <family val="2"/>
    </font>
    <font>
      <i/>
      <sz val="11"/>
      <color theme="4" tint="-0.499984740745262"/>
      <name val="Times New Roman"/>
      <family val="2"/>
    </font>
    <font>
      <i/>
      <sz val="16"/>
      <color theme="4" tint="-0.499984740745262"/>
      <name val="Times New Roman"/>
      <family val="1"/>
    </font>
    <font>
      <b/>
      <u val="singleAccounting"/>
      <sz val="10"/>
      <color theme="0"/>
      <name val="Times New Roman"/>
      <family val="1"/>
    </font>
    <font>
      <sz val="10"/>
      <name val="Arial"/>
      <family val="2"/>
    </font>
    <font>
      <sz val="11"/>
      <color theme="1"/>
      <name val="Verdana"/>
      <family val="2"/>
    </font>
    <font>
      <b/>
      <sz val="11"/>
      <color theme="1"/>
      <name val="Verdana"/>
      <family val="2"/>
    </font>
    <font>
      <b/>
      <sz val="10"/>
      <color theme="1"/>
      <name val="Verdana"/>
      <family val="2"/>
    </font>
    <font>
      <sz val="10"/>
      <color theme="1"/>
      <name val="Verdana"/>
      <family val="2"/>
    </font>
    <font>
      <sz val="9"/>
      <color theme="1"/>
      <name val="Verdana"/>
      <family val="2"/>
    </font>
    <font>
      <b/>
      <sz val="11"/>
      <name val="Verdana"/>
      <family val="2"/>
    </font>
    <font>
      <b/>
      <sz val="11"/>
      <color rgb="FFFF0000"/>
      <name val="Verdana"/>
      <family val="2"/>
    </font>
    <font>
      <b/>
      <sz val="8.5"/>
      <color rgb="FFFF0000"/>
      <name val="Verdana"/>
      <family val="2"/>
    </font>
    <font>
      <b/>
      <sz val="9.5"/>
      <color theme="1"/>
      <name val="Verdana"/>
      <family val="2"/>
    </font>
    <font>
      <b/>
      <i/>
      <sz val="10"/>
      <color theme="1"/>
      <name val="Verdana"/>
      <family val="2"/>
    </font>
    <font>
      <sz val="9"/>
      <color indexed="81"/>
      <name val="Tahoma"/>
      <family val="2"/>
    </font>
    <font>
      <b/>
      <sz val="10"/>
      <color rgb="FF0000FF"/>
      <name val="Times New Roman"/>
      <family val="1"/>
    </font>
    <font>
      <b/>
      <i/>
      <sz val="10"/>
      <name val="Times New Roman"/>
      <family val="1"/>
    </font>
    <font>
      <sz val="10"/>
      <name val="Garamond"/>
      <family val="1"/>
    </font>
    <font>
      <b/>
      <sz val="9"/>
      <color indexed="81"/>
      <name val="Tahoma"/>
      <family val="2"/>
    </font>
    <font>
      <i/>
      <sz val="10"/>
      <color theme="0"/>
      <name val="Times New Roman"/>
      <family val="1"/>
    </font>
    <font>
      <u val="singleAccounting"/>
      <sz val="10"/>
      <color theme="0"/>
      <name val="Times New Roman"/>
      <family val="1"/>
    </font>
    <font>
      <b/>
      <sz val="8"/>
      <name val="Times New Roman"/>
      <family val="1"/>
    </font>
    <font>
      <sz val="8"/>
      <name val="Times New Roman"/>
      <family val="1"/>
    </font>
    <font>
      <sz val="12"/>
      <color theme="1"/>
      <name val="Garamond"/>
      <family val="2"/>
    </font>
    <font>
      <sz val="10"/>
      <color rgb="FF008000"/>
      <name val="Times New Roman"/>
      <family val="1"/>
    </font>
    <font>
      <b/>
      <sz val="10"/>
      <name val="Garamond"/>
      <family val="1"/>
    </font>
    <font>
      <b/>
      <sz val="10"/>
      <color theme="1"/>
      <name val="Garamond"/>
      <family val="1"/>
    </font>
    <font>
      <sz val="10"/>
      <color indexed="12"/>
      <name val="Garamond"/>
      <family val="2"/>
    </font>
    <font>
      <sz val="8"/>
      <color indexed="12"/>
      <name val="Arial"/>
      <family val="2"/>
    </font>
    <font>
      <sz val="8"/>
      <name val="Helv"/>
    </font>
    <font>
      <sz val="10"/>
      <name val="Times New Roman"/>
      <family val="1"/>
      <charset val="204"/>
    </font>
    <font>
      <sz val="10"/>
      <name val="Arial"/>
      <family val="2"/>
      <charset val="204"/>
    </font>
    <font>
      <sz val="12"/>
      <name val="Arial"/>
      <family val="2"/>
    </font>
    <font>
      <sz val="10"/>
      <name val="Arial Narrow"/>
      <family val="2"/>
    </font>
    <font>
      <sz val="10"/>
      <name val="Geneva"/>
      <family val="2"/>
    </font>
    <font>
      <sz val="10"/>
      <name val="Geneva"/>
    </font>
    <font>
      <sz val="10"/>
      <color indexed="16"/>
      <name val="Credit Suisse Type Roman"/>
      <family val="2"/>
    </font>
    <font>
      <sz val="10"/>
      <name val="GillSans"/>
      <family val="2"/>
    </font>
    <font>
      <sz val="10"/>
      <name val="Century Schoolbook"/>
      <family val="1"/>
    </font>
    <font>
      <sz val="8"/>
      <name val="MS Serif"/>
      <family val="1"/>
    </font>
    <font>
      <sz val="11"/>
      <color indexed="8"/>
      <name val="Calibri"/>
      <family val="2"/>
    </font>
    <font>
      <sz val="11"/>
      <color indexed="9"/>
      <name val="Calibri"/>
      <family val="2"/>
    </font>
    <font>
      <sz val="10"/>
      <name val="David"/>
      <family val="2"/>
      <charset val="177"/>
    </font>
    <font>
      <sz val="10"/>
      <color indexed="8"/>
      <name val="MS Sans Serif"/>
      <family val="2"/>
    </font>
    <font>
      <sz val="8"/>
      <name val="Arial"/>
      <family val="2"/>
    </font>
    <font>
      <sz val="9"/>
      <name val="Arial"/>
      <family val="2"/>
    </font>
    <font>
      <sz val="9"/>
      <name val="Times New Roman"/>
      <family val="1"/>
    </font>
    <font>
      <sz val="10"/>
      <name val="Courier"/>
      <family val="3"/>
    </font>
    <font>
      <sz val="10"/>
      <name val="Helv"/>
      <family val="2"/>
    </font>
    <font>
      <sz val="10"/>
      <color indexed="0"/>
      <name val="Helv"/>
    </font>
    <font>
      <sz val="10"/>
      <name val="Helv"/>
    </font>
    <font>
      <sz val="10"/>
      <color indexed="9"/>
      <name val="Arial"/>
      <family val="2"/>
    </font>
    <font>
      <i/>
      <sz val="10"/>
      <color indexed="13"/>
      <name val="Arial"/>
      <family val="2"/>
    </font>
    <font>
      <sz val="10"/>
      <color indexed="13"/>
      <name val="Arial"/>
      <family val="2"/>
    </font>
    <font>
      <b/>
      <i/>
      <sz val="9"/>
      <name val="Arial"/>
      <family val="2"/>
    </font>
    <font>
      <b/>
      <sz val="9"/>
      <name val="Arial"/>
      <family val="2"/>
    </font>
    <font>
      <sz val="10"/>
      <name val="MS Sans Serif"/>
      <family val="2"/>
    </font>
    <font>
      <sz val="11"/>
      <name val="Arial"/>
      <family val="2"/>
    </font>
    <font>
      <sz val="8"/>
      <name val="Arial Narrow"/>
      <family val="2"/>
    </font>
    <font>
      <sz val="12"/>
      <name val="宋体"/>
      <charset val="134"/>
    </font>
    <font>
      <i/>
      <sz val="10"/>
      <name val="Arial"/>
      <family val="2"/>
    </font>
    <font>
      <b/>
      <sz val="10"/>
      <color indexed="9"/>
      <name val="Arial"/>
      <family val="2"/>
    </font>
    <font>
      <b/>
      <sz val="22"/>
      <color indexed="18"/>
      <name val="Arial"/>
      <family val="2"/>
    </font>
    <font>
      <sz val="12"/>
      <name val="¹ÙÅÁÃ¼"/>
      <family val="1"/>
      <charset val="129"/>
    </font>
    <font>
      <sz val="12"/>
      <name val="Helv"/>
    </font>
    <font>
      <sz val="8"/>
      <color indexed="12"/>
      <name val="Arial Narrow"/>
      <family val="2"/>
    </font>
    <font>
      <b/>
      <sz val="11"/>
      <color indexed="9"/>
      <name val="Arial"/>
      <family val="2"/>
    </font>
    <font>
      <b/>
      <sz val="10"/>
      <name val="Arial"/>
      <family val="2"/>
    </font>
    <font>
      <sz val="9"/>
      <color indexed="8"/>
      <name val="Arial"/>
      <family val="2"/>
    </font>
    <font>
      <b/>
      <sz val="10"/>
      <name val="Verdana"/>
      <family val="2"/>
    </font>
    <font>
      <b/>
      <sz val="8"/>
      <color indexed="9"/>
      <name val="Arial"/>
      <family val="2"/>
    </font>
    <font>
      <b/>
      <sz val="14"/>
      <name val="Arial"/>
      <family val="2"/>
    </font>
    <font>
      <i/>
      <sz val="8"/>
      <name val="Arial"/>
      <family val="2"/>
    </font>
    <font>
      <b/>
      <i/>
      <sz val="8"/>
      <color indexed="18"/>
      <name val="Arial"/>
      <family val="2"/>
    </font>
    <font>
      <b/>
      <sz val="14"/>
      <color indexed="18"/>
      <name val="Arial"/>
      <family val="2"/>
    </font>
    <font>
      <b/>
      <sz val="10"/>
      <color indexed="18"/>
      <name val="Arial"/>
      <family val="2"/>
    </font>
    <font>
      <b/>
      <sz val="9"/>
      <color indexed="8"/>
      <name val="Arial"/>
      <family val="2"/>
    </font>
    <font>
      <b/>
      <sz val="8"/>
      <color indexed="8"/>
      <name val="Arial Narrow"/>
      <family val="2"/>
    </font>
    <font>
      <b/>
      <u val="singleAccounting"/>
      <sz val="10"/>
      <color indexed="18"/>
      <name val="Arial"/>
      <family val="2"/>
    </font>
    <font>
      <b/>
      <u val="singleAccounting"/>
      <sz val="8"/>
      <name val="Arial Narrow"/>
      <family val="2"/>
    </font>
    <font>
      <b/>
      <sz val="10"/>
      <name val="MS Sans Serif"/>
      <family val="2"/>
    </font>
    <font>
      <sz val="11"/>
      <name val="Miriam"/>
      <family val="2"/>
      <charset val="177"/>
    </font>
    <font>
      <sz val="12"/>
      <name val="Times New Roman"/>
      <family val="1"/>
      <charset val="177"/>
    </font>
    <font>
      <sz val="8"/>
      <color indexed="8"/>
      <name val="Times New Roman"/>
      <family val="1"/>
    </font>
    <font>
      <sz val="8"/>
      <color indexed="14"/>
      <name val="Times New Roman"/>
      <family val="1"/>
    </font>
    <font>
      <sz val="8"/>
      <name val="Helvetica"/>
      <family val="2"/>
    </font>
    <font>
      <u/>
      <sz val="10"/>
      <color indexed="36"/>
      <name val="Arial"/>
      <family val="2"/>
    </font>
    <font>
      <sz val="10"/>
      <name val="Palatino"/>
      <family val="1"/>
    </font>
    <font>
      <sz val="10"/>
      <color indexed="8"/>
      <name val="Palatino"/>
      <family val="1"/>
    </font>
    <font>
      <u/>
      <sz val="10"/>
      <name val="Arial"/>
      <family val="2"/>
    </font>
    <font>
      <sz val="8"/>
      <name val="Antique Olive"/>
      <family val="2"/>
    </font>
    <font>
      <sz val="8"/>
      <name val="Geneva"/>
      <family val="2"/>
    </font>
    <font>
      <b/>
      <u/>
      <sz val="9"/>
      <color indexed="10"/>
      <name val="Times New Roman"/>
      <family val="1"/>
    </font>
    <font>
      <b/>
      <sz val="9"/>
      <color indexed="18"/>
      <name val="Times New Roman"/>
      <family val="1"/>
    </font>
    <font>
      <b/>
      <i/>
      <sz val="12"/>
      <name val="Footlight MT Light"/>
      <family val="1"/>
    </font>
    <font>
      <sz val="14"/>
      <name val="Tms Rmn"/>
    </font>
    <font>
      <sz val="11"/>
      <color indexed="13"/>
      <name val="Calibri"/>
      <family val="2"/>
    </font>
    <font>
      <sz val="11"/>
      <color indexed="8"/>
      <name val="맑은 고딕"/>
      <family val="3"/>
      <charset val="129"/>
    </font>
    <font>
      <sz val="11"/>
      <color indexed="9"/>
      <name val="맑은 고딕"/>
      <family val="3"/>
      <charset val="129"/>
    </font>
    <font>
      <b/>
      <sz val="10"/>
      <name val="Footlight MT Light"/>
      <family val="1"/>
    </font>
    <font>
      <b/>
      <sz val="12"/>
      <color indexed="8"/>
      <name val="Times New Roman"/>
      <family val="1"/>
    </font>
    <font>
      <i/>
      <sz val="11"/>
      <color indexed="23"/>
      <name val="Calibri"/>
      <family val="2"/>
    </font>
    <font>
      <sz val="10"/>
      <name val="Book Antiqua"/>
      <family val="1"/>
    </font>
    <font>
      <sz val="10"/>
      <name val="CG Times"/>
      <family val="1"/>
    </font>
    <font>
      <sz val="8"/>
      <name val="Times"/>
      <family val="1"/>
    </font>
    <font>
      <sz val="8"/>
      <name val="Tahoma"/>
      <family val="2"/>
    </font>
    <font>
      <b/>
      <sz val="18"/>
      <color indexed="56"/>
      <name val="Cambria"/>
      <family val="2"/>
    </font>
    <font>
      <b/>
      <sz val="12"/>
      <name val="Tms Rmn"/>
    </font>
    <font>
      <sz val="14"/>
      <name val="Arial"/>
      <family val="2"/>
    </font>
    <font>
      <b/>
      <sz val="6"/>
      <name val="Arial"/>
      <family val="2"/>
    </font>
    <font>
      <b/>
      <sz val="8"/>
      <name val="Arial"/>
      <family val="2"/>
    </font>
    <font>
      <sz val="7"/>
      <name val="Ariel"/>
    </font>
    <font>
      <sz val="8"/>
      <name val="MS Sans Serif"/>
      <family val="2"/>
    </font>
    <font>
      <sz val="11"/>
      <color indexed="20"/>
      <name val="Calibri"/>
      <family val="2"/>
    </font>
    <font>
      <sz val="11"/>
      <color indexed="52"/>
      <name val="Calibri"/>
      <family val="2"/>
    </font>
    <font>
      <b/>
      <sz val="10"/>
      <color indexed="9"/>
      <name val="Trebuchet MS"/>
      <family val="2"/>
    </font>
    <font>
      <b/>
      <sz val="10"/>
      <color theme="0"/>
      <name val="Arial"/>
      <family val="2"/>
    </font>
    <font>
      <sz val="9"/>
      <color indexed="12"/>
      <name val="Arial"/>
      <family val="2"/>
    </font>
    <font>
      <b/>
      <sz val="15"/>
      <color indexed="56"/>
      <name val="Calibri"/>
      <family val="2"/>
    </font>
    <font>
      <b/>
      <sz val="13"/>
      <color indexed="56"/>
      <name val="Calibri"/>
      <family val="2"/>
    </font>
    <font>
      <b/>
      <sz val="11"/>
      <color indexed="56"/>
      <name val="Calibri"/>
      <family val="2"/>
    </font>
    <font>
      <b/>
      <sz val="9"/>
      <color indexed="0"/>
      <name val="Arial"/>
      <family val="2"/>
    </font>
    <font>
      <sz val="9"/>
      <color indexed="0"/>
      <name val="Arial"/>
      <family val="2"/>
    </font>
    <font>
      <sz val="8"/>
      <name val="Tms Rmn"/>
    </font>
    <font>
      <sz val="8"/>
      <color indexed="12"/>
      <name val="Times New Roman"/>
      <family val="1"/>
    </font>
    <font>
      <b/>
      <i/>
      <sz val="8"/>
      <name val="Frutiger 55"/>
    </font>
    <font>
      <sz val="7"/>
      <name val="Swis721 BlkCn BT"/>
      <family val="2"/>
    </font>
    <font>
      <b/>
      <sz val="8"/>
      <name val="Frutiger 55"/>
      <family val="2"/>
    </font>
    <font>
      <b/>
      <sz val="11"/>
      <color indexed="52"/>
      <name val="Calibri"/>
      <family val="2"/>
    </font>
    <font>
      <b/>
      <sz val="10"/>
      <name val="MS Serif"/>
      <family val="1"/>
    </font>
    <font>
      <b/>
      <sz val="8"/>
      <color indexed="8"/>
      <name val="Verdana"/>
      <family val="2"/>
    </font>
    <font>
      <sz val="8"/>
      <color indexed="17"/>
      <name val="Times New Roman"/>
      <family val="1"/>
    </font>
    <font>
      <b/>
      <sz val="9.75"/>
      <name val="Abadi MT Condensed"/>
      <family val="2"/>
    </font>
    <font>
      <b/>
      <u val="singleAccounting"/>
      <sz val="8"/>
      <name val="Arial"/>
      <family val="2"/>
    </font>
    <font>
      <sz val="11"/>
      <name val="돋움"/>
      <family val="3"/>
      <charset val="129"/>
    </font>
    <font>
      <sz val="10"/>
      <color theme="1"/>
      <name val="Arial"/>
      <family val="2"/>
    </font>
    <font>
      <sz val="12"/>
      <color theme="1"/>
      <name val="Times New Roman"/>
      <family val="2"/>
    </font>
    <font>
      <sz val="12"/>
      <color theme="1"/>
      <name val="Calibri"/>
      <family val="2"/>
      <scheme val="minor"/>
    </font>
    <font>
      <sz val="10"/>
      <name val="BERNHARD"/>
    </font>
    <font>
      <b/>
      <sz val="8"/>
      <name val="Helv"/>
    </font>
    <font>
      <sz val="24"/>
      <name val="Arial"/>
      <family val="2"/>
    </font>
    <font>
      <sz val="10"/>
      <color indexed="8"/>
      <name val="Arial"/>
      <family val="2"/>
    </font>
    <font>
      <b/>
      <sz val="14"/>
      <color indexed="10"/>
      <name val="Times New Roman"/>
      <family val="1"/>
    </font>
    <font>
      <b/>
      <sz val="7"/>
      <color indexed="12"/>
      <name val="Helvetica"/>
      <family val="2"/>
    </font>
    <font>
      <sz val="9"/>
      <name val="Century Schoolbook"/>
      <family val="1"/>
    </font>
    <font>
      <sz val="9"/>
      <color indexed="9"/>
      <name val="Geneva"/>
    </font>
    <font>
      <sz val="12"/>
      <color indexed="9"/>
      <name val="Helv"/>
    </font>
    <font>
      <sz val="10"/>
      <color indexed="8"/>
      <name val="Trade Gothic LT Com"/>
      <family val="2"/>
    </font>
    <font>
      <i/>
      <sz val="12"/>
      <color indexed="9"/>
      <name val="Helv"/>
    </font>
    <font>
      <b/>
      <sz val="8"/>
      <color indexed="9"/>
      <name val="Tahoma"/>
      <family val="2"/>
    </font>
    <font>
      <b/>
      <sz val="14"/>
      <color indexed="9"/>
      <name val="Helv"/>
    </font>
    <font>
      <b/>
      <sz val="12"/>
      <name val="Arial"/>
      <family val="2"/>
    </font>
    <font>
      <b/>
      <u/>
      <sz val="8"/>
      <color indexed="8"/>
      <name val="Tahoma"/>
      <family val="2"/>
    </font>
    <font>
      <sz val="14"/>
      <color indexed="8"/>
      <name val="Times New Roman"/>
      <family val="1"/>
    </font>
    <font>
      <b/>
      <sz val="11"/>
      <name val="Arial"/>
      <family val="2"/>
    </font>
    <font>
      <b/>
      <sz val="12"/>
      <color indexed="8"/>
      <name val="Arial"/>
      <family val="2"/>
    </font>
    <font>
      <u/>
      <sz val="10"/>
      <color indexed="12"/>
      <name val="Arial"/>
      <family val="2"/>
    </font>
    <font>
      <sz val="10"/>
      <name val="R Frutiger Roman"/>
    </font>
    <font>
      <sz val="8"/>
      <color indexed="39"/>
      <name val="Arial"/>
      <family val="2"/>
    </font>
    <font>
      <sz val="10"/>
      <color indexed="12"/>
      <name val="Arial"/>
      <family val="2"/>
    </font>
    <font>
      <sz val="10"/>
      <color indexed="17"/>
      <name val="Arial"/>
      <family val="2"/>
    </font>
    <font>
      <u/>
      <sz val="8"/>
      <color indexed="12"/>
      <name val="MS Sans Serif"/>
      <family val="2"/>
    </font>
    <font>
      <b/>
      <sz val="36"/>
      <name val="Times New Roman"/>
      <family val="1"/>
    </font>
    <font>
      <sz val="10"/>
      <name val="Arial"/>
      <family val="2"/>
      <charset val="1"/>
    </font>
    <font>
      <sz val="12"/>
      <color theme="1"/>
      <name val="Calibri"/>
      <family val="2"/>
      <charset val="204"/>
      <scheme val="minor"/>
    </font>
    <font>
      <u val="doubleAccounting"/>
      <sz val="10"/>
      <name val="Arial"/>
      <family val="2"/>
    </font>
    <font>
      <sz val="8"/>
      <color indexed="8"/>
      <name val="Helv"/>
      <family val="2"/>
    </font>
    <font>
      <b/>
      <sz val="8"/>
      <color indexed="72"/>
      <name val="Arial"/>
      <family val="2"/>
    </font>
    <font>
      <sz val="10"/>
      <color indexed="39"/>
      <name val="Arial"/>
      <family val="2"/>
    </font>
    <font>
      <i/>
      <sz val="8"/>
      <name val="Times New Roman"/>
      <family val="1"/>
    </font>
    <font>
      <b/>
      <i/>
      <sz val="10"/>
      <color rgb="FF0000FF"/>
      <name val="Times New Roman"/>
      <family val="1"/>
    </font>
    <font>
      <sz val="10"/>
      <name val="Calibri"/>
      <family val="2"/>
    </font>
    <font>
      <sz val="10"/>
      <color rgb="FF0000FF"/>
      <name val="Calibri"/>
      <family val="2"/>
    </font>
    <font>
      <b/>
      <sz val="11"/>
      <color rgb="FF0000FF"/>
      <name val="Times New Roman"/>
      <family val="1"/>
    </font>
    <font>
      <sz val="8.85"/>
      <color rgb="FF000000"/>
      <name val="Arial"/>
      <family val="2"/>
    </font>
    <font>
      <b/>
      <i/>
      <sz val="10"/>
      <color indexed="12"/>
      <name val="Times New Roman"/>
      <family val="1"/>
    </font>
    <font>
      <b/>
      <sz val="10"/>
      <color rgb="FFFF0000"/>
      <name val="Times New Roman"/>
      <family val="1"/>
    </font>
    <font>
      <b/>
      <u val="singleAccounting"/>
      <sz val="10"/>
      <color rgb="FF0000FF"/>
      <name val="Times New Roman"/>
      <family val="1"/>
    </font>
    <font>
      <b/>
      <sz val="11"/>
      <color indexed="12"/>
      <name val="Times New Roman"/>
      <family val="1"/>
    </font>
    <font>
      <sz val="18"/>
      <color theme="3"/>
      <name val="Cambria"/>
      <family val="2"/>
      <scheme val="major"/>
    </font>
    <font>
      <b/>
      <i/>
      <sz val="11"/>
      <name val="Times New Roman"/>
      <family val="1"/>
    </font>
    <font>
      <i/>
      <sz val="11"/>
      <color rgb="FF0000FF"/>
      <name val="Times New Roman"/>
      <family val="1"/>
    </font>
  </fonts>
  <fills count="102">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rgb="FFEDEDED"/>
        <bgColor indexed="64"/>
      </patternFill>
    </fill>
    <fill>
      <patternFill patternType="solid">
        <fgColor theme="0" tint="-0.249977111117893"/>
        <bgColor indexed="64"/>
      </patternFill>
    </fill>
    <fill>
      <patternFill patternType="solid">
        <fgColor theme="3"/>
        <bgColor indexed="64"/>
      </patternFill>
    </fill>
    <fill>
      <patternFill patternType="solid">
        <fgColor indexed="22"/>
        <bgColor indexed="64"/>
      </patternFill>
    </fill>
    <fill>
      <patternFill patternType="solid">
        <fgColor rgb="FFDDEBF7"/>
        <bgColor indexed="64"/>
      </patternFill>
    </fill>
    <fill>
      <patternFill patternType="solid">
        <fgColor rgb="FF808080"/>
        <bgColor indexed="64"/>
      </patternFill>
    </fill>
    <fill>
      <patternFill patternType="solid">
        <fgColor rgb="FFDCE6F1"/>
        <bgColor indexed="64"/>
      </patternFill>
    </fill>
    <fill>
      <patternFill patternType="solid">
        <fgColor theme="9"/>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rgb="FFBFBFBF"/>
        <bgColor indexed="64"/>
      </patternFill>
    </fill>
    <fill>
      <patternFill patternType="solid">
        <fgColor rgb="FFCCFFFF"/>
        <bgColor indexed="64"/>
      </patternFill>
    </fill>
    <fill>
      <patternFill patternType="solid">
        <fgColor rgb="FFFFFF00"/>
        <bgColor indexed="64"/>
      </patternFill>
    </fill>
    <fill>
      <patternFill patternType="solid">
        <fgColor theme="9"/>
        <bgColor indexed="11"/>
      </patternFill>
    </fill>
    <fill>
      <patternFill patternType="solid">
        <fgColor theme="2" tint="-0.249977111117893"/>
        <bgColor indexed="64"/>
      </patternFill>
    </fill>
    <fill>
      <patternFill patternType="solid">
        <fgColor rgb="FF5A5A5A"/>
        <bgColor indexed="64"/>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18"/>
        <bgColor indexed="64"/>
      </patternFill>
    </fill>
    <fill>
      <patternFill patternType="solid">
        <fgColor indexed="43"/>
      </patternFill>
    </fill>
    <fill>
      <patternFill patternType="solid">
        <fgColor indexed="8"/>
        <bgColor indexed="64"/>
      </patternFill>
    </fill>
    <fill>
      <patternFill patternType="solid">
        <fgColor indexed="44"/>
        <bgColor indexed="64"/>
      </patternFill>
    </fill>
    <fill>
      <patternFill patternType="lightGray">
        <fgColor indexed="22"/>
      </patternFill>
    </fill>
    <fill>
      <patternFill patternType="solid">
        <fgColor indexed="9"/>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1"/>
        <bgColor indexed="64"/>
      </patternFill>
    </fill>
    <fill>
      <patternFill patternType="solid">
        <fgColor indexed="15"/>
        <bgColor indexed="64"/>
      </patternFill>
    </fill>
    <fill>
      <patternFill patternType="solid">
        <fgColor indexed="9"/>
        <bgColor indexed="64"/>
      </patternFill>
    </fill>
    <fill>
      <patternFill patternType="solid">
        <fgColor indexed="47"/>
        <bgColor indexed="22"/>
      </patternFill>
    </fill>
    <fill>
      <patternFill patternType="darkVertical">
        <fgColor indexed="9"/>
        <bgColor indexed="10"/>
      </patternFill>
    </fill>
    <fill>
      <patternFill patternType="darkHorizontal">
        <fgColor indexed="9"/>
        <bgColor indexed="10"/>
      </patternFill>
    </fill>
    <fill>
      <patternFill patternType="solid">
        <fgColor indexed="62"/>
        <bgColor indexed="64"/>
      </patternFill>
    </fill>
    <fill>
      <patternFill patternType="solid">
        <fgColor theme="3" tint="0.39997558519241921"/>
        <bgColor indexed="64"/>
      </patternFill>
    </fill>
    <fill>
      <patternFill patternType="solid">
        <fgColor theme="4" tint="-0.249977111117893"/>
        <bgColor indexed="64"/>
      </patternFill>
    </fill>
    <fill>
      <patternFill patternType="gray0625"/>
    </fill>
    <fill>
      <patternFill patternType="lightGray">
        <fgColor indexed="12"/>
      </patternFill>
    </fill>
    <fill>
      <patternFill patternType="gray0625">
        <fgColor indexed="12"/>
        <bgColor indexed="9"/>
      </patternFill>
    </fill>
    <fill>
      <patternFill patternType="lightGray">
        <bgColor indexed="41"/>
      </patternFill>
    </fill>
    <fill>
      <patternFill patternType="solid">
        <fgColor indexed="13"/>
        <bgColor indexed="64"/>
      </patternFill>
    </fill>
    <fill>
      <patternFill patternType="solid">
        <fgColor indexed="42"/>
        <bgColor indexed="64"/>
      </patternFill>
    </fill>
    <fill>
      <patternFill patternType="solid">
        <fgColor indexed="63"/>
        <bgColor indexed="64"/>
      </patternFill>
    </fill>
    <fill>
      <patternFill patternType="solid">
        <fgColor rgb="FFFF0000"/>
        <bgColor indexed="64"/>
      </patternFill>
    </fill>
  </fills>
  <borders count="8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thin">
        <color auto="1"/>
      </left>
      <right style="thin">
        <color auto="1"/>
      </right>
      <top style="thin">
        <color auto="1"/>
      </top>
      <bottom/>
      <diagonal/>
    </border>
    <border>
      <left/>
      <right/>
      <top style="thin">
        <color auto="1"/>
      </top>
      <bottom style="double">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ck">
        <color theme="8" tint="-0.499984740745262"/>
      </bottom>
      <diagonal/>
    </border>
    <border>
      <left/>
      <right/>
      <top style="thick">
        <color theme="8" tint="-0.499984740745262"/>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style="thin">
        <color auto="1"/>
      </left>
      <right style="thin">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medium">
        <color indexed="64"/>
      </top>
      <bottom/>
      <diagonal/>
    </border>
    <border>
      <left style="thin">
        <color auto="1"/>
      </left>
      <right/>
      <top/>
      <bottom style="medium">
        <color indexed="64"/>
      </bottom>
      <diagonal/>
    </border>
    <border>
      <left/>
      <right/>
      <top style="thick">
        <color rgb="FF333F4F"/>
      </top>
      <bottom/>
      <diagonal/>
    </border>
    <border>
      <left/>
      <right/>
      <top/>
      <bottom style="thick">
        <color rgb="FF333F4F"/>
      </bottom>
      <diagonal/>
    </border>
    <border>
      <left style="thin">
        <color indexed="64"/>
      </left>
      <right style="medium">
        <color indexed="64"/>
      </right>
      <top style="medium">
        <color indexed="64"/>
      </top>
      <bottom style="medium">
        <color indexed="64"/>
      </bottom>
      <diagonal/>
    </border>
    <border>
      <left/>
      <right style="thick">
        <color indexed="9"/>
      </right>
      <top/>
      <bottom style="thick">
        <color indexed="9"/>
      </bottom>
      <diagonal/>
    </border>
    <border>
      <left/>
      <right/>
      <top style="hair">
        <color indexed="8"/>
      </top>
      <bottom style="hair">
        <color indexed="8"/>
      </bottom>
      <diagonal/>
    </border>
    <border>
      <left/>
      <right/>
      <top style="thin">
        <color indexed="8"/>
      </top>
      <bottom style="thin">
        <color indexed="8"/>
      </bottom>
      <diagonal/>
    </border>
    <border>
      <left/>
      <right/>
      <top/>
      <bottom style="medium">
        <color indexed="18"/>
      </bottom>
      <diagonal/>
    </border>
    <border>
      <left/>
      <right/>
      <top/>
      <bottom style="medium">
        <color indexed="8"/>
      </bottom>
      <diagonal/>
    </border>
    <border>
      <left/>
      <right/>
      <top/>
      <bottom style="thin">
        <color indexed="8"/>
      </bottom>
      <diagonal/>
    </border>
    <border>
      <left/>
      <right/>
      <top style="double">
        <color indexed="64"/>
      </top>
      <bottom/>
      <diagonal/>
    </border>
    <border>
      <left style="double">
        <color indexed="64"/>
      </left>
      <right/>
      <top/>
      <bottom/>
      <diagonal/>
    </border>
    <border>
      <left/>
      <right/>
      <top/>
      <bottom style="double">
        <color indexed="64"/>
      </bottom>
      <diagonal/>
    </border>
    <border>
      <left style="thin">
        <color indexed="9"/>
      </left>
      <right style="thin">
        <color indexed="9"/>
      </right>
      <top style="thin">
        <color indexed="9"/>
      </top>
      <bottom style="thin">
        <color indexed="9"/>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bottom/>
      <diagonal/>
    </border>
    <border>
      <left/>
      <right/>
      <top style="hair">
        <color indexed="64"/>
      </top>
      <bottom/>
      <diagonal/>
    </border>
    <border>
      <left/>
      <right/>
      <top style="thin">
        <color indexed="64"/>
      </top>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right/>
      <top style="medium">
        <color indexed="64"/>
      </top>
      <bottom style="medium">
        <color indexed="64"/>
      </bottom>
      <diagonal/>
    </border>
    <border>
      <left style="thin">
        <color indexed="64"/>
      </left>
      <right style="thin">
        <color indexed="55"/>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style="double">
        <color auto="1"/>
      </bottom>
      <diagonal/>
    </border>
    <border>
      <left style="thin">
        <color auto="1"/>
      </left>
      <right style="thin">
        <color auto="1"/>
      </right>
      <top/>
      <bottom style="thin">
        <color auto="1"/>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auto="1"/>
      </right>
      <top style="thin">
        <color indexed="64"/>
      </top>
      <bottom style="medium">
        <color auto="1"/>
      </bottom>
      <diagonal/>
    </border>
    <border>
      <left style="thin">
        <color indexed="64"/>
      </left>
      <right style="thin">
        <color indexed="64"/>
      </right>
      <top style="thin">
        <color indexed="64"/>
      </top>
      <bottom style="thin">
        <color indexed="64"/>
      </bottom>
      <diagonal/>
    </border>
  </borders>
  <cellStyleXfs count="20043">
    <xf numFmtId="0" fontId="0" fillId="0" borderId="0"/>
    <xf numFmtId="43" fontId="3" fillId="0" borderId="0" applyFont="0" applyFill="0" applyBorder="0" applyAlignment="0" applyProtection="0"/>
    <xf numFmtId="0" fontId="4" fillId="0" borderId="0" applyNumberFormat="0" applyFill="0" applyBorder="0" applyAlignment="0" applyProtection="0"/>
    <xf numFmtId="0" fontId="5" fillId="0" borderId="6" applyNumberFormat="0" applyFill="0" applyAlignment="0" applyProtection="0"/>
    <xf numFmtId="0" fontId="6"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9" applyNumberFormat="0" applyAlignment="0" applyProtection="0"/>
    <xf numFmtId="0" fontId="12" fillId="7" borderId="10" applyNumberFormat="0" applyAlignment="0" applyProtection="0"/>
    <xf numFmtId="0" fontId="13" fillId="7" borderId="9" applyNumberFormat="0" applyAlignment="0" applyProtection="0"/>
    <xf numFmtId="0" fontId="14" fillId="0" borderId="11" applyNumberFormat="0" applyFill="0" applyAlignment="0" applyProtection="0"/>
    <xf numFmtId="0" fontId="15" fillId="8" borderId="12" applyNumberFormat="0" applyAlignment="0" applyProtection="0"/>
    <xf numFmtId="0" fontId="16" fillId="0" borderId="0" applyNumberFormat="0" applyFill="0" applyBorder="0" applyAlignment="0" applyProtection="0"/>
    <xf numFmtId="0" fontId="3" fillId="9" borderId="13" applyNumberFormat="0" applyFont="0" applyAlignment="0" applyProtection="0"/>
    <xf numFmtId="0" fontId="17" fillId="0" borderId="0" applyNumberFormat="0" applyFill="0" applyBorder="0" applyAlignment="0" applyProtection="0"/>
    <xf numFmtId="0" fontId="18" fillId="0" borderId="14" applyNumberFormat="0" applyFill="0" applyAlignment="0" applyProtection="0"/>
    <xf numFmtId="0" fontId="19"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9" fillId="33" borderId="0" applyNumberFormat="0" applyBorder="0" applyAlignment="0" applyProtection="0"/>
    <xf numFmtId="9" fontId="3" fillId="0" borderId="0" applyFont="0" applyFill="0" applyBorder="0" applyAlignment="0" applyProtection="0"/>
    <xf numFmtId="0" fontId="2" fillId="0" borderId="0"/>
    <xf numFmtId="43" fontId="2" fillId="0" borderId="0" applyFont="0" applyFill="0" applyBorder="0" applyAlignment="0" applyProtection="0"/>
    <xf numFmtId="0" fontId="3" fillId="0" borderId="0"/>
    <xf numFmtId="43" fontId="45" fillId="0" borderId="0" applyFon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0"/>
    <xf numFmtId="43" fontId="48" fillId="0" borderId="0" applyFont="0" applyFill="0" applyBorder="0" applyAlignment="0" applyProtection="0"/>
    <xf numFmtId="0" fontId="49" fillId="26" borderId="0" applyNumberFormat="0" applyBorder="0" applyAlignment="0" applyProtection="0"/>
    <xf numFmtId="0" fontId="49" fillId="10" borderId="0" applyNumberFormat="0" applyBorder="0" applyAlignment="0" applyProtection="0"/>
    <xf numFmtId="171" fontId="50" fillId="0" borderId="0"/>
    <xf numFmtId="172" fontId="50" fillId="0" borderId="0"/>
    <xf numFmtId="0" fontId="51" fillId="4" borderId="0" applyNumberFormat="0" applyBorder="0" applyAlignment="0" applyProtection="0"/>
    <xf numFmtId="9" fontId="48" fillId="0" borderId="0" applyFont="0" applyFill="0" applyBorder="0" applyAlignment="0" applyProtection="0"/>
    <xf numFmtId="0" fontId="48" fillId="9" borderId="13" applyNumberFormat="0" applyFont="0" applyAlignment="0" applyProtection="0"/>
    <xf numFmtId="0" fontId="43" fillId="0" borderId="0"/>
    <xf numFmtId="0" fontId="59" fillId="0" borderId="0"/>
    <xf numFmtId="0" fontId="45" fillId="0" borderId="0"/>
    <xf numFmtId="0" fontId="43" fillId="0" borderId="0"/>
    <xf numFmtId="44" fontId="45" fillId="0" borderId="0" applyFont="0" applyFill="0" applyBorder="0" applyAlignment="0" applyProtection="0"/>
    <xf numFmtId="0" fontId="45" fillId="0" borderId="0"/>
    <xf numFmtId="9" fontId="45" fillId="0" borderId="0" applyFont="0" applyFill="0" applyBorder="0" applyAlignment="0" applyProtection="0"/>
    <xf numFmtId="0" fontId="2" fillId="0" borderId="0"/>
    <xf numFmtId="0" fontId="79" fillId="0" borderId="0"/>
    <xf numFmtId="44" fontId="79" fillId="0" borderId="0" applyFont="0" applyFill="0" applyBorder="0" applyAlignment="0" applyProtection="0"/>
    <xf numFmtId="9" fontId="79" fillId="0" borderId="0" applyFont="0" applyFill="0" applyBorder="0" applyAlignment="0" applyProtection="0"/>
    <xf numFmtId="9" fontId="2" fillId="0" borderId="0" applyFont="0" applyFill="0" applyBorder="0" applyAlignment="0" applyProtection="0"/>
    <xf numFmtId="0" fontId="45" fillId="0" borderId="0"/>
    <xf numFmtId="0" fontId="109" fillId="0" borderId="0"/>
    <xf numFmtId="44" fontId="3" fillId="0" borderId="0" applyFont="0" applyFill="0" applyBorder="0" applyAlignment="0" applyProtection="0"/>
    <xf numFmtId="0" fontId="45" fillId="0" borderId="0"/>
    <xf numFmtId="43" fontId="1" fillId="0" borderId="0" applyFont="0" applyFill="0" applyBorder="0" applyAlignment="0" applyProtection="0"/>
    <xf numFmtId="43" fontId="123" fillId="0" borderId="0" applyFont="0" applyFill="0" applyBorder="0" applyAlignment="0" applyProtection="0"/>
    <xf numFmtId="44" fontId="1" fillId="0" borderId="0" applyFont="0" applyFill="0" applyBorder="0" applyAlignment="0" applyProtection="0"/>
    <xf numFmtId="0" fontId="3" fillId="0" borderId="0"/>
    <xf numFmtId="0" fontId="45" fillId="0" borderId="0"/>
    <xf numFmtId="0" fontId="45" fillId="0" borderId="0"/>
    <xf numFmtId="0" fontId="1" fillId="0" borderId="0"/>
    <xf numFmtId="0" fontId="1" fillId="0" borderId="0"/>
    <xf numFmtId="9" fontId="1" fillId="0" borderId="0" applyFont="0" applyFill="0" applyBorder="0" applyAlignment="0" applyProtection="0"/>
    <xf numFmtId="9" fontId="123"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0" fontId="3" fillId="0" borderId="0"/>
    <xf numFmtId="0" fontId="45" fillId="0" borderId="0"/>
    <xf numFmtId="9" fontId="134" fillId="0" borderId="0">
      <alignment horizontal="right"/>
    </xf>
    <xf numFmtId="37" fontId="135" fillId="0" borderId="0">
      <alignment horizontal="fill"/>
    </xf>
    <xf numFmtId="0" fontId="45" fillId="0" borderId="0"/>
    <xf numFmtId="0" fontId="45" fillId="0" borderId="0"/>
    <xf numFmtId="0" fontId="45" fillId="0" borderId="0"/>
    <xf numFmtId="0" fontId="45" fillId="0" borderId="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192" fontId="138" fillId="0" borderId="0" applyNumberFormat="0" applyFill="0" applyBorder="0" applyAlignment="0" applyProtection="0"/>
    <xf numFmtId="0" fontId="45" fillId="0" borderId="0" applyNumberFormat="0" applyFill="0" applyBorder="0" applyAlignment="0" applyProtection="0"/>
    <xf numFmtId="0" fontId="45" fillId="0" borderId="0"/>
    <xf numFmtId="0" fontId="137" fillId="0" borderId="0" applyFont="0" applyFill="0" applyBorder="0" applyAlignment="0" applyProtection="0"/>
    <xf numFmtId="0" fontId="43" fillId="0" borderId="0"/>
    <xf numFmtId="0" fontId="43" fillId="0" borderId="0"/>
    <xf numFmtId="0" fontId="45" fillId="0" borderId="0"/>
    <xf numFmtId="0" fontId="43" fillId="0" borderId="0"/>
    <xf numFmtId="0" fontId="43" fillId="0" borderId="0"/>
    <xf numFmtId="0" fontId="43" fillId="0" borderId="0"/>
    <xf numFmtId="193" fontId="139" fillId="0" borderId="0" applyFont="0" applyFill="0" applyBorder="0" applyAlignment="0" applyProtection="0"/>
    <xf numFmtId="194" fontId="139" fillId="0" borderId="0" applyFont="0" applyFill="0" applyBorder="0" applyAlignment="0" applyProtection="0"/>
    <xf numFmtId="3" fontId="140" fillId="0" borderId="0" applyFont="0" applyFill="0" applyBorder="0" applyAlignment="0" applyProtection="0"/>
    <xf numFmtId="0" fontId="75" fillId="0" borderId="0"/>
    <xf numFmtId="193" fontId="139" fillId="0" borderId="0" applyFont="0" applyFill="0" applyBorder="0" applyAlignment="0" applyProtection="0"/>
    <xf numFmtId="193" fontId="139" fillId="0" borderId="0" applyFont="0" applyFill="0" applyBorder="0" applyAlignment="0" applyProtection="0"/>
    <xf numFmtId="193" fontId="139" fillId="0" borderId="0" applyFont="0" applyFill="0" applyBorder="0" applyAlignment="0" applyProtection="0"/>
    <xf numFmtId="193" fontId="139" fillId="0" borderId="0" applyFont="0" applyFill="0" applyBorder="0" applyAlignment="0" applyProtection="0"/>
    <xf numFmtId="193" fontId="139" fillId="0" borderId="0" applyFont="0" applyFill="0" applyBorder="0" applyAlignment="0" applyProtection="0"/>
    <xf numFmtId="5" fontId="141" fillId="0" borderId="0" applyFont="0" applyFill="0" applyBorder="0" applyAlignment="0" applyProtection="0"/>
    <xf numFmtId="195" fontId="139" fillId="0" borderId="0" applyFont="0" applyFill="0" applyBorder="0" applyAlignment="0" applyProtection="0"/>
    <xf numFmtId="8" fontId="141" fillId="0" borderId="0" applyFont="0" applyFill="0" applyBorder="0" applyAlignment="0" applyProtection="0"/>
    <xf numFmtId="0" fontId="128" fillId="0" borderId="0">
      <alignment horizontal="right"/>
    </xf>
    <xf numFmtId="0" fontId="43" fillId="0" borderId="0"/>
    <xf numFmtId="196" fontId="142" fillId="0" borderId="0">
      <alignment horizontal="right"/>
    </xf>
    <xf numFmtId="0" fontId="143" fillId="0" borderId="0"/>
    <xf numFmtId="0" fontId="45" fillId="0" borderId="0"/>
    <xf numFmtId="0" fontId="143" fillId="0" borderId="0"/>
    <xf numFmtId="0" fontId="45" fillId="0" borderId="0"/>
    <xf numFmtId="0" fontId="45" fillId="0" borderId="0"/>
    <xf numFmtId="0" fontId="45" fillId="0" borderId="0"/>
    <xf numFmtId="0" fontId="143" fillId="0" borderId="0"/>
    <xf numFmtId="0" fontId="143" fillId="0" borderId="0"/>
    <xf numFmtId="0" fontId="45" fillId="0" borderId="0"/>
    <xf numFmtId="0" fontId="45" fillId="0" borderId="0"/>
    <xf numFmtId="166" fontId="43" fillId="0" borderId="0">
      <alignment horizontal="right"/>
    </xf>
    <xf numFmtId="166" fontId="45" fillId="0" borderId="0">
      <alignment horizontal="right"/>
    </xf>
    <xf numFmtId="197" fontId="45" fillId="0" borderId="0" applyFont="0" applyFill="0" applyBorder="0" applyAlignment="0" applyProtection="0"/>
    <xf numFmtId="0" fontId="43" fillId="0" borderId="0">
      <alignment horizontal="right"/>
    </xf>
    <xf numFmtId="198" fontId="45" fillId="0" borderId="0"/>
    <xf numFmtId="199" fontId="45" fillId="0" borderId="0" applyFont="0" applyFill="0" applyBorder="0" applyAlignment="0" applyProtection="0"/>
    <xf numFmtId="0" fontId="43" fillId="41" borderId="0"/>
    <xf numFmtId="0" fontId="45" fillId="41" borderId="0"/>
    <xf numFmtId="0" fontId="144" fillId="41" borderId="0"/>
    <xf numFmtId="0" fontId="144" fillId="41" borderId="0"/>
    <xf numFmtId="0" fontId="43" fillId="41" borderId="0">
      <alignment horizontal="right"/>
    </xf>
    <xf numFmtId="7" fontId="45" fillId="0" borderId="0">
      <alignment horizontal="right"/>
    </xf>
    <xf numFmtId="0" fontId="45" fillId="0" borderId="0"/>
    <xf numFmtId="200" fontId="139" fillId="0" borderId="0" applyFont="0" applyFill="0" applyBorder="0" applyAlignment="0" applyProtection="0"/>
    <xf numFmtId="201" fontId="45" fillId="0" borderId="0" applyFont="0" applyFill="0" applyBorder="0" applyAlignment="0" applyProtection="0"/>
    <xf numFmtId="9" fontId="145" fillId="54" borderId="15">
      <alignment horizontal="right" vertical="center"/>
    </xf>
    <xf numFmtId="9" fontId="45" fillId="0" borderId="0">
      <alignment horizontal="right" vertical="center"/>
    </xf>
    <xf numFmtId="202" fontId="128" fillId="0" borderId="0" applyBorder="0"/>
    <xf numFmtId="202" fontId="128" fillId="0" borderId="0" applyBorder="0"/>
    <xf numFmtId="202" fontId="45" fillId="0" borderId="0" applyBorder="0"/>
    <xf numFmtId="202" fontId="128" fillId="0" borderId="0" applyBorder="0"/>
    <xf numFmtId="202" fontId="128" fillId="0" borderId="0" applyBorder="0"/>
    <xf numFmtId="202" fontId="128" fillId="0" borderId="0" applyBorder="0"/>
    <xf numFmtId="10" fontId="141" fillId="0" borderId="0" applyFont="0" applyFill="0" applyBorder="0" applyAlignment="0" applyProtection="0"/>
    <xf numFmtId="9" fontId="141" fillId="0" borderId="0" applyFont="0" applyFill="0" applyBorder="0" applyAlignment="0" applyProtection="0"/>
    <xf numFmtId="9" fontId="45" fillId="0" borderId="0"/>
    <xf numFmtId="0" fontId="146" fillId="55" borderId="0" applyNumberFormat="0" applyBorder="0" applyAlignment="0" applyProtection="0"/>
    <xf numFmtId="0" fontId="146" fillId="56" borderId="0" applyNumberFormat="0" applyBorder="0" applyAlignment="0" applyProtection="0"/>
    <xf numFmtId="0" fontId="146" fillId="57" borderId="0" applyNumberFormat="0" applyBorder="0" applyAlignment="0" applyProtection="0"/>
    <xf numFmtId="0" fontId="146" fillId="58" borderId="0" applyNumberFormat="0" applyBorder="0" applyAlignment="0" applyProtection="0"/>
    <xf numFmtId="0" fontId="146" fillId="59" borderId="0" applyNumberFormat="0" applyBorder="0" applyAlignment="0" applyProtection="0"/>
    <xf numFmtId="0" fontId="146" fillId="60" borderId="0" applyNumberFormat="0" applyBorder="0" applyAlignment="0" applyProtection="0"/>
    <xf numFmtId="0" fontId="146" fillId="61" borderId="0" applyNumberFormat="0" applyBorder="0" applyAlignment="0" applyProtection="0"/>
    <xf numFmtId="0" fontId="146" fillId="62" borderId="0" applyNumberFormat="0" applyBorder="0" applyAlignment="0" applyProtection="0"/>
    <xf numFmtId="0" fontId="146" fillId="63" borderId="0" applyNumberFormat="0" applyBorder="0" applyAlignment="0" applyProtection="0"/>
    <xf numFmtId="0" fontId="146" fillId="58" borderId="0" applyNumberFormat="0" applyBorder="0" applyAlignment="0" applyProtection="0"/>
    <xf numFmtId="0" fontId="146" fillId="61" borderId="0" applyNumberFormat="0" applyBorder="0" applyAlignment="0" applyProtection="0"/>
    <xf numFmtId="0" fontId="146" fillId="64" borderId="0" applyNumberFormat="0" applyBorder="0" applyAlignment="0" applyProtection="0"/>
    <xf numFmtId="0" fontId="147" fillId="65" borderId="0" applyNumberFormat="0" applyBorder="0" applyAlignment="0" applyProtection="0"/>
    <xf numFmtId="0" fontId="147" fillId="62" borderId="0" applyNumberFormat="0" applyBorder="0" applyAlignment="0" applyProtection="0"/>
    <xf numFmtId="0" fontId="147" fillId="63" borderId="0" applyNumberFormat="0" applyBorder="0" applyAlignment="0" applyProtection="0"/>
    <xf numFmtId="0" fontId="147" fillId="66" borderId="0" applyNumberFormat="0" applyBorder="0" applyAlignment="0" applyProtection="0"/>
    <xf numFmtId="0" fontId="147" fillId="67" borderId="0" applyNumberFormat="0" applyBorder="0" applyAlignment="0" applyProtection="0"/>
    <xf numFmtId="0" fontId="147" fillId="68" borderId="0" applyNumberFormat="0" applyBorder="0" applyAlignment="0" applyProtection="0"/>
    <xf numFmtId="39" fontId="45" fillId="0" borderId="0" applyFont="0" applyFill="0" applyBorder="0" applyAlignment="0" applyProtection="0"/>
    <xf numFmtId="0" fontId="148" fillId="0" borderId="0"/>
    <xf numFmtId="0" fontId="148" fillId="0" borderId="0"/>
    <xf numFmtId="0" fontId="149" fillId="0" borderId="0" applyNumberFormat="0" applyFont="0" applyFill="0" applyBorder="0" applyAlignment="0" applyProtection="0"/>
    <xf numFmtId="0" fontId="45" fillId="0" borderId="0" applyNumberFormat="0" applyFont="0" applyFill="0" applyBorder="0" applyAlignment="0" applyProtection="0"/>
    <xf numFmtId="38" fontId="45" fillId="0" borderId="0"/>
    <xf numFmtId="203" fontId="43" fillId="0" borderId="0" applyFont="0" applyFill="0" applyBorder="0" applyAlignment="0"/>
    <xf numFmtId="203" fontId="43" fillId="0" borderId="0" applyFont="0" applyFill="0" applyBorder="0" applyAlignment="0"/>
    <xf numFmtId="203" fontId="45" fillId="0" borderId="0" applyFont="0" applyFill="0" applyBorder="0" applyAlignment="0"/>
    <xf numFmtId="203" fontId="43" fillId="0" borderId="0" applyFont="0" applyFill="0" applyBorder="0" applyAlignment="0"/>
    <xf numFmtId="203" fontId="43" fillId="0" borderId="0" applyFont="0" applyFill="0" applyBorder="0" applyAlignment="0"/>
    <xf numFmtId="203" fontId="43" fillId="0" borderId="0" applyFont="0" applyFill="0" applyBorder="0" applyAlignment="0"/>
    <xf numFmtId="204" fontId="45" fillId="0" borderId="0" applyFont="0" applyFill="0" applyBorder="0" applyAlignment="0" applyProtection="0"/>
    <xf numFmtId="205" fontId="45" fillId="0" borderId="0" applyFont="0" applyFill="0" applyBorder="0" applyAlignment="0" applyProtection="0"/>
    <xf numFmtId="9" fontId="45" fillId="0" borderId="0" applyFont="0" applyFill="0" applyBorder="0" applyAlignment="0" applyProtection="0"/>
    <xf numFmtId="0" fontId="45" fillId="0" borderId="0"/>
    <xf numFmtId="0" fontId="150" fillId="0" borderId="0"/>
    <xf numFmtId="206" fontId="151" fillId="0" borderId="0" applyFont="0" applyFill="0" applyBorder="0" applyProtection="0">
      <alignment horizontal="right"/>
    </xf>
    <xf numFmtId="206" fontId="45" fillId="0" borderId="0" applyFont="0" applyFill="0" applyBorder="0" applyProtection="0">
      <alignment horizontal="right"/>
    </xf>
    <xf numFmtId="207" fontId="152" fillId="0" borderId="0" applyFont="0" applyFill="0" applyBorder="0" applyAlignment="0" applyProtection="0"/>
    <xf numFmtId="208" fontId="45" fillId="0" borderId="0" applyFont="0" applyFill="0" applyBorder="0" applyAlignment="0" applyProtection="0"/>
    <xf numFmtId="209" fontId="152" fillId="0" borderId="0" applyFont="0" applyFill="0" applyBorder="0" applyAlignment="0" applyProtection="0"/>
    <xf numFmtId="210" fontId="45"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5"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211" fontId="150" fillId="0" borderId="0"/>
    <xf numFmtId="0" fontId="153" fillId="0" borderId="0">
      <alignment vertical="center"/>
    </xf>
    <xf numFmtId="0" fontId="45" fillId="0" borderId="0" applyNumberFormat="0" applyFill="0" applyBorder="0" applyAlignment="0" applyProtection="0"/>
    <xf numFmtId="0" fontId="154" fillId="0" borderId="0"/>
    <xf numFmtId="0" fontId="45" fillId="0" borderId="0"/>
    <xf numFmtId="0" fontId="155" fillId="0" borderId="0"/>
    <xf numFmtId="212" fontId="151" fillId="0" borderId="0" applyFont="0" applyFill="0" applyBorder="0" applyProtection="0">
      <alignment horizontal="right"/>
    </xf>
    <xf numFmtId="212" fontId="45" fillId="0" borderId="0" applyFont="0" applyFill="0" applyBorder="0" applyProtection="0">
      <alignment horizontal="right"/>
    </xf>
    <xf numFmtId="0" fontId="45" fillId="0" borderId="0" applyFont="0" applyFill="0" applyBorder="0" applyAlignment="0" applyProtection="0"/>
    <xf numFmtId="0" fontId="45" fillId="0" borderId="0">
      <alignment horizontal="left" wrapText="1"/>
    </xf>
    <xf numFmtId="188" fontId="153" fillId="0" borderId="0"/>
    <xf numFmtId="188" fontId="153" fillId="0" borderId="0"/>
    <xf numFmtId="0" fontId="43" fillId="0" borderId="0" applyFont="0" applyFill="0" applyBorder="0" applyAlignment="0" applyProtection="0"/>
    <xf numFmtId="0" fontId="150" fillId="0" borderId="0" applyFont="0" applyFill="0" applyBorder="0" applyAlignment="0" applyProtection="0"/>
    <xf numFmtId="0" fontId="156" fillId="0" borderId="0"/>
    <xf numFmtId="9" fontId="134" fillId="0" borderId="0">
      <alignment horizontal="right"/>
    </xf>
    <xf numFmtId="9" fontId="134" fillId="0" borderId="0">
      <alignment horizontal="right"/>
    </xf>
    <xf numFmtId="0" fontId="43" fillId="0" borderId="0"/>
    <xf numFmtId="0" fontId="45" fillId="41" borderId="0"/>
    <xf numFmtId="0" fontId="157" fillId="69" borderId="0"/>
    <xf numFmtId="0" fontId="158" fillId="70" borderId="0"/>
    <xf numFmtId="0" fontId="159" fillId="71" borderId="0"/>
    <xf numFmtId="0" fontId="160" fillId="0" borderId="0"/>
    <xf numFmtId="0" fontId="161" fillId="0" borderId="0"/>
    <xf numFmtId="193" fontId="152" fillId="0" borderId="0" applyFont="0" applyFill="0" applyBorder="0" applyAlignment="0" applyProtection="0"/>
    <xf numFmtId="173" fontId="151" fillId="0" borderId="0" applyFont="0" applyFill="0" applyBorder="0" applyAlignment="0" applyProtection="0"/>
    <xf numFmtId="173" fontId="151"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73" fontId="45" fillId="0" borderId="0" applyFont="0" applyFill="0" applyBorder="0" applyAlignment="0" applyProtection="0"/>
    <xf numFmtId="193" fontId="162"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163"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0" fontId="43" fillId="0" borderId="0"/>
    <xf numFmtId="213" fontId="152" fillId="0" borderId="0" applyFont="0" applyFill="0" applyBorder="0" applyAlignment="0" applyProtection="0"/>
    <xf numFmtId="214" fontId="151" fillId="0" borderId="0" applyFont="0" applyFill="0" applyBorder="0" applyAlignment="0" applyProtection="0"/>
    <xf numFmtId="214" fontId="151" fillId="0" borderId="0" applyFont="0" applyFill="0" applyBorder="0" applyAlignment="0" applyProtection="0"/>
    <xf numFmtId="0" fontId="75" fillId="0" borderId="0" applyFont="0" applyFill="0" applyBorder="0" applyAlignment="0" applyProtection="0"/>
    <xf numFmtId="215" fontId="45" fillId="0" borderId="0" applyFont="0" applyFill="0" applyBorder="0" applyAlignment="0" applyProtection="0"/>
    <xf numFmtId="216" fontId="45" fillId="0" borderId="0" applyFont="0" applyFill="0" applyBorder="0" applyAlignment="0" applyProtection="0"/>
    <xf numFmtId="216" fontId="45" fillId="0" borderId="0" applyFont="0" applyFill="0" applyBorder="0" applyAlignment="0" applyProtection="0"/>
    <xf numFmtId="214" fontId="45" fillId="0" borderId="0" applyFont="0" applyFill="0" applyBorder="0" applyAlignment="0" applyProtection="0"/>
    <xf numFmtId="217" fontId="45" fillId="0" borderId="0" applyFont="0" applyFill="0" applyBorder="0" applyAlignment="0" applyProtection="0"/>
    <xf numFmtId="218" fontId="45" fillId="0" borderId="0" applyFont="0" applyFill="0" applyBorder="0" applyAlignment="0" applyProtection="0"/>
    <xf numFmtId="214" fontId="45" fillId="0" borderId="0" applyFont="0" applyFill="0" applyBorder="0" applyAlignment="0" applyProtection="0"/>
    <xf numFmtId="216" fontId="45" fillId="0" borderId="0" applyFont="0" applyFill="0" applyBorder="0" applyAlignment="0" applyProtection="0"/>
    <xf numFmtId="213" fontId="45" fillId="0" borderId="0" applyFont="0" applyFill="0" applyBorder="0" applyAlignment="0" applyProtection="0"/>
    <xf numFmtId="214" fontId="45" fillId="0" borderId="0" applyFont="0" applyFill="0" applyBorder="0" applyAlignment="0" applyProtection="0"/>
    <xf numFmtId="215" fontId="45" fillId="0" borderId="0" applyFont="0" applyFill="0" applyBorder="0" applyAlignment="0" applyProtection="0"/>
    <xf numFmtId="215" fontId="163" fillId="0" borderId="0" applyFont="0" applyFill="0" applyBorder="0" applyAlignment="0" applyProtection="0"/>
    <xf numFmtId="215" fontId="163" fillId="0" borderId="0" applyFont="0" applyFill="0" applyBorder="0" applyAlignment="0" applyProtection="0"/>
    <xf numFmtId="219" fontId="45" fillId="0" borderId="0" applyFont="0" applyFill="0" applyBorder="0" applyAlignment="0" applyProtection="0"/>
    <xf numFmtId="213" fontId="162" fillId="0" borderId="0" applyFont="0" applyFill="0" applyBorder="0" applyAlignment="0" applyProtection="0"/>
    <xf numFmtId="213" fontId="45" fillId="0" borderId="0" applyFont="0" applyFill="0" applyBorder="0" applyAlignment="0" applyProtection="0"/>
    <xf numFmtId="213" fontId="45" fillId="0" borderId="0" applyFont="0" applyFill="0" applyBorder="0" applyAlignment="0" applyProtection="0"/>
    <xf numFmtId="213" fontId="45" fillId="0" borderId="0" applyFont="0" applyFill="0" applyBorder="0" applyAlignment="0" applyProtection="0"/>
    <xf numFmtId="214" fontId="45" fillId="0" borderId="0" applyFont="0" applyFill="0" applyBorder="0" applyAlignment="0" applyProtection="0"/>
    <xf numFmtId="214" fontId="163" fillId="0" borderId="0" applyFont="0" applyFill="0" applyBorder="0" applyAlignment="0" applyProtection="0"/>
    <xf numFmtId="215" fontId="163" fillId="0" borderId="0" applyFont="0" applyFill="0" applyBorder="0" applyAlignment="0" applyProtection="0"/>
    <xf numFmtId="215" fontId="163" fillId="0" borderId="0" applyFont="0" applyFill="0" applyBorder="0" applyAlignment="0" applyProtection="0"/>
    <xf numFmtId="217" fontId="45" fillId="0" borderId="0" applyFont="0" applyFill="0" applyBorder="0" applyAlignment="0" applyProtection="0"/>
    <xf numFmtId="218" fontId="163" fillId="0" borderId="0" applyFont="0" applyFill="0" applyBorder="0" applyAlignment="0" applyProtection="0"/>
    <xf numFmtId="215" fontId="45" fillId="0" borderId="0" applyFont="0" applyFill="0" applyBorder="0" applyAlignment="0" applyProtection="0"/>
    <xf numFmtId="213" fontId="45" fillId="0" borderId="0" applyFont="0" applyFill="0" applyBorder="0" applyAlignment="0" applyProtection="0"/>
    <xf numFmtId="218" fontId="45" fillId="0" borderId="0" applyFont="0" applyFill="0" applyBorder="0" applyAlignment="0" applyProtection="0"/>
    <xf numFmtId="0" fontId="45" fillId="0" borderId="0" applyFont="0" applyFill="0" applyBorder="0" applyAlignment="0" applyProtection="0"/>
    <xf numFmtId="220" fontId="45" fillId="0" borderId="0" applyFont="0" applyFill="0" applyBorder="0" applyAlignment="0" applyProtection="0"/>
    <xf numFmtId="213" fontId="45" fillId="0" borderId="0" applyFont="0" applyFill="0" applyBorder="0" applyAlignment="0" applyProtection="0"/>
    <xf numFmtId="215" fontId="45" fillId="0" borderId="0" applyFont="0" applyFill="0" applyBorder="0" applyAlignment="0" applyProtection="0"/>
    <xf numFmtId="218" fontId="45" fillId="0" borderId="0" applyFont="0" applyFill="0" applyBorder="0" applyAlignment="0" applyProtection="0"/>
    <xf numFmtId="213" fontId="45" fillId="0" borderId="0" applyFont="0" applyFill="0" applyBorder="0" applyAlignment="0" applyProtection="0"/>
    <xf numFmtId="221" fontId="152" fillId="0" borderId="0" applyFont="0" applyFill="0" applyBorder="0" applyAlignment="0" applyProtection="0"/>
    <xf numFmtId="39" fontId="151" fillId="0" borderId="0" applyFont="0" applyFill="0" applyBorder="0" applyAlignment="0" applyProtection="0"/>
    <xf numFmtId="39" fontId="151"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173" fontId="45" fillId="0" borderId="0" applyFont="0" applyFill="0" applyBorder="0" applyAlignment="0" applyProtection="0"/>
    <xf numFmtId="221" fontId="162"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221" fontId="163"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173" fontId="45"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221" fontId="45" fillId="0" borderId="0" applyFont="0" applyFill="0" applyBorder="0" applyAlignment="0" applyProtection="0"/>
    <xf numFmtId="4" fontId="45" fillId="72" borderId="0"/>
    <xf numFmtId="14" fontId="164" fillId="0" borderId="0" applyFill="0" applyBorder="0" applyProtection="0"/>
    <xf numFmtId="14" fontId="45" fillId="0" borderId="0" applyFill="0" applyBorder="0" applyProtection="0"/>
    <xf numFmtId="222" fontId="45" fillId="0" borderId="0" applyFont="0" applyFill="0" applyBorder="0" applyAlignment="0" applyProtection="0"/>
    <xf numFmtId="222" fontId="45" fillId="0" borderId="0" applyFont="0" applyFill="0" applyBorder="0" applyAlignment="0" applyProtection="0"/>
    <xf numFmtId="222" fontId="45" fillId="0" borderId="0" applyFont="0" applyFill="0" applyBorder="0" applyAlignment="0" applyProtection="0"/>
    <xf numFmtId="0" fontId="149" fillId="0" borderId="0" applyNumberFormat="0" applyFill="0" applyBorder="0" applyAlignment="0" applyProtection="0"/>
    <xf numFmtId="0" fontId="45" fillId="0" borderId="0" applyFont="0" applyFill="0" applyBorder="0" applyAlignment="0" applyProtection="0"/>
    <xf numFmtId="173" fontId="45" fillId="0" borderId="0" applyFont="0" applyFill="0" applyBorder="0" applyAlignment="0" applyProtection="0"/>
    <xf numFmtId="204" fontId="45" fillId="0" borderId="0" applyFont="0" applyFill="0" applyBorder="0" applyAlignment="0" applyProtection="0"/>
    <xf numFmtId="0" fontId="45" fillId="0" borderId="0">
      <alignment horizontal="right"/>
    </xf>
    <xf numFmtId="0" fontId="45" fillId="0" borderId="0"/>
    <xf numFmtId="203" fontId="43" fillId="0" borderId="0" applyFont="0" applyFill="0" applyBorder="0" applyAlignment="0"/>
    <xf numFmtId="0" fontId="45" fillId="0" borderId="0"/>
    <xf numFmtId="204" fontId="45" fillId="0" borderId="0" applyFont="0" applyFill="0" applyBorder="0" applyAlignment="0" applyProtection="0"/>
    <xf numFmtId="173" fontId="45" fillId="0" borderId="0" applyFont="0" applyFill="0" applyBorder="0" applyAlignment="0" applyProtection="0"/>
    <xf numFmtId="0" fontId="45" fillId="0" borderId="0">
      <alignment horizontal="right"/>
    </xf>
    <xf numFmtId="223" fontId="152" fillId="0" borderId="0" applyFont="0" applyFill="0" applyBorder="0" applyAlignment="0" applyProtection="0"/>
    <xf numFmtId="223" fontId="151" fillId="0" borderId="0" applyFont="0" applyFill="0" applyBorder="0" applyProtection="0">
      <alignment horizontal="right"/>
    </xf>
    <xf numFmtId="223" fontId="45" fillId="0" borderId="0" applyFont="0" applyFill="0" applyBorder="0" applyProtection="0">
      <alignment horizontal="right"/>
    </xf>
    <xf numFmtId="223" fontId="151" fillId="0" borderId="0" applyFont="0" applyFill="0" applyBorder="0" applyProtection="0">
      <alignment horizontal="right"/>
    </xf>
    <xf numFmtId="223" fontId="151" fillId="0" borderId="0" applyFont="0" applyFill="0" applyBorder="0" applyProtection="0">
      <alignment horizontal="right"/>
    </xf>
    <xf numFmtId="223" fontId="151" fillId="0" borderId="0" applyFont="0" applyFill="0" applyBorder="0" applyProtection="0">
      <alignment horizontal="right"/>
    </xf>
    <xf numFmtId="223" fontId="151" fillId="0" borderId="0" applyFont="0" applyFill="0" applyBorder="0" applyAlignment="0" applyProtection="0"/>
    <xf numFmtId="223" fontId="151" fillId="0" borderId="0" applyFont="0" applyFill="0" applyBorder="0" applyAlignment="0" applyProtection="0"/>
    <xf numFmtId="223" fontId="45" fillId="0" borderId="0" applyFont="0" applyFill="0" applyBorder="0" applyAlignment="0" applyProtection="0"/>
    <xf numFmtId="223" fontId="151" fillId="0" borderId="0" applyFont="0" applyFill="0" applyBorder="0" applyAlignment="0" applyProtection="0"/>
    <xf numFmtId="223" fontId="151" fillId="0" borderId="0" applyFont="0" applyFill="0" applyBorder="0" applyAlignment="0" applyProtection="0"/>
    <xf numFmtId="223" fontId="151" fillId="0" borderId="0" applyFont="0" applyFill="0" applyBorder="0" applyAlignment="0" applyProtection="0"/>
    <xf numFmtId="223" fontId="45" fillId="0" borderId="0" applyFont="0" applyFill="0" applyBorder="0" applyAlignment="0" applyProtection="0"/>
    <xf numFmtId="224" fontId="45" fillId="0" borderId="0" applyFont="0" applyFill="0" applyBorder="0" applyAlignment="0" applyProtection="0"/>
    <xf numFmtId="223" fontId="45" fillId="0" borderId="0" applyFont="0" applyFill="0" applyBorder="0" applyAlignment="0" applyProtection="0"/>
    <xf numFmtId="0" fontId="165" fillId="0" borderId="0">
      <alignment vertical="center"/>
    </xf>
    <xf numFmtId="225" fontId="161" fillId="0" borderId="18" applyFont="0" applyFill="0" applyBorder="0" applyAlignment="0" applyProtection="0"/>
    <xf numFmtId="225" fontId="45" fillId="0" borderId="0" applyFont="0" applyFill="0" applyBorder="0" applyAlignment="0" applyProtection="0"/>
    <xf numFmtId="0" fontId="166" fillId="73" borderId="0"/>
    <xf numFmtId="0" fontId="167" fillId="74" borderId="45" applyBorder="0">
      <alignment horizontal="center"/>
    </xf>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52" fillId="75" borderId="0" applyNumberFormat="0" applyFont="0" applyAlignment="0" applyProtection="0"/>
    <xf numFmtId="0" fontId="45" fillId="0" borderId="0" applyNumberFormat="0" applyFont="0" applyAlignment="0" applyProtection="0"/>
    <xf numFmtId="0" fontId="169" fillId="0" borderId="0" applyFont="0" applyFill="0" applyBorder="0" applyAlignment="0" applyProtection="0"/>
    <xf numFmtId="0" fontId="170" fillId="0" borderId="0" applyFont="0" applyFill="0" applyBorder="0" applyAlignment="0" applyProtection="0"/>
    <xf numFmtId="165" fontId="45" fillId="0" borderId="0" applyFont="0" applyFill="0" applyBorder="0" applyAlignment="0" applyProtection="0"/>
    <xf numFmtId="226" fontId="171" fillId="0" borderId="0" applyFont="0" applyFill="0" applyBorder="0" applyProtection="0">
      <alignment horizontal="right"/>
    </xf>
    <xf numFmtId="226" fontId="45" fillId="0" borderId="0" applyFont="0" applyFill="0" applyBorder="0" applyProtection="0">
      <alignment horizontal="right"/>
    </xf>
    <xf numFmtId="227" fontId="171" fillId="0" borderId="0" applyFont="0" applyFill="0" applyBorder="0" applyProtection="0">
      <alignment horizontal="right"/>
    </xf>
    <xf numFmtId="227" fontId="45" fillId="0" borderId="0" applyFont="0" applyFill="0" applyBorder="0" applyProtection="0">
      <alignment horizontal="right"/>
    </xf>
    <xf numFmtId="227" fontId="171" fillId="0" borderId="0" applyFont="0" applyFill="0" applyBorder="0" applyProtection="0">
      <alignment horizontal="right"/>
    </xf>
    <xf numFmtId="227" fontId="45" fillId="0" borderId="0" applyFont="0" applyFill="0" applyBorder="0" applyProtection="0">
      <alignment horizontal="right"/>
    </xf>
    <xf numFmtId="0" fontId="153" fillId="0" borderId="0">
      <alignment vertical="center"/>
    </xf>
    <xf numFmtId="0" fontId="153" fillId="0" borderId="0">
      <alignment vertical="center"/>
    </xf>
    <xf numFmtId="0" fontId="153" fillId="0" borderId="0">
      <alignment vertical="center"/>
    </xf>
    <xf numFmtId="0" fontId="172" fillId="76" borderId="0">
      <alignment horizontal="centerContinuous" vertical="center"/>
    </xf>
    <xf numFmtId="0" fontId="45" fillId="0" borderId="0">
      <alignment horizontal="centerContinuous" vertical="center"/>
    </xf>
    <xf numFmtId="0" fontId="173" fillId="41" borderId="0">
      <alignment horizontal="centerContinuous" vertical="center"/>
    </xf>
    <xf numFmtId="0" fontId="45" fillId="0" borderId="0">
      <alignment horizontal="centerContinuous" vertical="center"/>
    </xf>
    <xf numFmtId="9" fontId="134" fillId="0" borderId="0">
      <alignment horizontal="right"/>
    </xf>
    <xf numFmtId="9" fontId="134" fillId="0" borderId="0">
      <alignment horizontal="right"/>
    </xf>
    <xf numFmtId="9" fontId="134" fillId="0" borderId="0">
      <alignment horizontal="right"/>
    </xf>
    <xf numFmtId="9" fontId="134" fillId="0" borderId="0">
      <alignment horizontal="right"/>
    </xf>
    <xf numFmtId="0" fontId="140" fillId="0" borderId="0"/>
    <xf numFmtId="0" fontId="45" fillId="0" borderId="0">
      <alignment horizontal="left" wrapText="1"/>
    </xf>
    <xf numFmtId="0" fontId="45" fillId="0" borderId="0">
      <alignment horizontal="left" wrapText="1"/>
    </xf>
    <xf numFmtId="228" fontId="152" fillId="0" borderId="0" applyFont="0" applyFill="0" applyBorder="0" applyAlignment="0" applyProtection="0"/>
    <xf numFmtId="229" fontId="151" fillId="0" borderId="0" applyFont="0" applyFill="0" applyBorder="0" applyAlignment="0" applyProtection="0"/>
    <xf numFmtId="229" fontId="151" fillId="0" borderId="0" applyFont="0" applyFill="0" applyBorder="0" applyAlignment="0" applyProtection="0"/>
    <xf numFmtId="230" fontId="45" fillId="0" borderId="0" applyFont="0" applyFill="0" applyBorder="0" applyProtection="0">
      <alignment horizontal="right"/>
    </xf>
    <xf numFmtId="231" fontId="45" fillId="0" borderId="0" applyFont="0" applyFill="0" applyBorder="0" applyAlignment="0" applyProtection="0"/>
    <xf numFmtId="228" fontId="45" fillId="0" borderId="0" applyFont="0" applyFill="0" applyBorder="0" applyAlignment="0" applyProtection="0"/>
    <xf numFmtId="232" fontId="45" fillId="0" borderId="0" applyFont="0" applyFill="0" applyBorder="0" applyProtection="0">
      <alignment horizontal="right"/>
    </xf>
    <xf numFmtId="228" fontId="45" fillId="0" borderId="0" applyFont="0" applyFill="0" applyBorder="0" applyAlignment="0" applyProtection="0"/>
    <xf numFmtId="229" fontId="45" fillId="0" borderId="0" applyFont="0" applyFill="0" applyBorder="0" applyAlignment="0" applyProtection="0"/>
    <xf numFmtId="233" fontId="45" fillId="0" borderId="0" applyFont="0" applyFill="0" applyBorder="0" applyAlignment="0" applyProtection="0"/>
    <xf numFmtId="228" fontId="162" fillId="0" borderId="0" applyFont="0" applyFill="0" applyBorder="0" applyAlignment="0" applyProtection="0"/>
    <xf numFmtId="228" fontId="45" fillId="0" borderId="0" applyFont="0" applyFill="0" applyBorder="0" applyAlignment="0" applyProtection="0"/>
    <xf numFmtId="232" fontId="45" fillId="0" borderId="0" applyFont="0" applyFill="0" applyBorder="0" applyProtection="0">
      <alignment horizontal="right"/>
    </xf>
    <xf numFmtId="232" fontId="45" fillId="0" borderId="0" applyFont="0" applyFill="0" applyBorder="0" applyProtection="0">
      <alignment horizontal="right"/>
    </xf>
    <xf numFmtId="228" fontId="45" fillId="0" borderId="0" applyFont="0" applyFill="0" applyBorder="0" applyAlignment="0" applyProtection="0"/>
    <xf numFmtId="228" fontId="163" fillId="0" borderId="0" applyFont="0" applyFill="0" applyBorder="0" applyAlignment="0" applyProtection="0"/>
    <xf numFmtId="232" fontId="45" fillId="0" borderId="0" applyFont="0" applyFill="0" applyBorder="0" applyProtection="0">
      <alignment horizontal="right"/>
    </xf>
    <xf numFmtId="231" fontId="45" fillId="0" borderId="0" applyFont="0" applyFill="0" applyBorder="0" applyAlignment="0" applyProtection="0"/>
    <xf numFmtId="228" fontId="45" fillId="0" borderId="0" applyFont="0" applyFill="0" applyBorder="0" applyAlignment="0" applyProtection="0"/>
    <xf numFmtId="232" fontId="45" fillId="0" borderId="0" applyFont="0" applyFill="0" applyBorder="0" applyProtection="0">
      <alignment horizontal="right"/>
    </xf>
    <xf numFmtId="232" fontId="45" fillId="0" borderId="0" applyFont="0" applyFill="0" applyBorder="0" applyProtection="0">
      <alignment horizontal="right"/>
    </xf>
    <xf numFmtId="234" fontId="45" fillId="0" borderId="0" applyFont="0" applyFill="0" applyBorder="0" applyProtection="0">
      <alignment horizontal="right"/>
    </xf>
    <xf numFmtId="235" fontId="152" fillId="0" borderId="0" applyFont="0" applyFill="0" applyBorder="0" applyProtection="0">
      <alignment horizontal="right"/>
    </xf>
    <xf numFmtId="236" fontId="151" fillId="0" borderId="0" applyFont="0" applyFill="0" applyBorder="0" applyAlignment="0" applyProtection="0"/>
    <xf numFmtId="236" fontId="151" fillId="0" borderId="0" applyFont="0" applyFill="0" applyBorder="0" applyAlignment="0" applyProtection="0"/>
    <xf numFmtId="237" fontId="45" fillId="0" borderId="0" applyFont="0" applyFill="0" applyBorder="0" applyAlignment="0" applyProtection="0"/>
    <xf numFmtId="235" fontId="45" fillId="0" borderId="0" applyFont="0" applyFill="0" applyBorder="0" applyProtection="0">
      <alignment horizontal="right"/>
    </xf>
    <xf numFmtId="0" fontId="45" fillId="0" borderId="0" applyFont="0" applyFill="0" applyBorder="0" applyAlignment="0" applyProtection="0"/>
    <xf numFmtId="0" fontId="45" fillId="0" borderId="0" applyFont="0" applyFill="0" applyBorder="0" applyAlignment="0" applyProtection="0"/>
    <xf numFmtId="236" fontId="45" fillId="0" borderId="0" applyFont="0" applyFill="0" applyBorder="0" applyAlignment="0" applyProtection="0"/>
    <xf numFmtId="235" fontId="45" fillId="0" borderId="0" applyFont="0" applyFill="0" applyBorder="0" applyProtection="0">
      <alignment horizontal="right"/>
    </xf>
    <xf numFmtId="236" fontId="45" fillId="0" borderId="0" applyFont="0" applyFill="0" applyBorder="0" applyAlignment="0" applyProtection="0"/>
    <xf numFmtId="0" fontId="45" fillId="0" borderId="0" applyFont="0" applyFill="0" applyBorder="0" applyProtection="0">
      <alignment horizontal="right"/>
    </xf>
    <xf numFmtId="235" fontId="162"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235" fontId="163" fillId="0" borderId="0" applyFont="0" applyFill="0" applyBorder="0" applyProtection="0">
      <alignment horizontal="right"/>
    </xf>
    <xf numFmtId="235" fontId="45" fillId="0" borderId="0" applyFont="0" applyFill="0" applyBorder="0" applyProtection="0">
      <alignment horizontal="right"/>
    </xf>
    <xf numFmtId="237" fontId="45" fillId="0" borderId="0" applyFont="0" applyFill="0" applyBorder="0" applyAlignment="0" applyProtection="0"/>
    <xf numFmtId="0" fontId="162"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0" fontId="45" fillId="0" borderId="0"/>
    <xf numFmtId="238" fontId="151" fillId="0" borderId="0" applyFont="0" applyFill="0" applyBorder="0" applyAlignment="0" applyProtection="0"/>
    <xf numFmtId="207" fontId="45" fillId="0" borderId="0" applyFont="0" applyFill="0" applyBorder="0" applyAlignment="0" applyProtection="0"/>
    <xf numFmtId="207" fontId="45" fillId="0" borderId="0" applyFont="0" applyFill="0" applyBorder="0" applyAlignment="0" applyProtection="0"/>
    <xf numFmtId="239" fontId="174" fillId="0" borderId="46" applyFont="0" applyFill="0" applyBorder="0" applyProtection="0">
      <alignment horizontal="right"/>
    </xf>
    <xf numFmtId="239"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1" fontId="151" fillId="0" borderId="0" applyFont="0" applyFill="0" applyBorder="0" applyAlignment="0" applyProtection="0"/>
    <xf numFmtId="209" fontId="45" fillId="0" borderId="0" applyFont="0" applyFill="0" applyBorder="0" applyAlignment="0" applyProtection="0"/>
    <xf numFmtId="209" fontId="45" fillId="0" borderId="0" applyFont="0" applyFill="0" applyBorder="0" applyAlignment="0" applyProtection="0"/>
    <xf numFmtId="0" fontId="45" fillId="0" borderId="0">
      <alignment horizontal="left" wrapText="1"/>
    </xf>
    <xf numFmtId="0" fontId="45" fillId="0" borderId="0">
      <alignment horizontal="left" wrapText="1"/>
    </xf>
    <xf numFmtId="0" fontId="75" fillId="0" borderId="0" applyNumberFormat="0" applyFill="0" applyBorder="0" applyAlignment="0" applyProtection="0"/>
    <xf numFmtId="0" fontId="45" fillId="0" borderId="0"/>
    <xf numFmtId="0" fontId="45" fillId="0" borderId="0"/>
    <xf numFmtId="242" fontId="45" fillId="0" borderId="0">
      <alignment horizontal="left" wrapText="1"/>
    </xf>
    <xf numFmtId="0" fontId="175" fillId="0" borderId="0">
      <alignment horizontal="center" wrapText="1"/>
    </xf>
    <xf numFmtId="0" fontId="176" fillId="74" borderId="1">
      <alignment horizontal="center"/>
    </xf>
    <xf numFmtId="0" fontId="176" fillId="74" borderId="1">
      <alignment horizontal="center"/>
    </xf>
    <xf numFmtId="0" fontId="177" fillId="77" borderId="1">
      <alignment horizontal="center" vertical="center"/>
    </xf>
    <xf numFmtId="0" fontId="177" fillId="77" borderId="1">
      <alignment horizontal="center" vertical="center"/>
    </xf>
    <xf numFmtId="3" fontId="150" fillId="0" borderId="1"/>
    <xf numFmtId="3" fontId="150" fillId="0" borderId="1"/>
    <xf numFmtId="4" fontId="150" fillId="0" borderId="1"/>
    <xf numFmtId="4" fontId="150" fillId="0" borderId="1"/>
    <xf numFmtId="183" fontId="45" fillId="0" borderId="1">
      <alignment horizontal="center" vertical="center"/>
    </xf>
    <xf numFmtId="183" fontId="45" fillId="0" borderId="1">
      <alignment horizontal="center" vertical="center"/>
    </xf>
    <xf numFmtId="0" fontId="178" fillId="0" borderId="1">
      <alignment horizontal="center"/>
    </xf>
    <xf numFmtId="0" fontId="178" fillId="0" borderId="1">
      <alignment horizontal="center"/>
    </xf>
    <xf numFmtId="0" fontId="179" fillId="72" borderId="1">
      <alignment horizontal="center"/>
    </xf>
    <xf numFmtId="0" fontId="179" fillId="72" borderId="1">
      <alignment horizontal="center"/>
    </xf>
    <xf numFmtId="0" fontId="175" fillId="0" borderId="0"/>
    <xf numFmtId="0" fontId="176" fillId="74" borderId="1"/>
    <xf numFmtId="0" fontId="176" fillId="74" borderId="1"/>
    <xf numFmtId="0" fontId="177" fillId="77" borderId="1">
      <alignment horizontal="center" vertical="center"/>
    </xf>
    <xf numFmtId="0" fontId="177" fillId="77" borderId="1">
      <alignment horizontal="center" vertical="center"/>
    </xf>
    <xf numFmtId="0" fontId="166" fillId="0" borderId="0"/>
    <xf numFmtId="0" fontId="75" fillId="0" borderId="0" applyNumberFormat="0" applyFill="0" applyBorder="0" applyAlignment="0" applyProtection="0"/>
    <xf numFmtId="0" fontId="75" fillId="0" borderId="0"/>
    <xf numFmtId="203" fontId="43" fillId="0" borderId="0" applyFont="0" applyFill="0" applyBorder="0" applyAlignment="0"/>
    <xf numFmtId="0" fontId="45" fillId="0" borderId="0"/>
    <xf numFmtId="204" fontId="45" fillId="0" borderId="0" applyFont="0" applyFill="0" applyBorder="0" applyAlignment="0" applyProtection="0"/>
    <xf numFmtId="173" fontId="45" fillId="0" borderId="0" applyFont="0" applyFill="0" applyBorder="0" applyAlignment="0" applyProtection="0"/>
    <xf numFmtId="0" fontId="45" fillId="0" borderId="0">
      <alignment horizontal="right"/>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Alignment="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74" fillId="0" borderId="46" applyNumberFormat="0" applyFill="0" applyAlignment="0" applyProtection="0"/>
    <xf numFmtId="0" fontId="45" fillId="0" borderId="0"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6" applyNumberFormat="0" applyFill="0" applyAlignment="0" applyProtection="0"/>
    <xf numFmtId="0" fontId="174" fillId="0" borderId="46" applyNumberFormat="0" applyFill="0" applyAlignment="0" applyProtection="0"/>
    <xf numFmtId="0" fontId="174" fillId="0" borderId="46" applyNumberFormat="0" applyFill="0" applyAlignment="0" applyProtection="0"/>
    <xf numFmtId="0" fontId="174" fillId="0" borderId="46" applyNumberFormat="0" applyFill="0" applyAlignment="0" applyProtection="0"/>
    <xf numFmtId="0" fontId="181" fillId="0" borderId="48" applyNumberFormat="0" applyFill="0" applyProtection="0">
      <alignment horizontal="center"/>
    </xf>
    <xf numFmtId="0" fontId="45" fillId="0" borderId="0" applyNumberFormat="0" applyFill="0" applyProtection="0">
      <alignment horizontal="center"/>
    </xf>
    <xf numFmtId="0" fontId="182" fillId="0" borderId="49" applyNumberFormat="0" applyFill="0" applyProtection="0">
      <alignment horizontal="center"/>
    </xf>
    <xf numFmtId="0" fontId="45" fillId="0" borderId="0" applyNumberFormat="0" applyFill="0" applyProtection="0">
      <alignment horizontal="center"/>
    </xf>
    <xf numFmtId="0" fontId="181" fillId="0" borderId="48" applyNumberFormat="0" applyFill="0" applyProtection="0">
      <alignment horizontal="center"/>
    </xf>
    <xf numFmtId="0" fontId="45" fillId="0" borderId="0" applyNumberFormat="0" applyFill="0" applyProtection="0">
      <alignment horizontal="center"/>
    </xf>
    <xf numFmtId="0" fontId="181" fillId="0" borderId="48" applyNumberFormat="0" applyFill="0" applyProtection="0">
      <alignment horizontal="center"/>
    </xf>
    <xf numFmtId="0" fontId="45" fillId="0" borderId="0" applyNumberFormat="0" applyFill="0" applyProtection="0">
      <alignment horizontal="center"/>
    </xf>
    <xf numFmtId="0" fontId="183" fillId="0" borderId="49" applyNumberFormat="0" applyFill="0" applyProtection="0">
      <alignment horizontal="center"/>
    </xf>
    <xf numFmtId="0" fontId="45" fillId="0" borderId="0" applyNumberFormat="0" applyFill="0" applyProtection="0">
      <alignment horizontal="center"/>
    </xf>
    <xf numFmtId="0" fontId="181" fillId="0" borderId="48" applyNumberFormat="0" applyFill="0" applyProtection="0">
      <alignment horizontal="center"/>
    </xf>
    <xf numFmtId="0" fontId="45" fillId="0" borderId="50" applyNumberFormat="0" applyFont="0" applyFill="0" applyAlignment="0" applyProtection="0"/>
    <xf numFmtId="0" fontId="181" fillId="0" borderId="0" applyNumberFormat="0" applyFill="0" applyBorder="0" applyProtection="0">
      <alignment horizontal="left"/>
    </xf>
    <xf numFmtId="0" fontId="45" fillId="0" borderId="0" applyNumberFormat="0" applyFill="0" applyBorder="0" applyProtection="0">
      <alignment horizontal="left"/>
    </xf>
    <xf numFmtId="0" fontId="181" fillId="0" borderId="0" applyNumberFormat="0" applyFill="0" applyBorder="0" applyProtection="0">
      <alignment horizontal="left"/>
    </xf>
    <xf numFmtId="0" fontId="45" fillId="0" borderId="0" applyNumberFormat="0" applyFill="0" applyBorder="0" applyProtection="0">
      <alignment horizontal="left"/>
    </xf>
    <xf numFmtId="0" fontId="181" fillId="0" borderId="0" applyNumberFormat="0" applyFill="0" applyBorder="0" applyProtection="0">
      <alignment horizontal="left"/>
    </xf>
    <xf numFmtId="0" fontId="45" fillId="0" borderId="0" applyNumberFormat="0" applyFill="0" applyBorder="0" applyProtection="0">
      <alignment horizontal="left"/>
    </xf>
    <xf numFmtId="0" fontId="181" fillId="0" borderId="0" applyNumberFormat="0" applyFill="0" applyBorder="0" applyProtection="0">
      <alignment horizontal="left"/>
    </xf>
    <xf numFmtId="0" fontId="184"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Protection="0">
      <alignment horizontal="centerContinuous"/>
    </xf>
    <xf numFmtId="0" fontId="184" fillId="0" borderId="0" applyNumberFormat="0" applyFill="0" applyProtection="0">
      <alignment horizontal="centerContinuous"/>
    </xf>
    <xf numFmtId="0" fontId="184" fillId="0" borderId="0" applyNumberFormat="0" applyFill="0" applyBorder="0" applyProtection="0">
      <alignment horizontal="centerContinuous"/>
    </xf>
    <xf numFmtId="0" fontId="185"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84"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84"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5"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74" fillId="0" borderId="0" applyNumberFormat="0" applyFill="0" applyBorder="0" applyAlignment="0" applyProtection="0"/>
    <xf numFmtId="0" fontId="75" fillId="0" borderId="0" applyNumberFormat="0" applyFill="0" applyBorder="0" applyAlignment="0" applyProtection="0"/>
    <xf numFmtId="0" fontId="45" fillId="0" borderId="0"/>
    <xf numFmtId="0" fontId="45" fillId="0" borderId="0"/>
    <xf numFmtId="0" fontId="45" fillId="0" borderId="0"/>
    <xf numFmtId="0" fontId="45" fillId="0" borderId="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242" fontId="45" fillId="0" borderId="0">
      <alignment horizontal="left" wrapText="1"/>
    </xf>
    <xf numFmtId="242" fontId="45" fillId="0" borderId="0">
      <alignment horizontal="left" wrapText="1"/>
    </xf>
    <xf numFmtId="0" fontId="45" fillId="0" borderId="0"/>
    <xf numFmtId="0" fontId="187" fillId="0" borderId="0"/>
    <xf numFmtId="0" fontId="187" fillId="0" borderId="0"/>
    <xf numFmtId="0" fontId="148" fillId="0" borderId="0"/>
    <xf numFmtId="0" fontId="148" fillId="0" borderId="0"/>
    <xf numFmtId="0" fontId="188" fillId="0" borderId="0">
      <alignment horizontal="right"/>
    </xf>
    <xf numFmtId="0" fontId="188" fillId="0" borderId="0">
      <alignment horizontal="right"/>
    </xf>
    <xf numFmtId="243" fontId="75" fillId="0" borderId="0" applyFont="0" applyFill="0" applyBorder="0" applyAlignment="0" applyProtection="0"/>
    <xf numFmtId="243" fontId="75" fillId="0" borderId="0" applyFont="0" applyFill="0" applyBorder="0" applyAlignment="0" applyProtection="0"/>
    <xf numFmtId="244" fontId="45" fillId="0" borderId="0"/>
    <xf numFmtId="245" fontId="45" fillId="0" borderId="0"/>
    <xf numFmtId="246" fontId="189" fillId="0" borderId="0" applyFont="0" applyFill="0" applyBorder="0" applyAlignment="0" applyProtection="0"/>
    <xf numFmtId="246" fontId="45" fillId="0" borderId="0" applyFont="0" applyFill="0" applyBorder="0" applyAlignment="0" applyProtection="0"/>
    <xf numFmtId="247" fontId="189" fillId="0" borderId="0" applyFont="0" applyFill="0" applyBorder="0" applyAlignment="0" applyProtection="0"/>
    <xf numFmtId="247" fontId="45" fillId="0" borderId="0" applyFont="0" applyFill="0" applyBorder="0" applyAlignment="0" applyProtection="0"/>
    <xf numFmtId="248" fontId="189" fillId="0" borderId="0" applyFont="0" applyFill="0" applyBorder="0" applyAlignment="0" applyProtection="0"/>
    <xf numFmtId="248" fontId="45" fillId="0" borderId="0" applyFont="0" applyFill="0" applyBorder="0" applyAlignment="0" applyProtection="0"/>
    <xf numFmtId="249" fontId="189" fillId="0" borderId="0" applyFont="0" applyFill="0" applyBorder="0" applyAlignment="0" applyProtection="0"/>
    <xf numFmtId="249" fontId="45" fillId="0" borderId="0" applyFont="0" applyFill="0" applyBorder="0" applyAlignment="0" applyProtection="0"/>
    <xf numFmtId="250" fontId="189" fillId="0" borderId="0" applyFont="0" applyFill="0" applyBorder="0" applyAlignment="0" applyProtection="0"/>
    <xf numFmtId="250" fontId="45" fillId="0" borderId="0" applyFont="0" applyFill="0" applyBorder="0" applyAlignment="0" applyProtection="0"/>
    <xf numFmtId="251" fontId="190" fillId="0" borderId="0" applyFont="0" applyFill="0" applyBorder="0" applyAlignment="0" applyProtection="0"/>
    <xf numFmtId="251" fontId="45" fillId="0" borderId="0" applyFont="0" applyFill="0" applyBorder="0" applyAlignment="0" applyProtection="0"/>
    <xf numFmtId="0" fontId="45" fillId="0" borderId="0"/>
    <xf numFmtId="41" fontId="45" fillId="0" borderId="0" applyFont="0" applyFill="0" applyBorder="0" applyAlignment="0" applyProtection="0"/>
    <xf numFmtId="43" fontId="45" fillId="0" borderId="0" applyFont="0" applyFill="0" applyBorder="0" applyAlignment="0" applyProtection="0"/>
    <xf numFmtId="252" fontId="75" fillId="0" borderId="0" applyFont="0" applyFill="0" applyBorder="0" applyAlignment="0" applyProtection="0"/>
    <xf numFmtId="252" fontId="75" fillId="0" borderId="0" applyFont="0" applyFill="0" applyBorder="0" applyAlignment="0" applyProtection="0"/>
    <xf numFmtId="0" fontId="151" fillId="0" borderId="0">
      <alignment vertical="top"/>
    </xf>
    <xf numFmtId="0" fontId="45" fillId="0" borderId="0"/>
    <xf numFmtId="253" fontId="45" fillId="0" borderId="0"/>
    <xf numFmtId="254" fontId="45" fillId="0" borderId="0"/>
    <xf numFmtId="0" fontId="73" fillId="0" borderId="0"/>
    <xf numFmtId="0" fontId="191" fillId="0" borderId="0"/>
    <xf numFmtId="0" fontId="73" fillId="0" borderId="0"/>
    <xf numFmtId="0" fontId="192" fillId="0" borderId="0" applyNumberFormat="0" applyFill="0" applyBorder="0" applyAlignment="0" applyProtection="0">
      <alignment vertical="top"/>
      <protection locked="0"/>
    </xf>
    <xf numFmtId="43" fontId="43" fillId="0" borderId="0" applyFont="0" applyFill="0" applyBorder="0" applyAlignment="0" applyProtection="0"/>
    <xf numFmtId="0" fontId="73" fillId="0" borderId="0"/>
    <xf numFmtId="255" fontId="162" fillId="0" borderId="0"/>
    <xf numFmtId="1" fontId="45" fillId="0" borderId="0"/>
    <xf numFmtId="9" fontId="45" fillId="0" borderId="0"/>
    <xf numFmtId="256" fontId="193" fillId="0" borderId="0">
      <alignment horizontal="center"/>
    </xf>
    <xf numFmtId="257" fontId="193" fillId="0" borderId="0">
      <alignment horizontal="center"/>
    </xf>
    <xf numFmtId="258" fontId="193" fillId="0" borderId="0">
      <alignment horizontal="center"/>
    </xf>
    <xf numFmtId="259" fontId="75" fillId="0" borderId="0">
      <alignment horizontal="center"/>
    </xf>
    <xf numFmtId="177" fontId="193" fillId="0" borderId="0">
      <alignment horizontal="center"/>
    </xf>
    <xf numFmtId="174" fontId="193" fillId="0" borderId="0">
      <alignment horizontal="center"/>
    </xf>
    <xf numFmtId="188" fontId="162" fillId="0" borderId="0"/>
    <xf numFmtId="188" fontId="135" fillId="0" borderId="0">
      <alignment horizontal="right"/>
    </xf>
    <xf numFmtId="165" fontId="135" fillId="0" borderId="0"/>
    <xf numFmtId="260" fontId="194" fillId="0" borderId="0">
      <alignment horizontal="left"/>
      <protection locked="0"/>
    </xf>
    <xf numFmtId="165" fontId="162" fillId="0" borderId="0"/>
    <xf numFmtId="261" fontId="43" fillId="0" borderId="0"/>
    <xf numFmtId="2" fontId="162" fillId="0" borderId="0"/>
    <xf numFmtId="10" fontId="162" fillId="0" borderId="0"/>
    <xf numFmtId="2" fontId="162" fillId="0" borderId="0"/>
    <xf numFmtId="1" fontId="195" fillId="0" borderId="0"/>
    <xf numFmtId="1" fontId="45" fillId="0" borderId="0"/>
    <xf numFmtId="255" fontId="162" fillId="0" borderId="0"/>
    <xf numFmtId="255"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262" fontId="193" fillId="0" borderId="0">
      <alignment horizontal="center"/>
    </xf>
    <xf numFmtId="263" fontId="193" fillId="0" borderId="0">
      <alignment horizontal="center"/>
    </xf>
    <xf numFmtId="256" fontId="193" fillId="0" borderId="0">
      <alignment horizontal="center"/>
    </xf>
    <xf numFmtId="264" fontId="75" fillId="0" borderId="0">
      <alignment horizontal="center"/>
    </xf>
    <xf numFmtId="265" fontId="196" fillId="0" borderId="0">
      <alignment horizontal="left"/>
    </xf>
    <xf numFmtId="266" fontId="197" fillId="0" borderId="0">
      <alignment horizontal="left"/>
    </xf>
    <xf numFmtId="173" fontId="45" fillId="0" borderId="0"/>
    <xf numFmtId="2" fontId="198" fillId="0" borderId="0" applyNumberFormat="0" applyFill="0" applyBorder="0" applyAlignment="0" applyProtection="0"/>
    <xf numFmtId="2" fontId="199" fillId="0" borderId="0" applyNumberFormat="0" applyFill="0" applyBorder="0" applyAlignment="0" applyProtection="0"/>
    <xf numFmtId="267" fontId="45" fillId="0" borderId="0" applyFont="0" applyFill="0" applyBorder="0" applyAlignment="0" applyProtection="0"/>
    <xf numFmtId="0" fontId="143" fillId="0" borderId="0"/>
    <xf numFmtId="188" fontId="128" fillId="0" borderId="0"/>
    <xf numFmtId="188" fontId="128" fillId="0" borderId="0"/>
    <xf numFmtId="188" fontId="45" fillId="0" borderId="0"/>
    <xf numFmtId="188" fontId="128" fillId="0" borderId="0"/>
    <xf numFmtId="188" fontId="128" fillId="0" borderId="0"/>
    <xf numFmtId="188" fontId="128" fillId="0" borderId="0"/>
    <xf numFmtId="9" fontId="169" fillId="0" borderId="0" applyFont="0" applyFill="0" applyBorder="0" applyAlignment="0" applyProtection="0"/>
    <xf numFmtId="268" fontId="45" fillId="0" borderId="0" applyFont="0" applyFill="0" applyBorder="0" applyAlignment="0" applyProtection="0"/>
    <xf numFmtId="199" fontId="45" fillId="0" borderId="0" applyFont="0" applyFill="0" applyBorder="0" applyAlignment="0" applyProtection="0"/>
    <xf numFmtId="0" fontId="162" fillId="78" borderId="0"/>
    <xf numFmtId="269" fontId="135" fillId="0" borderId="0"/>
    <xf numFmtId="0" fontId="200" fillId="0" borderId="51" applyNumberFormat="0" applyFont="0" applyFill="0" applyAlignment="0" applyProtection="0">
      <alignment horizontal="left"/>
      <protection locked="0"/>
    </xf>
    <xf numFmtId="270" fontId="201" fillId="0" borderId="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146" fillId="55" borderId="0" applyNumberFormat="0" applyBorder="0" applyAlignment="0" applyProtection="0"/>
    <xf numFmtId="0" fontId="146" fillId="56" borderId="0" applyNumberFormat="0" applyBorder="0" applyAlignment="0" applyProtection="0"/>
    <xf numFmtId="0" fontId="146" fillId="57" borderId="0" applyNumberFormat="0" applyBorder="0" applyAlignment="0" applyProtection="0"/>
    <xf numFmtId="0" fontId="146" fillId="58" borderId="0" applyNumberFormat="0" applyBorder="0" applyAlignment="0" applyProtection="0"/>
    <xf numFmtId="0" fontId="146" fillId="59" borderId="0" applyNumberFormat="0" applyBorder="0" applyAlignment="0" applyProtection="0"/>
    <xf numFmtId="0" fontId="146" fillId="60" borderId="0" applyNumberFormat="0" applyBorder="0" applyAlignment="0" applyProtection="0"/>
    <xf numFmtId="0" fontId="202" fillId="79" borderId="0" applyNumberFormat="0" applyBorder="0" applyAlignment="0" applyProtection="0"/>
    <xf numFmtId="0" fontId="202" fillId="60" borderId="0" applyNumberFormat="0" applyBorder="0" applyAlignment="0" applyProtection="0"/>
    <xf numFmtId="0" fontId="202" fillId="80" borderId="0" applyNumberFormat="0" applyBorder="0" applyAlignment="0" applyProtection="0"/>
    <xf numFmtId="0" fontId="202" fillId="79" borderId="0" applyNumberFormat="0" applyBorder="0" applyAlignment="0" applyProtection="0"/>
    <xf numFmtId="0" fontId="202" fillId="59" borderId="0" applyNumberFormat="0" applyBorder="0" applyAlignment="0" applyProtection="0"/>
    <xf numFmtId="0" fontId="202" fillId="60" borderId="0" applyNumberFormat="0" applyBorder="0" applyAlignment="0" applyProtection="0"/>
    <xf numFmtId="0" fontId="203" fillId="55" borderId="0" applyNumberFormat="0" applyBorder="0" applyAlignment="0" applyProtection="0"/>
    <xf numFmtId="0" fontId="45" fillId="0" borderId="0" applyNumberFormat="0" applyBorder="0" applyAlignment="0" applyProtection="0"/>
    <xf numFmtId="0" fontId="203" fillId="56" borderId="0" applyNumberFormat="0" applyBorder="0" applyAlignment="0" applyProtection="0"/>
    <xf numFmtId="0" fontId="45" fillId="0" borderId="0" applyNumberFormat="0" applyBorder="0" applyAlignment="0" applyProtection="0"/>
    <xf numFmtId="0" fontId="203" fillId="57" borderId="0" applyNumberFormat="0" applyBorder="0" applyAlignment="0" applyProtection="0"/>
    <xf numFmtId="0" fontId="45" fillId="0" borderId="0" applyNumberFormat="0" applyBorder="0" applyAlignment="0" applyProtection="0"/>
    <xf numFmtId="0" fontId="203" fillId="58" borderId="0" applyNumberFormat="0" applyBorder="0" applyAlignment="0" applyProtection="0"/>
    <xf numFmtId="0" fontId="45" fillId="0" borderId="0" applyNumberFormat="0" applyBorder="0" applyAlignment="0" applyProtection="0"/>
    <xf numFmtId="0" fontId="203" fillId="59" borderId="0" applyNumberFormat="0" applyBorder="0" applyAlignment="0" applyProtection="0"/>
    <xf numFmtId="0" fontId="45" fillId="0" borderId="0" applyNumberFormat="0" applyBorder="0" applyAlignment="0" applyProtection="0"/>
    <xf numFmtId="0" fontId="203" fillId="60" borderId="0" applyNumberFormat="0" applyBorder="0" applyAlignment="0" applyProtection="0"/>
    <xf numFmtId="0" fontId="45" fillId="0" borderId="0" applyNumberFormat="0" applyBorder="0" applyAlignment="0" applyProtection="0"/>
    <xf numFmtId="271" fontId="128" fillId="0" borderId="0"/>
    <xf numFmtId="271" fontId="128" fillId="0" borderId="0"/>
    <xf numFmtId="271" fontId="45" fillId="0" borderId="0"/>
    <xf numFmtId="271" fontId="128" fillId="0" borderId="0"/>
    <xf numFmtId="271" fontId="128" fillId="0" borderId="0"/>
    <xf numFmtId="271" fontId="128" fillId="0" borderId="0"/>
    <xf numFmtId="40" fontId="128" fillId="0" borderId="0"/>
    <xf numFmtId="40" fontId="128" fillId="0" borderId="0"/>
    <xf numFmtId="40" fontId="45" fillId="0" borderId="0"/>
    <xf numFmtId="40" fontId="128" fillId="0" borderId="0"/>
    <xf numFmtId="40" fontId="128" fillId="0" borderId="0"/>
    <xf numFmtId="40" fontId="128" fillId="0" borderId="0"/>
    <xf numFmtId="272" fontId="135" fillId="0" borderId="0" applyBorder="0"/>
    <xf numFmtId="42" fontId="45" fillId="0" borderId="0" applyFont="0" applyFill="0" applyBorder="0" applyAlignment="0" applyProtection="0"/>
    <xf numFmtId="44" fontId="45" fillId="0" borderId="0" applyFont="0" applyFill="0" applyBorder="0" applyAlignment="0" applyProtection="0"/>
    <xf numFmtId="0" fontId="75" fillId="0" borderId="0" applyBorder="0">
      <alignment horizontal="right"/>
    </xf>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45" fillId="0" borderId="0"/>
    <xf numFmtId="0" fontId="45" fillId="0" borderId="0"/>
    <xf numFmtId="0" fontId="3" fillId="16" borderId="0" applyNumberFormat="0" applyBorder="0" applyAlignment="0" applyProtection="0"/>
    <xf numFmtId="0" fontId="3" fillId="16" borderId="0" applyNumberFormat="0" applyBorder="0" applyAlignment="0" applyProtection="0"/>
    <xf numFmtId="0" fontId="45" fillId="0" borderId="0"/>
    <xf numFmtId="0" fontId="45" fillId="0" borderId="0"/>
    <xf numFmtId="0" fontId="3" fillId="16"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03" fillId="61" borderId="0" applyNumberFormat="0" applyBorder="0" applyAlignment="0" applyProtection="0"/>
    <xf numFmtId="0" fontId="45" fillId="0" borderId="0" applyNumberFormat="0" applyBorder="0" applyAlignment="0" applyProtection="0"/>
    <xf numFmtId="0" fontId="203" fillId="62" borderId="0" applyNumberFormat="0" applyBorder="0" applyAlignment="0" applyProtection="0"/>
    <xf numFmtId="0" fontId="45" fillId="0" borderId="0" applyNumberFormat="0" applyBorder="0" applyAlignment="0" applyProtection="0"/>
    <xf numFmtId="0" fontId="203" fillId="63" borderId="0" applyNumberFormat="0" applyBorder="0" applyAlignment="0" applyProtection="0"/>
    <xf numFmtId="0" fontId="45" fillId="0" borderId="0" applyNumberFormat="0" applyBorder="0" applyAlignment="0" applyProtection="0"/>
    <xf numFmtId="0" fontId="203" fillId="58" borderId="0" applyNumberFormat="0" applyBorder="0" applyAlignment="0" applyProtection="0"/>
    <xf numFmtId="0" fontId="45" fillId="0" borderId="0" applyNumberFormat="0" applyBorder="0" applyAlignment="0" applyProtection="0"/>
    <xf numFmtId="0" fontId="203" fillId="61" borderId="0" applyNumberFormat="0" applyBorder="0" applyAlignment="0" applyProtection="0"/>
    <xf numFmtId="0" fontId="45" fillId="0" borderId="0" applyNumberFormat="0" applyBorder="0" applyAlignment="0" applyProtection="0"/>
    <xf numFmtId="0" fontId="203" fillId="64" borderId="0" applyNumberFormat="0" applyBorder="0" applyAlignment="0" applyProtection="0"/>
    <xf numFmtId="0" fontId="45" fillId="0" borderId="0" applyNumberFormat="0" applyBorder="0" applyAlignment="0" applyProtection="0"/>
    <xf numFmtId="0" fontId="45" fillId="0" borderId="0"/>
    <xf numFmtId="0" fontId="45" fillId="0" borderId="0"/>
    <xf numFmtId="0" fontId="45" fillId="0" borderId="0"/>
    <xf numFmtId="0" fontId="45" fillId="0" borderId="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45" fillId="0" borderId="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273"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273"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45" fillId="0" borderId="0"/>
    <xf numFmtId="273"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273" fontId="147" fillId="65" borderId="0" applyNumberFormat="0" applyBorder="0" applyAlignment="0" applyProtection="0"/>
    <xf numFmtId="0" fontId="147" fillId="65" borderId="0" applyNumberFormat="0" applyBorder="0" applyAlignment="0" applyProtection="0"/>
    <xf numFmtId="0" fontId="45" fillId="0" borderId="0"/>
    <xf numFmtId="273" fontId="147" fillId="65"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273" fontId="147" fillId="65" borderId="0" applyNumberFormat="0" applyBorder="0" applyAlignment="0" applyProtection="0"/>
    <xf numFmtId="0" fontId="19" fillId="13" borderId="0" applyNumberFormat="0" applyBorder="0" applyAlignment="0" applyProtection="0"/>
    <xf numFmtId="0" fontId="45" fillId="0" borderId="0"/>
    <xf numFmtId="273" fontId="147" fillId="65"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273" fontId="147" fillId="65" borderId="0" applyNumberFormat="0" applyBorder="0" applyAlignment="0" applyProtection="0"/>
    <xf numFmtId="0" fontId="19" fillId="13" borderId="0" applyNumberFormat="0" applyBorder="0" applyAlignment="0" applyProtection="0"/>
    <xf numFmtId="0" fontId="45" fillId="0" borderId="0"/>
    <xf numFmtId="0" fontId="147" fillId="65" borderId="0" applyNumberFormat="0" applyBorder="0" applyAlignment="0" applyProtection="0"/>
    <xf numFmtId="0" fontId="147" fillId="65"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45" fillId="0" borderId="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273"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273"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45" fillId="0" borderId="0"/>
    <xf numFmtId="273"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273" fontId="147" fillId="62" borderId="0" applyNumberFormat="0" applyBorder="0" applyAlignment="0" applyProtection="0"/>
    <xf numFmtId="0" fontId="147" fillId="62" borderId="0" applyNumberFormat="0" applyBorder="0" applyAlignment="0" applyProtection="0"/>
    <xf numFmtId="0" fontId="45" fillId="0" borderId="0"/>
    <xf numFmtId="273" fontId="147" fillId="62"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273" fontId="147" fillId="62" borderId="0" applyNumberFormat="0" applyBorder="0" applyAlignment="0" applyProtection="0"/>
    <xf numFmtId="0" fontId="19" fillId="17" borderId="0" applyNumberFormat="0" applyBorder="0" applyAlignment="0" applyProtection="0"/>
    <xf numFmtId="0" fontId="45" fillId="0" borderId="0"/>
    <xf numFmtId="273" fontId="147" fillId="62"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273" fontId="147" fillId="62" borderId="0" applyNumberFormat="0" applyBorder="0" applyAlignment="0" applyProtection="0"/>
    <xf numFmtId="0" fontId="19" fillId="17" borderId="0" applyNumberFormat="0" applyBorder="0" applyAlignment="0" applyProtection="0"/>
    <xf numFmtId="0" fontId="45" fillId="0" borderId="0"/>
    <xf numFmtId="0" fontId="147" fillId="62" borderId="0" applyNumberFormat="0" applyBorder="0" applyAlignment="0" applyProtection="0"/>
    <xf numFmtId="0" fontId="147" fillId="62"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45" fillId="0" borderId="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273"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273"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45" fillId="0" borderId="0"/>
    <xf numFmtId="273"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273" fontId="147" fillId="63" borderId="0" applyNumberFormat="0" applyBorder="0" applyAlignment="0" applyProtection="0"/>
    <xf numFmtId="0" fontId="147" fillId="63" borderId="0" applyNumberFormat="0" applyBorder="0" applyAlignment="0" applyProtection="0"/>
    <xf numFmtId="0" fontId="45" fillId="0" borderId="0"/>
    <xf numFmtId="273" fontId="147" fillId="63"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273" fontId="147" fillId="63" borderId="0" applyNumberFormat="0" applyBorder="0" applyAlignment="0" applyProtection="0"/>
    <xf numFmtId="0" fontId="19" fillId="21" borderId="0" applyNumberFormat="0" applyBorder="0" applyAlignment="0" applyProtection="0"/>
    <xf numFmtId="0" fontId="45" fillId="0" borderId="0"/>
    <xf numFmtId="273" fontId="147" fillId="63"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273" fontId="147" fillId="63" borderId="0" applyNumberFormat="0" applyBorder="0" applyAlignment="0" applyProtection="0"/>
    <xf numFmtId="0" fontId="19" fillId="21" borderId="0" applyNumberFormat="0" applyBorder="0" applyAlignment="0" applyProtection="0"/>
    <xf numFmtId="0" fontId="45" fillId="0" borderId="0"/>
    <xf numFmtId="0" fontId="147" fillId="63" borderId="0" applyNumberFormat="0" applyBorder="0" applyAlignment="0" applyProtection="0"/>
    <xf numFmtId="0" fontId="147" fillId="63"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273" fontId="147" fillId="66" borderId="0" applyNumberFormat="0" applyBorder="0" applyAlignment="0" applyProtection="0"/>
    <xf numFmtId="0" fontId="19" fillId="25" borderId="0" applyNumberFormat="0" applyBorder="0" applyAlignment="0" applyProtection="0"/>
    <xf numFmtId="0" fontId="45" fillId="0" borderId="0"/>
    <xf numFmtId="273" fontId="147" fillId="66"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273" fontId="147" fillId="66" borderId="0" applyNumberFormat="0" applyBorder="0" applyAlignment="0" applyProtection="0"/>
    <xf numFmtId="0" fontId="19" fillId="25"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45" fillId="0" borderId="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273" fontId="147" fillId="67" borderId="0" applyNumberFormat="0" applyBorder="0" applyAlignment="0" applyProtection="0"/>
    <xf numFmtId="0" fontId="19" fillId="29" borderId="0" applyNumberFormat="0" applyBorder="0" applyAlignment="0" applyProtection="0"/>
    <xf numFmtId="0" fontId="45" fillId="0" borderId="0"/>
    <xf numFmtId="273" fontId="147" fillId="67"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273" fontId="147" fillId="67" borderId="0" applyNumberFormat="0" applyBorder="0" applyAlignment="0" applyProtection="0"/>
    <xf numFmtId="0" fontId="19" fillId="29" borderId="0" applyNumberFormat="0" applyBorder="0" applyAlignment="0" applyProtection="0"/>
    <xf numFmtId="0" fontId="45" fillId="0" borderId="0"/>
    <xf numFmtId="0" fontId="147" fillId="67" borderId="0" applyNumberFormat="0" applyBorder="0" applyAlignment="0" applyProtection="0"/>
    <xf numFmtId="0" fontId="147" fillId="67"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45" fillId="0" borderId="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45" fillId="0" borderId="0"/>
    <xf numFmtId="273"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273" fontId="147" fillId="68" borderId="0" applyNumberFormat="0" applyBorder="0" applyAlignment="0" applyProtection="0"/>
    <xf numFmtId="0" fontId="147" fillId="68" borderId="0" applyNumberFormat="0" applyBorder="0" applyAlignment="0" applyProtection="0"/>
    <xf numFmtId="0" fontId="45" fillId="0" borderId="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45" fillId="0" borderId="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45" fillId="0" borderId="0"/>
    <xf numFmtId="0" fontId="147" fillId="68" borderId="0" applyNumberFormat="0" applyBorder="0" applyAlignment="0" applyProtection="0"/>
    <xf numFmtId="0" fontId="147" fillId="68"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04" fillId="65" borderId="0" applyNumberFormat="0" applyBorder="0" applyAlignment="0" applyProtection="0"/>
    <xf numFmtId="0" fontId="45" fillId="0" borderId="0" applyNumberFormat="0" applyBorder="0" applyAlignment="0" applyProtection="0"/>
    <xf numFmtId="0" fontId="204" fillId="62" borderId="0" applyNumberFormat="0" applyBorder="0" applyAlignment="0" applyProtection="0"/>
    <xf numFmtId="0" fontId="45" fillId="0" borderId="0" applyNumberFormat="0" applyBorder="0" applyAlignment="0" applyProtection="0"/>
    <xf numFmtId="0" fontId="204" fillId="63" borderId="0" applyNumberFormat="0" applyBorder="0" applyAlignment="0" applyProtection="0"/>
    <xf numFmtId="0" fontId="45" fillId="0" borderId="0" applyNumberFormat="0" applyBorder="0" applyAlignment="0" applyProtection="0"/>
    <xf numFmtId="0" fontId="204" fillId="66" borderId="0" applyNumberFormat="0" applyBorder="0" applyAlignment="0" applyProtection="0"/>
    <xf numFmtId="0" fontId="45" fillId="0" borderId="0" applyNumberFormat="0" applyBorder="0" applyAlignment="0" applyProtection="0"/>
    <xf numFmtId="0" fontId="204" fillId="67" borderId="0" applyNumberFormat="0" applyBorder="0" applyAlignment="0" applyProtection="0"/>
    <xf numFmtId="0" fontId="45" fillId="0" borderId="0" applyNumberFormat="0" applyBorder="0" applyAlignment="0" applyProtection="0"/>
    <xf numFmtId="0" fontId="204" fillId="68" borderId="0" applyNumberFormat="0" applyBorder="0" applyAlignment="0" applyProtection="0"/>
    <xf numFmtId="0" fontId="45" fillId="0" borderId="0" applyNumberFormat="0" applyBorder="0" applyAlignment="0" applyProtection="0"/>
    <xf numFmtId="0" fontId="45" fillId="0" borderId="0"/>
    <xf numFmtId="0" fontId="45" fillId="0" borderId="0"/>
    <xf numFmtId="6" fontId="200" fillId="0" borderId="52" applyNumberFormat="0" applyFont="0" applyFill="0" applyAlignment="0" applyProtection="0">
      <alignment horizontal="left"/>
      <protection locked="0"/>
    </xf>
    <xf numFmtId="0" fontId="205" fillId="0" borderId="53" applyNumberFormat="0" applyFont="0" applyBorder="0" applyAlignment="0" applyProtection="0">
      <alignment horizontal="right"/>
    </xf>
    <xf numFmtId="0" fontId="45" fillId="0" borderId="0"/>
    <xf numFmtId="0" fontId="45" fillId="0" borderId="0"/>
    <xf numFmtId="0" fontId="45" fillId="0" borderId="0"/>
    <xf numFmtId="0" fontId="45" fillId="0" borderId="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45" fillId="0" borderId="0"/>
    <xf numFmtId="273"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273" fontId="147" fillId="81" borderId="0" applyNumberFormat="0" applyBorder="0" applyAlignment="0" applyProtection="0"/>
    <xf numFmtId="0" fontId="147" fillId="81" borderId="0" applyNumberFormat="0" applyBorder="0" applyAlignment="0" applyProtection="0"/>
    <xf numFmtId="0" fontId="45" fillId="0" borderId="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45" fillId="0" borderId="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45" fillId="0" borderId="0"/>
    <xf numFmtId="0" fontId="147" fillId="81" borderId="0" applyNumberFormat="0" applyBorder="0" applyAlignment="0" applyProtection="0"/>
    <xf numFmtId="0" fontId="147" fillId="81"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45" fillId="0" borderId="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273"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273"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45" fillId="0" borderId="0"/>
    <xf numFmtId="273"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273" fontId="147" fillId="82" borderId="0" applyNumberFormat="0" applyBorder="0" applyAlignment="0" applyProtection="0"/>
    <xf numFmtId="0" fontId="147" fillId="82" borderId="0" applyNumberFormat="0" applyBorder="0" applyAlignment="0" applyProtection="0"/>
    <xf numFmtId="0" fontId="45" fillId="0" borderId="0"/>
    <xf numFmtId="273" fontId="147" fillId="82"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273" fontId="147" fillId="82" borderId="0" applyNumberFormat="0" applyBorder="0" applyAlignment="0" applyProtection="0"/>
    <xf numFmtId="0" fontId="19" fillId="14" borderId="0" applyNumberFormat="0" applyBorder="0" applyAlignment="0" applyProtection="0"/>
    <xf numFmtId="0" fontId="45" fillId="0" borderId="0"/>
    <xf numFmtId="273" fontId="147" fillId="82"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273" fontId="147" fillId="82" borderId="0" applyNumberFormat="0" applyBorder="0" applyAlignment="0" applyProtection="0"/>
    <xf numFmtId="0" fontId="19" fillId="14" borderId="0" applyNumberFormat="0" applyBorder="0" applyAlignment="0" applyProtection="0"/>
    <xf numFmtId="0" fontId="45" fillId="0" borderId="0"/>
    <xf numFmtId="0" fontId="147" fillId="82" borderId="0" applyNumberFormat="0" applyBorder="0" applyAlignment="0" applyProtection="0"/>
    <xf numFmtId="0" fontId="147" fillId="82"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45" fillId="0" borderId="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273"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273"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45" fillId="0" borderId="0"/>
    <xf numFmtId="273"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273" fontId="147" fillId="83" borderId="0" applyNumberFormat="0" applyBorder="0" applyAlignment="0" applyProtection="0"/>
    <xf numFmtId="0" fontId="147" fillId="83" borderId="0" applyNumberFormat="0" applyBorder="0" applyAlignment="0" applyProtection="0"/>
    <xf numFmtId="0" fontId="45" fillId="0" borderId="0"/>
    <xf numFmtId="273" fontId="147" fillId="83"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273" fontId="147" fillId="83" borderId="0" applyNumberFormat="0" applyBorder="0" applyAlignment="0" applyProtection="0"/>
    <xf numFmtId="0" fontId="19" fillId="18" borderId="0" applyNumberFormat="0" applyBorder="0" applyAlignment="0" applyProtection="0"/>
    <xf numFmtId="0" fontId="45" fillId="0" borderId="0"/>
    <xf numFmtId="273" fontId="147" fillId="83"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273" fontId="147" fillId="83" borderId="0" applyNumberFormat="0" applyBorder="0" applyAlignment="0" applyProtection="0"/>
    <xf numFmtId="0" fontId="19" fillId="18" borderId="0" applyNumberFormat="0" applyBorder="0" applyAlignment="0" applyProtection="0"/>
    <xf numFmtId="0" fontId="45" fillId="0" borderId="0"/>
    <xf numFmtId="0" fontId="147" fillId="83" borderId="0" applyNumberFormat="0" applyBorder="0" applyAlignment="0" applyProtection="0"/>
    <xf numFmtId="0" fontId="147" fillId="83"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273" fontId="147" fillId="66" borderId="0" applyNumberFormat="0" applyBorder="0" applyAlignment="0" applyProtection="0"/>
    <xf numFmtId="0" fontId="19" fillId="22" borderId="0" applyNumberFormat="0" applyBorder="0" applyAlignment="0" applyProtection="0"/>
    <xf numFmtId="0" fontId="45" fillId="0" borderId="0"/>
    <xf numFmtId="273" fontId="147" fillId="66"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273" fontId="147" fillId="66" borderId="0" applyNumberFormat="0" applyBorder="0" applyAlignment="0" applyProtection="0"/>
    <xf numFmtId="0" fontId="19" fillId="22"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273" fontId="147" fillId="67" borderId="0" applyNumberFormat="0" applyBorder="0" applyAlignment="0" applyProtection="0"/>
    <xf numFmtId="0" fontId="19" fillId="26" borderId="0" applyNumberFormat="0" applyBorder="0" applyAlignment="0" applyProtection="0"/>
    <xf numFmtId="0" fontId="45" fillId="0" borderId="0"/>
    <xf numFmtId="273" fontId="147" fillId="67"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273" fontId="147" fillId="67" borderId="0" applyNumberFormat="0" applyBorder="0" applyAlignment="0" applyProtection="0"/>
    <xf numFmtId="0" fontId="19" fillId="26" borderId="0" applyNumberFormat="0" applyBorder="0" applyAlignment="0" applyProtection="0"/>
    <xf numFmtId="0" fontId="45" fillId="0" borderId="0"/>
    <xf numFmtId="0" fontId="147" fillId="67" borderId="0" applyNumberFormat="0" applyBorder="0" applyAlignment="0" applyProtection="0"/>
    <xf numFmtId="0" fontId="147" fillId="67"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45" fillId="0" borderId="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273"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273"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45" fillId="0" borderId="0"/>
    <xf numFmtId="273"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273" fontId="147" fillId="84" borderId="0" applyNumberFormat="0" applyBorder="0" applyAlignment="0" applyProtection="0"/>
    <xf numFmtId="0" fontId="147" fillId="84" borderId="0" applyNumberFormat="0" applyBorder="0" applyAlignment="0" applyProtection="0"/>
    <xf numFmtId="0" fontId="45" fillId="0" borderId="0"/>
    <xf numFmtId="273" fontId="147" fillId="84"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273" fontId="147" fillId="84" borderId="0" applyNumberFormat="0" applyBorder="0" applyAlignment="0" applyProtection="0"/>
    <xf numFmtId="0" fontId="19" fillId="30" borderId="0" applyNumberFormat="0" applyBorder="0" applyAlignment="0" applyProtection="0"/>
    <xf numFmtId="0" fontId="45" fillId="0" borderId="0"/>
    <xf numFmtId="273" fontId="147" fillId="84"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273" fontId="147" fillId="84" borderId="0" applyNumberFormat="0" applyBorder="0" applyAlignment="0" applyProtection="0"/>
    <xf numFmtId="0" fontId="19" fillId="30" borderId="0" applyNumberFormat="0" applyBorder="0" applyAlignment="0" applyProtection="0"/>
    <xf numFmtId="0" fontId="45" fillId="0" borderId="0"/>
    <xf numFmtId="0" fontId="147" fillId="84" borderId="0" applyNumberFormat="0" applyBorder="0" applyAlignment="0" applyProtection="0"/>
    <xf numFmtId="0" fontId="147" fillId="84" borderId="0" applyNumberFormat="0" applyBorder="0" applyAlignment="0" applyProtection="0"/>
    <xf numFmtId="0" fontId="45" fillId="0" borderId="0"/>
    <xf numFmtId="0" fontId="45" fillId="0" borderId="0"/>
    <xf numFmtId="0" fontId="45" fillId="0" borderId="0"/>
    <xf numFmtId="164" fontId="43" fillId="0" borderId="29"/>
    <xf numFmtId="164" fontId="43" fillId="0" borderId="29"/>
    <xf numFmtId="164" fontId="45" fillId="0" borderId="0"/>
    <xf numFmtId="164" fontId="43" fillId="0" borderId="29"/>
    <xf numFmtId="164" fontId="43" fillId="0" borderId="29"/>
    <xf numFmtId="164" fontId="43" fillId="0" borderId="29"/>
    <xf numFmtId="164" fontId="43" fillId="0" borderId="29"/>
    <xf numFmtId="164" fontId="43" fillId="0" borderId="29"/>
    <xf numFmtId="164" fontId="43" fillId="0" borderId="29"/>
    <xf numFmtId="164" fontId="43" fillId="0" borderId="29"/>
    <xf numFmtId="164" fontId="43" fillId="0" borderId="29"/>
    <xf numFmtId="42" fontId="206" fillId="0" borderId="0" applyFont="0"/>
    <xf numFmtId="42" fontId="206" fillId="0" borderId="20" applyFont="0"/>
    <xf numFmtId="41" fontId="206" fillId="0" borderId="0" applyFont="0"/>
    <xf numFmtId="274" fontId="151" fillId="0" borderId="0" applyFill="0" applyProtection="0"/>
    <xf numFmtId="172" fontId="161" fillId="0" borderId="0"/>
    <xf numFmtId="275" fontId="151" fillId="0" borderId="0" applyFont="0" applyFill="0" applyBorder="0" applyProtection="0"/>
    <xf numFmtId="0" fontId="151" fillId="0" borderId="0" applyFill="0" applyProtection="0"/>
    <xf numFmtId="0" fontId="86" fillId="0" borderId="0" applyFont="0" applyFill="0" applyBorder="0" applyAlignment="0" applyProtection="0"/>
    <xf numFmtId="0" fontId="207" fillId="0" borderId="0" applyNumberFormat="0" applyFill="0" applyBorder="0" applyAlignment="0" applyProtection="0"/>
    <xf numFmtId="0" fontId="208" fillId="0" borderId="0" applyNumberFormat="0" applyFont="0" applyFill="0" applyBorder="0" applyProtection="0">
      <alignment horizontal="centerContinuous"/>
    </xf>
    <xf numFmtId="0" fontId="150" fillId="0" borderId="0" applyNumberFormat="0" applyAlignment="0"/>
    <xf numFmtId="0" fontId="150" fillId="0" borderId="0" applyNumberFormat="0" applyAlignment="0"/>
    <xf numFmtId="0" fontId="45" fillId="0" borderId="0" applyNumberFormat="0" applyAlignment="0"/>
    <xf numFmtId="0" fontId="150" fillId="0" borderId="0" applyNumberFormat="0" applyAlignment="0"/>
    <xf numFmtId="0" fontId="150" fillId="0" borderId="0" applyNumberFormat="0" applyAlignment="0"/>
    <xf numFmtId="0" fontId="150" fillId="0" borderId="0" applyNumberFormat="0" applyAlignment="0"/>
    <xf numFmtId="37" fontId="209" fillId="85" borderId="0" applyNumberFormat="0" applyFont="0" applyBorder="0" applyAlignment="0"/>
    <xf numFmtId="0" fontId="45" fillId="0" borderId="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6" fontId="43" fillId="0" borderId="24"/>
    <xf numFmtId="0" fontId="45" fillId="0" borderId="0"/>
    <xf numFmtId="277" fontId="43" fillId="0" borderId="29"/>
    <xf numFmtId="277" fontId="43" fillId="0" borderId="29"/>
    <xf numFmtId="277" fontId="45" fillId="0" borderId="0"/>
    <xf numFmtId="277" fontId="43" fillId="0" borderId="29"/>
    <xf numFmtId="277" fontId="43" fillId="0" borderId="29"/>
    <xf numFmtId="277" fontId="43" fillId="0" borderId="29"/>
    <xf numFmtId="277" fontId="43" fillId="0" borderId="29"/>
    <xf numFmtId="277" fontId="43" fillId="0" borderId="29"/>
    <xf numFmtId="277" fontId="43" fillId="0" borderId="29"/>
    <xf numFmtId="277" fontId="43" fillId="0" borderId="29"/>
    <xf numFmtId="277" fontId="43" fillId="0" borderId="29"/>
    <xf numFmtId="0" fontId="45" fillId="0" borderId="0"/>
    <xf numFmtId="0" fontId="210" fillId="0" borderId="0"/>
    <xf numFmtId="0" fontId="45" fillId="0" borderId="0"/>
    <xf numFmtId="0" fontId="210" fillId="0" borderId="0"/>
    <xf numFmtId="0" fontId="210" fillId="0" borderId="0"/>
    <xf numFmtId="277" fontId="43" fillId="0" borderId="28" applyBorder="0"/>
    <xf numFmtId="277" fontId="43" fillId="0" borderId="28" applyBorder="0"/>
    <xf numFmtId="277" fontId="45" fillId="0" borderId="0" applyBorder="0"/>
    <xf numFmtId="277" fontId="43" fillId="0" borderId="28" applyBorder="0"/>
    <xf numFmtId="277" fontId="43" fillId="0" borderId="28" applyBorder="0"/>
    <xf numFmtId="277" fontId="43" fillId="0" borderId="28" applyBorder="0"/>
    <xf numFmtId="0" fontId="148" fillId="0" borderId="0"/>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0" fontId="45" fillId="0" borderId="0"/>
    <xf numFmtId="0" fontId="45" fillId="0" borderId="0"/>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0" fontId="212" fillId="0" borderId="0" applyNumberFormat="0" applyFill="0" applyBorder="0" applyAlignment="0" applyProtection="0"/>
    <xf numFmtId="0" fontId="213" fillId="0" borderId="0"/>
    <xf numFmtId="278" fontId="45" fillId="0" borderId="0" applyFont="0" applyFill="0" applyBorder="0" applyAlignment="0" applyProtection="0"/>
    <xf numFmtId="0" fontId="45" fillId="0" borderId="0"/>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45" fillId="0" borderId="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xf numFmtId="273" fontId="138" fillId="0" borderId="0" applyNumberFormat="0" applyFill="0" applyBorder="0" applyAlignment="0" applyProtection="0"/>
    <xf numFmtId="0" fontId="138" fillId="0" borderId="0" applyNumberFormat="0" applyFill="0" applyBorder="0" applyAlignment="0" applyProtection="0"/>
    <xf numFmtId="273" fontId="138" fillId="0" borderId="0" applyNumberFormat="0" applyFill="0" applyBorder="0" applyAlignment="0" applyProtection="0"/>
    <xf numFmtId="273"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214" fillId="0" borderId="0" applyNumberFormat="0" applyAlignment="0"/>
    <xf numFmtId="0" fontId="45" fillId="0" borderId="0" applyNumberFormat="0" applyAlignment="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45" fillId="0" borderId="0"/>
    <xf numFmtId="0" fontId="45" fillId="0" borderId="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217" fillId="0" borderId="0" applyNumberFormat="0" applyProtection="0"/>
    <xf numFmtId="0" fontId="45" fillId="0" borderId="0"/>
    <xf numFmtId="0" fontId="45" fillId="0" borderId="0"/>
    <xf numFmtId="279" fontId="45" fillId="88" borderId="0" applyNumberFormat="0" applyFont="0" applyBorder="0" applyAlignment="0" applyProtection="0"/>
    <xf numFmtId="280" fontId="45" fillId="0" borderId="0" applyFont="0" applyFill="0" applyBorder="0" applyAlignment="0" applyProtection="0"/>
    <xf numFmtId="281" fontId="170" fillId="0" borderId="0" applyFont="0" applyFill="0" applyBorder="0" applyAlignment="0" applyProtection="0"/>
    <xf numFmtId="2" fontId="218" fillId="89" borderId="0" applyNumberFormat="0" applyFont="0" applyBorder="0" applyAlignment="0" applyProtection="0"/>
    <xf numFmtId="2" fontId="218" fillId="90" borderId="0" applyNumberFormat="0" applyFont="0" applyBorder="0" applyAlignment="0" applyProtection="0"/>
    <xf numFmtId="0" fontId="186" fillId="0" borderId="0" applyNumberFormat="0" applyFill="0" applyBorder="0" applyAlignment="0" applyProtection="0"/>
    <xf numFmtId="0" fontId="188" fillId="0" borderId="0">
      <alignment horizontal="right"/>
    </xf>
    <xf numFmtId="0" fontId="188" fillId="0" borderId="0">
      <alignment horizontal="right"/>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273"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273"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45" fillId="0" borderId="0"/>
    <xf numFmtId="273"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273" fontId="219" fillId="56" borderId="0" applyNumberFormat="0" applyBorder="0" applyAlignment="0" applyProtection="0"/>
    <xf numFmtId="0" fontId="219" fillId="56" borderId="0" applyNumberFormat="0" applyBorder="0" applyAlignment="0" applyProtection="0"/>
    <xf numFmtId="0" fontId="45" fillId="0" borderId="0"/>
    <xf numFmtId="273" fontId="219" fillId="56"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273" fontId="219" fillId="56" borderId="0" applyNumberFormat="0" applyBorder="0" applyAlignment="0" applyProtection="0"/>
    <xf numFmtId="0" fontId="9" fillId="4" borderId="0" applyNumberFormat="0" applyBorder="0" applyAlignment="0" applyProtection="0"/>
    <xf numFmtId="0" fontId="45" fillId="0" borderId="0"/>
    <xf numFmtId="273" fontId="219" fillId="56"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273" fontId="219" fillId="56" borderId="0" applyNumberFormat="0" applyBorder="0" applyAlignment="0" applyProtection="0"/>
    <xf numFmtId="0" fontId="9" fillId="4" borderId="0" applyNumberFormat="0" applyBorder="0" applyAlignment="0" applyProtection="0"/>
    <xf numFmtId="0" fontId="45" fillId="0" borderId="0"/>
    <xf numFmtId="0" fontId="219" fillId="56" borderId="0" applyNumberFormat="0" applyBorder="0" applyAlignment="0" applyProtection="0"/>
    <xf numFmtId="0" fontId="219" fillId="56" borderId="0" applyNumberFormat="0" applyBorder="0" applyAlignment="0" applyProtection="0"/>
    <xf numFmtId="0" fontId="45" fillId="0" borderId="0"/>
    <xf numFmtId="0" fontId="45" fillId="0" borderId="0"/>
    <xf numFmtId="0" fontId="45" fillId="0" borderId="0"/>
    <xf numFmtId="0" fontId="220" fillId="0" borderId="55" applyNumberFormat="0" applyFill="0" applyAlignment="0" applyProtection="0"/>
    <xf numFmtId="0" fontId="128" fillId="0" borderId="0" applyFont="0" applyFill="0" applyBorder="0" applyAlignment="0" applyProtection="0"/>
    <xf numFmtId="282" fontId="45" fillId="0" borderId="0"/>
    <xf numFmtId="0" fontId="221" fillId="91" borderId="0" applyNumberFormat="0">
      <alignment horizontal="left"/>
    </xf>
    <xf numFmtId="170" fontId="222" fillId="92" borderId="0" applyNumberFormat="0" applyBorder="0" applyAlignment="0" applyProtection="0">
      <alignment horizontal="center" vertical="center" wrapText="1"/>
    </xf>
    <xf numFmtId="0" fontId="223" fillId="0" borderId="0" applyFont="0" applyFill="0" applyBorder="0" applyAlignment="0" applyProtection="0"/>
    <xf numFmtId="224" fontId="223" fillId="0" borderId="0" applyFont="0" applyFill="0" applyBorder="0" applyAlignment="0" applyProtection="0"/>
    <xf numFmtId="0" fontId="45" fillId="0" borderId="0"/>
    <xf numFmtId="0" fontId="223" fillId="0" borderId="0" applyFont="0" applyFill="0" applyBorder="0" applyAlignment="0" applyProtection="0">
      <alignment horizontal="right"/>
    </xf>
    <xf numFmtId="0" fontId="224" fillId="0" borderId="56" applyNumberFormat="0" applyFill="0" applyAlignment="0" applyProtection="0"/>
    <xf numFmtId="0" fontId="225" fillId="0" borderId="57" applyNumberFormat="0" applyFill="0" applyAlignment="0" applyProtection="0"/>
    <xf numFmtId="0" fontId="226" fillId="0" borderId="58" applyNumberFormat="0" applyFill="0" applyAlignment="0" applyProtection="0"/>
    <xf numFmtId="0" fontId="226" fillId="0" borderId="0" applyNumberFormat="0" applyFill="0" applyBorder="0" applyAlignment="0" applyProtection="0"/>
    <xf numFmtId="0" fontId="227" fillId="0" borderId="0">
      <alignment horizontal="left"/>
    </xf>
    <xf numFmtId="0" fontId="228" fillId="0" borderId="0">
      <alignment horizontal="left" wrapText="1"/>
    </xf>
    <xf numFmtId="0" fontId="128" fillId="0" borderId="27" applyFont="0" applyFill="0" applyBorder="0" applyAlignment="0" applyProtection="0">
      <alignment horizontal="right"/>
    </xf>
    <xf numFmtId="0" fontId="128" fillId="0" borderId="0" applyFont="0" applyFill="0" applyBorder="0" applyAlignment="0" applyProtection="0"/>
    <xf numFmtId="0" fontId="45" fillId="0" borderId="0"/>
    <xf numFmtId="0" fontId="192" fillId="0" borderId="0" applyNumberFormat="0" applyFill="0" applyBorder="0" applyAlignment="0" applyProtection="0">
      <alignment vertical="top"/>
      <protection locked="0"/>
    </xf>
    <xf numFmtId="0" fontId="189" fillId="0" borderId="0" applyNumberFormat="0" applyFill="0" applyBorder="0" applyAlignment="0" applyProtection="0"/>
    <xf numFmtId="0" fontId="189" fillId="0" borderId="0" applyNumberFormat="0" applyFill="0" applyBorder="0" applyAlignment="0" applyProtection="0"/>
    <xf numFmtId="0" fontId="45"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283" fontId="229" fillId="0" borderId="0"/>
    <xf numFmtId="283" fontId="45" fillId="0" borderId="0"/>
    <xf numFmtId="173" fontId="128" fillId="0" borderId="0"/>
    <xf numFmtId="173" fontId="128" fillId="0" borderId="0"/>
    <xf numFmtId="173" fontId="45" fillId="0" borderId="0"/>
    <xf numFmtId="173" fontId="128" fillId="0" borderId="0"/>
    <xf numFmtId="173" fontId="128" fillId="0" borderId="0"/>
    <xf numFmtId="173" fontId="128" fillId="0" borderId="0"/>
    <xf numFmtId="166" fontId="128" fillId="0" borderId="27"/>
    <xf numFmtId="166" fontId="128" fillId="0" borderId="27"/>
    <xf numFmtId="166" fontId="45" fillId="0" borderId="0"/>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284" fontId="229" fillId="0" borderId="0"/>
    <xf numFmtId="284" fontId="45" fillId="0" borderId="0"/>
    <xf numFmtId="0" fontId="229" fillId="0" borderId="0"/>
    <xf numFmtId="0" fontId="45" fillId="0" borderId="0"/>
    <xf numFmtId="285" fontId="229" fillId="0" borderId="0"/>
    <xf numFmtId="285" fontId="45" fillId="0" borderId="0"/>
    <xf numFmtId="0" fontId="128" fillId="0" borderId="0">
      <alignment horizontal="right"/>
    </xf>
    <xf numFmtId="0" fontId="128" fillId="0" borderId="0">
      <alignment horizontal="right"/>
    </xf>
    <xf numFmtId="0" fontId="45" fillId="0" borderId="0">
      <alignment horizontal="right"/>
    </xf>
    <xf numFmtId="0" fontId="128" fillId="0" borderId="0">
      <alignment horizontal="right"/>
    </xf>
    <xf numFmtId="0" fontId="128" fillId="0" borderId="0">
      <alignment horizontal="right"/>
    </xf>
    <xf numFmtId="0" fontId="128" fillId="0" borderId="0">
      <alignment horizontal="right"/>
    </xf>
    <xf numFmtId="286" fontId="229" fillId="0" borderId="0">
      <alignment horizontal="right"/>
    </xf>
    <xf numFmtId="286" fontId="45" fillId="0" borderId="0">
      <alignment horizontal="right"/>
    </xf>
    <xf numFmtId="287" fontId="229" fillId="0" borderId="0">
      <alignment horizontal="right"/>
    </xf>
    <xf numFmtId="287" fontId="45" fillId="0" borderId="0">
      <alignment horizontal="right"/>
    </xf>
    <xf numFmtId="0" fontId="128" fillId="0" borderId="0">
      <alignment horizontal="right"/>
    </xf>
    <xf numFmtId="288" fontId="128" fillId="0" borderId="0">
      <alignment horizontal="right"/>
    </xf>
    <xf numFmtId="288" fontId="128" fillId="0" borderId="0">
      <alignment horizontal="right"/>
    </xf>
    <xf numFmtId="288" fontId="45" fillId="0" borderId="0">
      <alignment horizontal="right"/>
    </xf>
    <xf numFmtId="288" fontId="128" fillId="0" borderId="0">
      <alignment horizontal="right"/>
    </xf>
    <xf numFmtId="288" fontId="128" fillId="0" borderId="0">
      <alignment horizontal="right"/>
    </xf>
    <xf numFmtId="288" fontId="128" fillId="0" borderId="0">
      <alignment horizontal="right"/>
    </xf>
    <xf numFmtId="0" fontId="189" fillId="0" borderId="0" applyNumberForma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applyNumberFormat="0" applyFill="0" applyBorder="0" applyAlignment="0" applyProtection="0"/>
    <xf numFmtId="289" fontId="229" fillId="0" borderId="0"/>
    <xf numFmtId="289" fontId="45" fillId="0" borderId="0"/>
    <xf numFmtId="290" fontId="229" fillId="0" borderId="0"/>
    <xf numFmtId="290" fontId="45" fillId="0" borderId="0"/>
    <xf numFmtId="0" fontId="229" fillId="0" borderId="0"/>
    <xf numFmtId="0" fontId="45" fillId="0" borderId="0"/>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 fontId="167" fillId="74" borderId="59">
      <alignment horizontal="center"/>
    </xf>
    <xf numFmtId="1" fontId="45" fillId="0" borderId="0">
      <alignment horizontal="center"/>
    </xf>
    <xf numFmtId="0" fontId="229" fillId="0" borderId="0"/>
    <xf numFmtId="0" fontId="45" fillId="0" borderId="0"/>
    <xf numFmtId="0" fontId="167" fillId="74" borderId="60">
      <alignment horizontal="center"/>
    </xf>
    <xf numFmtId="0" fontId="167" fillId="74" borderId="60">
      <alignment horizontal="center"/>
    </xf>
    <xf numFmtId="0" fontId="45" fillId="0" borderId="0">
      <alignment horizontal="center"/>
    </xf>
    <xf numFmtId="0" fontId="167" fillId="74" borderId="60">
      <alignment horizontal="center"/>
    </xf>
    <xf numFmtId="0" fontId="167" fillId="74" borderId="60">
      <alignment horizontal="center"/>
    </xf>
    <xf numFmtId="0" fontId="167" fillId="74" borderId="60">
      <alignment horizontal="center"/>
    </xf>
    <xf numFmtId="0" fontId="229" fillId="0" borderId="0"/>
    <xf numFmtId="0" fontId="45" fillId="0" borderId="0"/>
    <xf numFmtId="0" fontId="230" fillId="0" borderId="0" applyNumberFormat="0" applyFill="0" applyBorder="0" applyAlignment="0" applyProtection="0"/>
    <xf numFmtId="0" fontId="45" fillId="0" borderId="0"/>
    <xf numFmtId="0" fontId="45" fillId="0" borderId="0" applyNumberFormat="0" applyFill="0" applyBorder="0" applyAlignment="0" applyProtection="0"/>
    <xf numFmtId="0" fontId="45" fillId="0" borderId="0"/>
    <xf numFmtId="0" fontId="45" fillId="0" borderId="0" applyBorder="0">
      <alignment horizontal="left" vertical="center" indent="1"/>
    </xf>
    <xf numFmtId="291" fontId="43" fillId="0" borderId="0"/>
    <xf numFmtId="37" fontId="127" fillId="0" borderId="0" applyNumberFormat="0" applyFill="0" applyBorder="0" applyAlignment="0" applyProtection="0">
      <protection locked="0"/>
    </xf>
    <xf numFmtId="37" fontId="45" fillId="0" borderId="0" applyNumberFormat="0" applyFill="0" applyBorder="0" applyAlignment="0" applyProtection="0">
      <protection locked="0"/>
    </xf>
    <xf numFmtId="0" fontId="231" fillId="0" borderId="61">
      <alignment horizontal="centerContinuous"/>
    </xf>
    <xf numFmtId="0" fontId="231" fillId="0" borderId="61">
      <alignment horizontal="centerContinuous"/>
    </xf>
    <xf numFmtId="292" fontId="232" fillId="0" borderId="0" applyAlignment="0">
      <alignment horizontal="right"/>
    </xf>
    <xf numFmtId="0" fontId="233" fillId="0" borderId="0" applyAlignment="0"/>
    <xf numFmtId="165" fontId="233" fillId="0" borderId="0"/>
    <xf numFmtId="0" fontId="233" fillId="0" borderId="61" applyAlignment="0"/>
    <xf numFmtId="0" fontId="233" fillId="0" borderId="61" applyAlignment="0"/>
    <xf numFmtId="0" fontId="233" fillId="0" borderId="0" applyAlignment="0"/>
    <xf numFmtId="0" fontId="45" fillId="0" borderId="0"/>
    <xf numFmtId="0" fontId="45" fillId="0" borderId="0"/>
    <xf numFmtId="0" fontId="64" fillId="0" borderId="29" applyNumberFormat="0" applyFill="0" applyAlignment="0" applyProtection="0"/>
    <xf numFmtId="0" fontId="64" fillId="0" borderId="29" applyNumberFormat="0" applyFill="0" applyAlignment="0" applyProtection="0"/>
    <xf numFmtId="37" fontId="127" fillId="0" borderId="0" applyNumberFormat="0" applyFill="0" applyBorder="0" applyAlignment="0" applyProtection="0">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5" fontId="186" fillId="0" borderId="62" applyAlignment="0" applyProtection="0"/>
    <xf numFmtId="0" fontId="45" fillId="0" borderId="0"/>
    <xf numFmtId="293" fontId="73" fillId="0" borderId="63" applyNumberFormat="0" applyFill="0" applyAlignment="0" applyProtection="0">
      <alignment horizontal="center"/>
    </xf>
    <xf numFmtId="293" fontId="45" fillId="0" borderId="0" applyNumberFormat="0" applyFill="0" applyAlignment="0" applyProtection="0">
      <alignment horizontal="center"/>
    </xf>
    <xf numFmtId="293" fontId="73" fillId="0" borderId="63" applyNumberFormat="0" applyFill="0" applyAlignment="0" applyProtection="0">
      <alignment horizontal="center"/>
    </xf>
    <xf numFmtId="293" fontId="73" fillId="0" borderId="63" applyNumberFormat="0" applyFill="0" applyAlignment="0" applyProtection="0">
      <alignment horizontal="center"/>
    </xf>
    <xf numFmtId="293" fontId="73" fillId="0" borderId="63" applyNumberFormat="0" applyFill="0" applyAlignment="0" applyProtection="0">
      <alignment horizontal="center"/>
    </xf>
    <xf numFmtId="0" fontId="45" fillId="0" borderId="0"/>
    <xf numFmtId="0" fontId="45" fillId="0" borderId="0"/>
    <xf numFmtId="0" fontId="45" fillId="0" borderId="0"/>
    <xf numFmtId="294" fontId="73" fillId="0" borderId="29" applyFill="0" applyAlignment="0" applyProtection="0">
      <alignment horizontal="center"/>
    </xf>
    <xf numFmtId="294" fontId="45" fillId="0" borderId="0"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0" fontId="45" fillId="0" borderId="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3" fillId="0" borderId="0"/>
    <xf numFmtId="0" fontId="43" fillId="0" borderId="0"/>
    <xf numFmtId="0" fontId="45" fillId="0" borderId="0"/>
    <xf numFmtId="0" fontId="43" fillId="0" borderId="0"/>
    <xf numFmtId="0" fontId="43" fillId="0" borderId="0"/>
    <xf numFmtId="0" fontId="4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xf numFmtId="173" fontId="156" fillId="0" borderId="0" applyFill="0" applyBorder="0" applyAlignment="0"/>
    <xf numFmtId="173" fontId="156" fillId="0" borderId="0" applyFill="0" applyBorder="0" applyAlignment="0"/>
    <xf numFmtId="2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0" fontId="45" fillId="0" borderId="0"/>
    <xf numFmtId="297" fontId="156" fillId="0" borderId="0" applyFill="0" applyBorder="0" applyAlignment="0"/>
    <xf numFmtId="297" fontId="156" fillId="0" borderId="0" applyFill="0" applyBorder="0" applyAlignment="0"/>
    <xf numFmtId="273"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0" fontId="45" fillId="0" borderId="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45" fillId="0" borderId="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00" fontId="45" fillId="0" borderId="0" applyNumberFormat="0" applyFont="0" applyBorder="0" applyAlignment="0">
      <protection locked="0"/>
    </xf>
    <xf numFmtId="211" fontId="128" fillId="0" borderId="0" applyFill="0" applyBorder="0" applyProtection="0"/>
    <xf numFmtId="211" fontId="128" fillId="0" borderId="0" applyFill="0" applyBorder="0" applyProtection="0"/>
    <xf numFmtId="211" fontId="45" fillId="0" borderId="0" applyFill="0" applyBorder="0" applyProtection="0"/>
    <xf numFmtId="211" fontId="128" fillId="0" borderId="0" applyFill="0" applyBorder="0" applyProtection="0"/>
    <xf numFmtId="211" fontId="128" fillId="0" borderId="0" applyFill="0" applyBorder="0" applyProtection="0"/>
    <xf numFmtId="211" fontId="128" fillId="0" borderId="0" applyFill="0" applyBorder="0" applyProtection="0"/>
    <xf numFmtId="0" fontId="45" fillId="0" borderId="0"/>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45" fillId="0" borderId="0"/>
    <xf numFmtId="0" fontId="45" fillId="0" borderId="0"/>
    <xf numFmtId="0" fontId="45" fillId="0" borderId="0"/>
    <xf numFmtId="0" fontId="45" fillId="0" borderId="0"/>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5" fillId="0" borderId="0"/>
    <xf numFmtId="0" fontId="45" fillId="0" borderId="0"/>
    <xf numFmtId="0" fontId="45" fillId="0" borderId="0" applyFill="0" applyBorder="0" applyProtection="0">
      <alignment horizontal="center"/>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36" fillId="0" borderId="0" applyAlignment="0"/>
    <xf numFmtId="0" fontId="45" fillId="0" borderId="0"/>
    <xf numFmtId="0" fontId="45" fillId="0" borderId="0"/>
    <xf numFmtId="0" fontId="45" fillId="0" borderId="0" applyNumberFormat="0" applyFill="0" applyBorder="0" applyAlignment="0" applyProtection="0"/>
    <xf numFmtId="0" fontId="45" fillId="0" borderId="0"/>
    <xf numFmtId="0" fontId="45" fillId="0" borderId="0"/>
    <xf numFmtId="0" fontId="45" fillId="0" borderId="0"/>
    <xf numFmtId="0" fontId="45" fillId="0" borderId="0"/>
    <xf numFmtId="38" fontId="237" fillId="0" borderId="53"/>
    <xf numFmtId="38" fontId="45" fillId="0" borderId="0"/>
    <xf numFmtId="0" fontId="238" fillId="0" borderId="63">
      <alignment horizontal="center"/>
    </xf>
    <xf numFmtId="0" fontId="45" fillId="0" borderId="0">
      <alignment horizontal="center"/>
    </xf>
    <xf numFmtId="0" fontId="45" fillId="0" borderId="0"/>
    <xf numFmtId="0" fontId="216" fillId="0" borderId="19">
      <alignment horizontal="center"/>
    </xf>
    <xf numFmtId="0" fontId="45" fillId="0" borderId="0"/>
    <xf numFmtId="0" fontId="45" fillId="0" borderId="0" applyNumberFormat="0" applyFill="0" applyBorder="0" applyProtection="0">
      <alignment wrapText="1"/>
    </xf>
    <xf numFmtId="0" fontId="45" fillId="0" borderId="0"/>
    <xf numFmtId="0" fontId="45" fillId="0" borderId="0" applyNumberFormat="0" applyFill="0" applyBorder="0" applyProtection="0"/>
    <xf numFmtId="0" fontId="45" fillId="0" borderId="0"/>
    <xf numFmtId="0" fontId="239" fillId="0" borderId="0" applyNumberFormat="0" applyFill="0" applyBorder="0" applyProtection="0">
      <alignment horizontal="center" wrapText="1"/>
    </xf>
    <xf numFmtId="0" fontId="45" fillId="0" borderId="0" applyNumberFormat="0" applyFill="0" applyBorder="0" applyProtection="0">
      <alignment horizontal="center" wrapText="1"/>
    </xf>
    <xf numFmtId="0" fontId="239" fillId="0" borderId="0" applyNumberFormat="0" applyFill="0" applyBorder="0" applyProtection="0">
      <alignment horizontal="center" wrapText="1"/>
    </xf>
    <xf numFmtId="0" fontId="239" fillId="0" borderId="0" applyNumberFormat="0" applyFill="0" applyBorder="0" applyProtection="0">
      <alignment horizontal="center" wrapText="1"/>
    </xf>
    <xf numFmtId="0" fontId="239" fillId="0" borderId="0" applyNumberFormat="0" applyFill="0" applyBorder="0" applyProtection="0">
      <alignment horizontal="center" wrapText="1"/>
    </xf>
    <xf numFmtId="0" fontId="45" fillId="0" borderId="0"/>
    <xf numFmtId="0" fontId="45" fillId="0" borderId="0"/>
    <xf numFmtId="0" fontId="216" fillId="0" borderId="29" applyNumberFormat="0" applyFill="0" applyProtection="0">
      <alignment horizontal="right" wrapText="1"/>
    </xf>
    <xf numFmtId="0" fontId="216" fillId="0" borderId="29" applyNumberFormat="0" applyFill="0" applyProtection="0">
      <alignment horizontal="right" wrapText="1"/>
    </xf>
    <xf numFmtId="0" fontId="45" fillId="0" borderId="0"/>
    <xf numFmtId="0" fontId="45" fillId="0" borderId="0"/>
    <xf numFmtId="0" fontId="216" fillId="0" borderId="29" applyNumberFormat="0" applyFill="0" applyProtection="0">
      <alignment horizontal="left" wrapText="1"/>
    </xf>
    <xf numFmtId="0" fontId="216" fillId="0" borderId="29" applyNumberFormat="0" applyFill="0" applyProtection="0">
      <alignment horizontal="left" wrapText="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01" fontId="45" fillId="0" borderId="0" applyFont="0" applyFill="0" applyBorder="0" applyAlignment="0" applyProtection="0"/>
    <xf numFmtId="203" fontId="43" fillId="0" borderId="0"/>
    <xf numFmtId="203" fontId="43" fillId="0" borderId="0"/>
    <xf numFmtId="203" fontId="45" fillId="0" borderId="0"/>
    <xf numFmtId="203" fontId="43" fillId="0" borderId="0"/>
    <xf numFmtId="203" fontId="43" fillId="0" borderId="0"/>
    <xf numFmtId="203" fontId="43" fillId="0" borderId="0"/>
    <xf numFmtId="0" fontId="45" fillId="0" borderId="0"/>
    <xf numFmtId="0" fontId="45" fillId="0" borderId="0"/>
    <xf numFmtId="41" fontId="45" fillId="0" borderId="0" applyFont="0" applyFill="0" applyBorder="0" applyAlignment="0" applyProtection="0"/>
    <xf numFmtId="275" fontId="240" fillId="0" borderId="0" applyFont="0" applyFill="0" applyBorder="0" applyAlignment="0" applyProtection="0"/>
    <xf numFmtId="275" fontId="45" fillId="0" borderId="0" applyFont="0" applyFill="0" applyBorder="0" applyAlignment="0" applyProtection="0"/>
    <xf numFmtId="189" fontId="45" fillId="0" borderId="0" applyFont="0" applyFill="0" applyBorder="0" applyAlignment="0" applyProtection="0">
      <alignment vertical="center"/>
    </xf>
    <xf numFmtId="269" fontId="45" fillId="0" borderId="0" applyFont="0" applyFill="0" applyBorder="0" applyAlignment="0" applyProtection="0">
      <alignment vertical="center"/>
    </xf>
    <xf numFmtId="0" fontId="45" fillId="0" borderId="0"/>
    <xf numFmtId="0" fontId="45" fillId="0" borderId="0"/>
    <xf numFmtId="38" fontId="45" fillId="0" borderId="0">
      <alignment horizontal="center"/>
      <protection locked="0"/>
    </xf>
    <xf numFmtId="0" fontId="45" fillId="0" borderId="0"/>
    <xf numFmtId="40" fontId="45" fillId="0" borderId="0" applyFont="0" applyFill="0" applyBorder="0" applyAlignment="0" applyProtection="0">
      <alignment horizontal="center"/>
    </xf>
    <xf numFmtId="0" fontId="45" fillId="0" borderId="0"/>
    <xf numFmtId="302" fontId="45" fillId="0" borderId="0" applyFont="0" applyFill="0" applyBorder="0" applyAlignment="0" applyProtection="0">
      <alignment horizontal="center"/>
    </xf>
    <xf numFmtId="0" fontId="45" fillId="0" borderId="0"/>
    <xf numFmtId="0" fontId="45" fillId="0" borderId="0"/>
    <xf numFmtId="0" fontId="45" fillId="0" borderId="0"/>
    <xf numFmtId="303" fontId="45" fillId="0" borderId="0" applyFont="0" applyFill="0" applyBorder="0" applyAlignment="0" applyProtection="0"/>
    <xf numFmtId="304" fontId="141" fillId="0" borderId="0" applyFont="0" applyFill="0" applyBorder="0" applyAlignment="0" applyProtection="0"/>
    <xf numFmtId="304" fontId="45" fillId="0" borderId="0" applyFont="0" applyFill="0" applyBorder="0" applyAlignment="0" applyProtection="0"/>
    <xf numFmtId="305" fontId="141" fillId="0" borderId="0" applyFont="0" applyFill="0" applyBorder="0" applyAlignment="0" applyProtection="0"/>
    <xf numFmtId="305" fontId="45" fillId="0" borderId="0" applyFont="0" applyFill="0" applyBorder="0" applyAlignment="0" applyProtection="0"/>
    <xf numFmtId="306" fontId="43" fillId="0" borderId="0" applyFont="0" applyFill="0" applyBorder="0" applyAlignment="0" applyProtection="0"/>
    <xf numFmtId="306" fontId="45" fillId="0" borderId="0" applyFont="0" applyFill="0" applyBorder="0" applyAlignment="0" applyProtection="0"/>
    <xf numFmtId="307" fontId="141" fillId="0" borderId="0" applyFont="0" applyFill="0" applyBorder="0" applyAlignment="0" applyProtection="0"/>
    <xf numFmtId="307" fontId="45" fillId="0" borderId="0" applyFont="0" applyFill="0" applyBorder="0" applyAlignment="0" applyProtection="0"/>
    <xf numFmtId="308" fontId="141" fillId="0" borderId="0" applyFont="0" applyFill="0" applyBorder="0" applyAlignment="0" applyProtection="0"/>
    <xf numFmtId="309" fontId="43" fillId="0" borderId="0" applyFont="0" applyFill="0" applyBorder="0" applyAlignment="0" applyProtection="0"/>
    <xf numFmtId="309" fontId="45" fillId="0" borderId="0" applyFont="0" applyFill="0" applyBorder="0" applyAlignment="0" applyProtection="0"/>
    <xf numFmtId="310" fontId="141" fillId="0" borderId="0" applyFont="0" applyFill="0" applyBorder="0" applyAlignment="0" applyProtection="0"/>
    <xf numFmtId="310" fontId="45" fillId="0" borderId="0" applyFont="0" applyFill="0" applyBorder="0" applyAlignment="0" applyProtection="0"/>
    <xf numFmtId="311" fontId="141" fillId="0" borderId="0" applyFont="0" applyFill="0" applyBorder="0" applyAlignment="0" applyProtection="0"/>
    <xf numFmtId="0" fontId="45" fillId="0" borderId="0"/>
    <xf numFmtId="0" fontId="45" fillId="0" borderId="0"/>
    <xf numFmtId="0" fontId="45" fillId="0" borderId="0"/>
    <xf numFmtId="0" fontId="4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41" fillId="0" borderId="0" applyFont="0" applyFill="0" applyBorder="0" applyAlignment="0" applyProtection="0"/>
    <xf numFmtId="43" fontId="24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0" fontId="45" fillId="0" borderId="0"/>
    <xf numFmtId="43" fontId="4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43" fontId="45" fillId="0" borderId="0" applyFont="0" applyFill="0" applyBorder="0" applyAlignment="0" applyProtection="0"/>
    <xf numFmtId="0" fontId="45" fillId="0" borderId="0"/>
    <xf numFmtId="43" fontId="45" fillId="0" borderId="0" applyFont="0" applyFill="0" applyBorder="0" applyAlignment="0" applyProtection="0"/>
    <xf numFmtId="43" fontId="45" fillId="0" borderId="0" applyFont="0" applyFill="0" applyBorder="0" applyAlignment="0" applyProtection="0"/>
    <xf numFmtId="0" fontId="45" fillId="0" borderId="0"/>
    <xf numFmtId="312" fontId="45" fillId="0" borderId="0" applyFont="0" applyFill="0" applyBorder="0" applyAlignment="0" applyProtection="0"/>
    <xf numFmtId="43" fontId="4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43" fontId="45" fillId="0" borderId="0" applyFont="0" applyFill="0" applyBorder="0" applyAlignment="0" applyProtection="0"/>
    <xf numFmtId="43" fontId="146"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43" fontId="79" fillId="0" borderId="0" applyFont="0" applyFill="0" applyBorder="0" applyAlignment="0" applyProtection="0"/>
    <xf numFmtId="43" fontId="243" fillId="0" borderId="0" applyFont="0" applyFill="0" applyBorder="0" applyAlignment="0" applyProtection="0"/>
    <xf numFmtId="0" fontId="45" fillId="0" borderId="0"/>
    <xf numFmtId="43" fontId="45" fillId="0" borderId="0" applyFont="0" applyFill="0" applyBorder="0" applyAlignment="0" applyProtection="0"/>
    <xf numFmtId="0" fontId="4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5" fillId="0" borderId="0" applyFont="0" applyFill="0" applyBorder="0" applyAlignment="0" applyProtection="0"/>
    <xf numFmtId="0" fontId="4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0" fontId="45" fillId="0" borderId="0"/>
    <xf numFmtId="0" fontId="45" fillId="0" borderId="0"/>
    <xf numFmtId="37" fontId="128" fillId="0" borderId="0" applyFill="0" applyBorder="0" applyAlignment="0" applyProtection="0"/>
    <xf numFmtId="37" fontId="45" fillId="0" borderId="0" applyFill="0" applyBorder="0" applyAlignment="0" applyProtection="0"/>
    <xf numFmtId="37" fontId="128" fillId="0" borderId="0" applyFill="0" applyBorder="0" applyAlignment="0" applyProtection="0"/>
    <xf numFmtId="37" fontId="128" fillId="0" borderId="0" applyFill="0" applyBorder="0" applyAlignment="0" applyProtection="0"/>
    <xf numFmtId="37" fontId="128" fillId="0" borderId="0" applyFill="0" applyBorder="0" applyAlignment="0" applyProtection="0"/>
    <xf numFmtId="0" fontId="45" fillId="0" borderId="0"/>
    <xf numFmtId="0" fontId="45" fillId="0" borderId="0"/>
    <xf numFmtId="0" fontId="45" fillId="0" borderId="0"/>
    <xf numFmtId="0" fontId="244" fillId="0" borderId="0"/>
    <xf numFmtId="0" fontId="45" fillId="0" borderId="0"/>
    <xf numFmtId="0" fontId="45" fillId="0" borderId="0"/>
    <xf numFmtId="0" fontId="45" fillId="0" borderId="0"/>
    <xf numFmtId="0" fontId="45" fillId="0" borderId="0"/>
    <xf numFmtId="0" fontId="45" fillId="0" borderId="0"/>
    <xf numFmtId="0" fontId="45" fillId="0" borderId="0"/>
    <xf numFmtId="38" fontId="45" fillId="0" borderId="0" applyFont="0" applyFill="0" applyBorder="0" applyAlignment="0" applyProtection="0"/>
    <xf numFmtId="0" fontId="45" fillId="0" borderId="0"/>
    <xf numFmtId="173" fontId="245" fillId="0" borderId="0" applyFont="0" applyFill="0" applyBorder="0" applyAlignment="0" applyProtection="0"/>
    <xf numFmtId="0" fontId="244" fillId="0" borderId="0"/>
    <xf numFmtId="0" fontId="45" fillId="0" borderId="0"/>
    <xf numFmtId="0" fontId="156" fillId="0" borderId="0"/>
    <xf numFmtId="0" fontId="45" fillId="0" borderId="0"/>
    <xf numFmtId="173" fontId="45" fillId="0" borderId="0" applyFont="0" applyFill="0" applyBorder="0" applyAlignment="0" applyProtection="0"/>
    <xf numFmtId="39" fontId="245" fillId="0" borderId="0" applyFont="0" applyFill="0" applyBorder="0" applyAlignment="0" applyProtection="0"/>
    <xf numFmtId="39" fontId="45" fillId="0" borderId="0" applyFont="0" applyFill="0" applyBorder="0" applyAlignment="0" applyProtection="0"/>
    <xf numFmtId="0" fontId="45" fillId="0" borderId="0"/>
    <xf numFmtId="0" fontId="246" fillId="95" borderId="0">
      <alignment horizontal="center" vertical="center" wrapText="1"/>
    </xf>
    <xf numFmtId="0" fontId="45" fillId="0" borderId="0">
      <alignment horizontal="center" vertical="center" wrapText="1"/>
    </xf>
    <xf numFmtId="0" fontId="45" fillId="0" borderId="0"/>
    <xf numFmtId="0" fontId="45" fillId="0" borderId="0" applyFill="0" applyBorder="0" applyAlignment="0" applyProtection="0">
      <protection locked="0"/>
    </xf>
    <xf numFmtId="0" fontId="246" fillId="95" borderId="0">
      <alignment horizontal="center" vertical="center" wrapText="1"/>
    </xf>
    <xf numFmtId="0" fontId="45" fillId="0" borderId="0"/>
    <xf numFmtId="313" fontId="45" fillId="0" borderId="0" applyFill="0" applyBorder="0">
      <alignment horizontal="left"/>
    </xf>
    <xf numFmtId="0" fontId="45" fillId="0" borderId="0"/>
    <xf numFmtId="0" fontId="45" fillId="0" borderId="0"/>
    <xf numFmtId="0" fontId="45" fillId="0" borderId="0" applyNumberFormat="0" applyAlignment="0">
      <alignment horizontal="left"/>
    </xf>
    <xf numFmtId="0" fontId="45" fillId="0" borderId="0"/>
    <xf numFmtId="0" fontId="45" fillId="0" borderId="0"/>
    <xf numFmtId="314" fontId="141" fillId="0" borderId="0" applyFill="0" applyBorder="0" applyProtection="0"/>
    <xf numFmtId="314" fontId="45" fillId="0" borderId="0" applyFill="0" applyBorder="0" applyProtection="0"/>
    <xf numFmtId="315" fontId="141" fillId="0" borderId="0" applyFont="0" applyFill="0" applyBorder="0" applyAlignment="0" applyProtection="0"/>
    <xf numFmtId="315"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16" fontId="45" fillId="0" borderId="0" applyFill="0" applyBorder="0">
      <alignment horizontal="right"/>
      <protection locked="0"/>
    </xf>
    <xf numFmtId="0" fontId="244" fillId="0" borderId="0"/>
    <xf numFmtId="0" fontId="45" fillId="0" borderId="0"/>
    <xf numFmtId="0" fontId="45" fillId="0" borderId="0"/>
    <xf numFmtId="317" fontId="141" fillId="0" borderId="0" applyFont="0" applyFill="0" applyBorder="0" applyAlignment="0" applyProtection="0"/>
    <xf numFmtId="317" fontId="45" fillId="0" borderId="0" applyFont="0" applyFill="0" applyBorder="0" applyAlignment="0" applyProtection="0"/>
    <xf numFmtId="0" fontId="45" fillId="0" borderId="0"/>
    <xf numFmtId="0" fontId="45" fillId="0" borderId="0"/>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42" fontId="146" fillId="0" borderId="0" applyFont="0" applyFill="0" applyBorder="0" applyAlignment="0" applyProtection="0"/>
    <xf numFmtId="42" fontId="45" fillId="0" borderId="0" applyFont="0" applyFill="0" applyBorder="0" applyAlignment="0" applyProtection="0"/>
    <xf numFmtId="0" fontId="45" fillId="0" borderId="0"/>
    <xf numFmtId="0" fontId="45" fillId="0" borderId="0"/>
    <xf numFmtId="187" fontId="150" fillId="0" borderId="0" applyFont="0" applyFill="0" applyBorder="0" applyAlignment="0"/>
    <xf numFmtId="187" fontId="45" fillId="0" borderId="0" applyFont="0" applyFill="0" applyBorder="0" applyAlignment="0"/>
    <xf numFmtId="187" fontId="150" fillId="0" borderId="0" applyFont="0" applyFill="0" applyBorder="0" applyAlignment="0"/>
    <xf numFmtId="187" fontId="150" fillId="0" borderId="0" applyFont="0" applyFill="0" applyBorder="0" applyAlignment="0"/>
    <xf numFmtId="187" fontId="150" fillId="0" borderId="0" applyFont="0" applyFill="0" applyBorder="0" applyAlignment="0"/>
    <xf numFmtId="0" fontId="45" fillId="0" borderId="0"/>
    <xf numFmtId="0" fontId="45" fillId="0" borderId="0"/>
    <xf numFmtId="166" fontId="45" fillId="0" borderId="0" applyFont="0" applyFill="0" applyBorder="0" applyAlignment="0" applyProtection="0"/>
    <xf numFmtId="0" fontId="45" fillId="0" borderId="0"/>
    <xf numFmtId="0" fontId="45" fillId="0" borderId="0"/>
    <xf numFmtId="318" fontId="45" fillId="0" borderId="0" applyFont="0" applyFill="0" applyBorder="0" applyAlignment="0" applyProtection="0">
      <alignment horizontal="right"/>
    </xf>
    <xf numFmtId="319" fontId="45" fillId="0" borderId="0" applyFont="0" applyFill="0" applyBorder="0" applyAlignment="0" applyProtection="0"/>
    <xf numFmtId="320" fontId="141" fillId="0" borderId="0" applyFont="0" applyFill="0" applyBorder="0" applyAlignment="0" applyProtection="0"/>
    <xf numFmtId="320" fontId="45" fillId="0" borderId="0" applyFont="0" applyFill="0" applyBorder="0" applyAlignment="0" applyProtection="0"/>
    <xf numFmtId="321" fontId="45" fillId="0" borderId="0" applyFont="0" applyFill="0" applyBorder="0" applyAlignment="0" applyProtection="0"/>
    <xf numFmtId="322" fontId="141" fillId="0" borderId="0" applyFont="0" applyFill="0" applyBorder="0" applyAlignment="0" applyProtection="0"/>
    <xf numFmtId="322" fontId="45" fillId="0" borderId="0" applyFont="0" applyFill="0" applyBorder="0" applyAlignment="0" applyProtection="0"/>
    <xf numFmtId="323" fontId="45" fillId="0" borderId="0" applyFont="0" applyFill="0" applyBorder="0" applyAlignment="0" applyProtection="0"/>
    <xf numFmtId="324" fontId="141" fillId="0" borderId="0" applyFont="0" applyFill="0" applyBorder="0" applyAlignment="0" applyProtection="0"/>
    <xf numFmtId="324" fontId="45" fillId="0" borderId="0" applyFont="0" applyFill="0" applyBorder="0" applyAlignment="0" applyProtection="0"/>
    <xf numFmtId="44" fontId="3" fillId="0" borderId="0" applyFont="0" applyFill="0" applyBorder="0" applyAlignment="0" applyProtection="0"/>
    <xf numFmtId="0" fontId="45" fillId="0" borderId="0"/>
    <xf numFmtId="44" fontId="4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44" fontId="45" fillId="0" borderId="0" applyFont="0" applyFill="0" applyBorder="0" applyAlignment="0" applyProtection="0"/>
    <xf numFmtId="0" fontId="45" fillId="0" borderId="0"/>
    <xf numFmtId="44" fontId="45" fillId="0" borderId="0" applyFont="0" applyFill="0" applyBorder="0" applyAlignment="0" applyProtection="0"/>
    <xf numFmtId="44" fontId="45" fillId="0" borderId="0" applyFont="0" applyFill="0" applyBorder="0" applyAlignment="0" applyProtection="0"/>
    <xf numFmtId="44" fontId="45" fillId="0" borderId="0" applyFont="0" applyFill="0" applyBorder="0" applyAlignment="0" applyProtection="0"/>
    <xf numFmtId="44" fontId="4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44" fontId="203" fillId="0" borderId="0" applyFont="0" applyFill="0" applyBorder="0" applyAlignment="0" applyProtection="0"/>
    <xf numFmtId="8" fontId="140" fillId="0" borderId="0" applyFont="0" applyFill="0" applyBorder="0" applyAlignment="0" applyProtection="0"/>
    <xf numFmtId="0" fontId="45" fillId="0" borderId="0"/>
    <xf numFmtId="202" fontId="45" fillId="0" borderId="0" applyFont="0" applyFill="0" applyBorder="0" applyAlignment="0" applyProtection="0"/>
    <xf numFmtId="0" fontId="45" fillId="0" borderId="0"/>
    <xf numFmtId="44" fontId="247" fillId="0" borderId="0" applyFont="0" applyFill="0" applyBorder="0" applyAlignment="0" applyProtection="0">
      <alignment vertical="top"/>
    </xf>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44" fontId="12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42"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8" fontId="45" fillId="0" borderId="0">
      <alignment horizontal="right"/>
    </xf>
    <xf numFmtId="0" fontId="45" fillId="0" borderId="0"/>
    <xf numFmtId="0" fontId="45" fillId="0" borderId="0"/>
    <xf numFmtId="6" fontId="45" fillId="0" borderId="0" applyFont="0" applyFill="0" applyBorder="0" applyAlignment="0" applyProtection="0"/>
    <xf numFmtId="0" fontId="45" fillId="0" borderId="0"/>
    <xf numFmtId="0" fontId="45" fillId="0" borderId="0"/>
    <xf numFmtId="0" fontId="45" fillId="0" borderId="0"/>
    <xf numFmtId="302" fontId="43" fillId="41" borderId="0" applyFont="0" applyBorder="0"/>
    <xf numFmtId="0" fontId="45" fillId="0" borderId="0"/>
    <xf numFmtId="14" fontId="45" fillId="0" borderId="0" applyFont="0" applyFill="0" applyBorder="0" applyAlignment="0" applyProtection="0">
      <alignment horizontal="center"/>
    </xf>
    <xf numFmtId="0" fontId="45" fillId="0" borderId="0"/>
    <xf numFmtId="173" fontId="248" fillId="0" borderId="0"/>
    <xf numFmtId="0" fontId="45" fillId="0" borderId="0"/>
    <xf numFmtId="173" fontId="45" fillId="0" borderId="0" applyNumberFormat="0" applyAlignment="0">
      <alignment horizontal="left"/>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5" fontId="216" fillId="0" borderId="0" applyFill="0" applyBorder="0" applyAlignment="0"/>
    <xf numFmtId="15" fontId="216" fillId="0" borderId="0" applyFill="0" applyBorder="0" applyAlignment="0"/>
    <xf numFmtId="325" fontId="216" fillId="72" borderId="0" applyFont="0" applyFill="0" applyBorder="0" applyAlignment="0" applyProtection="0"/>
    <xf numFmtId="325" fontId="216" fillId="72" borderId="0" applyFont="0" applyFill="0" applyBorder="0" applyAlignment="0" applyProtection="0"/>
    <xf numFmtId="326" fontId="134" fillId="72" borderId="2" applyFont="0" applyFill="0" applyBorder="0" applyAlignment="0" applyProtection="0"/>
    <xf numFmtId="326" fontId="134" fillId="72" borderId="2" applyFont="0" applyFill="0" applyBorder="0" applyAlignment="0" applyProtection="0"/>
    <xf numFmtId="325" fontId="150" fillId="72" borderId="0" applyFont="0" applyFill="0" applyBorder="0" applyAlignment="0" applyProtection="0"/>
    <xf numFmtId="0" fontId="45" fillId="0" borderId="0"/>
    <xf numFmtId="17" fontId="216" fillId="0" borderId="0" applyFill="0" applyBorder="0">
      <alignment horizontal="right"/>
    </xf>
    <xf numFmtId="0" fontId="45" fillId="0" borderId="0"/>
    <xf numFmtId="0" fontId="45" fillId="0" borderId="0"/>
    <xf numFmtId="0" fontId="45" fillId="0" borderId="0"/>
    <xf numFmtId="0" fontId="45" fillId="0" borderId="0"/>
    <xf numFmtId="0" fontId="45" fillId="0" borderId="0"/>
    <xf numFmtId="14" fontId="247" fillId="0" borderId="0" applyFill="0" applyBorder="0" applyAlignment="0"/>
    <xf numFmtId="327" fontId="45" fillId="0" borderId="0" applyFont="0" applyFill="0" applyBorder="0" applyAlignment="0" applyProtection="0">
      <alignment horizontal="center"/>
    </xf>
    <xf numFmtId="328" fontId="141"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17" fontId="45" fillId="0" borderId="0" applyFont="0" applyFill="0" applyBorder="0" applyAlignment="0" applyProtection="0">
      <alignment horizontal="center"/>
    </xf>
    <xf numFmtId="17" fontId="45" fillId="0" borderId="0" applyFont="0" applyFill="0" applyBorder="0" applyAlignment="0" applyProtection="0">
      <alignment horizontal="center"/>
    </xf>
    <xf numFmtId="0" fontId="45" fillId="0" borderId="0"/>
    <xf numFmtId="0" fontId="45" fillId="0" borderId="0"/>
    <xf numFmtId="0" fontId="45" fillId="0" borderId="0"/>
    <xf numFmtId="329" fontId="127" fillId="0" borderId="0"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14" fontId="249" fillId="0" borderId="0" applyFont="0" applyFill="0" applyBorder="0"/>
    <xf numFmtId="15" fontId="193" fillId="0" borderId="0" applyFont="0" applyFill="0" applyBorder="0" applyAlignment="0" applyProtection="0">
      <alignment horizontal="center"/>
    </xf>
    <xf numFmtId="211" fontId="45" fillId="0" borderId="0" applyFont="0" applyFill="0" applyBorder="0" applyAlignment="0" applyProtection="0">
      <alignment horizontal="center"/>
    </xf>
    <xf numFmtId="211" fontId="250" fillId="0" borderId="0" applyFont="0" applyFill="0" applyBorder="0" applyAlignment="0" applyProtection="0">
      <alignment horizontal="center"/>
    </xf>
    <xf numFmtId="0" fontId="151" fillId="0" borderId="0"/>
    <xf numFmtId="0" fontId="251" fillId="0" borderId="0">
      <protection locked="0"/>
    </xf>
    <xf numFmtId="0" fontId="252" fillId="0" borderId="0">
      <protection locked="0"/>
    </xf>
    <xf numFmtId="0" fontId="252" fillId="0" borderId="0">
      <protection locked="0"/>
    </xf>
    <xf numFmtId="0" fontId="45" fillId="0" borderId="0"/>
    <xf numFmtId="205" fontId="45" fillId="0" borderId="0" applyFont="0" applyFill="0" applyBorder="0" applyAlignment="0" applyProtection="0"/>
    <xf numFmtId="4" fontId="156" fillId="0" borderId="0" applyFont="0" applyFill="0" applyBorder="0" applyAlignment="0" applyProtection="0"/>
    <xf numFmtId="0" fontId="45" fillId="0" borderId="0"/>
    <xf numFmtId="0" fontId="45" fillId="0" borderId="0"/>
    <xf numFmtId="8" fontId="128" fillId="0" borderId="0" applyFill="0" applyBorder="0" applyProtection="0"/>
    <xf numFmtId="0" fontId="45" fillId="0" borderId="0"/>
    <xf numFmtId="0" fontId="45" fillId="0" borderId="0"/>
    <xf numFmtId="0" fontId="45" fillId="0" borderId="0"/>
    <xf numFmtId="0" fontId="45" fillId="0" borderId="0"/>
    <xf numFmtId="7" fontId="150" fillId="0" borderId="0"/>
    <xf numFmtId="4" fontId="75" fillId="0" borderId="0" applyFont="0" applyFill="0" applyBorder="0" applyAlignment="0" applyProtection="0"/>
    <xf numFmtId="7" fontId="150" fillId="0" borderId="0"/>
    <xf numFmtId="7" fontId="150" fillId="0" borderId="0"/>
    <xf numFmtId="7" fontId="150" fillId="0" borderId="0"/>
    <xf numFmtId="0" fontId="45" fillId="0" borderId="0"/>
    <xf numFmtId="6" fontId="128" fillId="0" borderId="0" applyFont="0" applyFill="0" applyBorder="0" applyAlignment="0" applyProtection="0"/>
    <xf numFmtId="6" fontId="128" fillId="0" borderId="0" applyFont="0" applyFill="0" applyBorder="0" applyAlignment="0" applyProtection="0"/>
    <xf numFmtId="0" fontId="45" fillId="0" borderId="0"/>
    <xf numFmtId="0" fontId="45" fillId="0" borderId="0"/>
    <xf numFmtId="0" fontId="45" fillId="0" borderId="0"/>
    <xf numFmtId="38" fontId="150" fillId="41" borderId="0" applyNumberFormat="0" applyFont="0" applyBorder="0" applyAlignment="0" applyProtection="0"/>
    <xf numFmtId="38" fontId="150" fillId="41" borderId="0" applyNumberFormat="0" applyFon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76" fontId="25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31" fontId="45" fillId="72" borderId="0" applyFont="0" applyFill="0" applyBorder="0" applyAlignment="0"/>
    <xf numFmtId="2" fontId="45" fillId="0" borderId="0" applyFont="0" applyFill="0" applyBorder="0" applyAlignment="0" applyProtection="0"/>
    <xf numFmtId="332" fontId="45" fillId="0" borderId="0" applyFont="0" applyFill="0" applyBorder="0" applyAlignment="0"/>
    <xf numFmtId="0" fontId="45" fillId="0" borderId="0"/>
    <xf numFmtId="0" fontId="45" fillId="0" borderId="0"/>
    <xf numFmtId="0" fontId="45" fillId="0" borderId="0"/>
    <xf numFmtId="0" fontId="45" fillId="0" borderId="0"/>
    <xf numFmtId="0" fontId="254" fillId="0" borderId="0">
      <protection locked="0"/>
    </xf>
    <xf numFmtId="0" fontId="45" fillId="0" borderId="0"/>
    <xf numFmtId="333" fontId="150" fillId="0" borderId="0">
      <alignment horizontal="left"/>
    </xf>
    <xf numFmtId="334" fontId="45" fillId="96" borderId="0">
      <alignment horizontal="center"/>
      <protection locked="0"/>
    </xf>
    <xf numFmtId="335" fontId="73" fillId="0" borderId="0">
      <alignment horizontal="right"/>
    </xf>
    <xf numFmtId="0" fontId="45" fillId="0" borderId="0"/>
    <xf numFmtId="0" fontId="45" fillId="0" borderId="0"/>
    <xf numFmtId="0" fontId="45" fillId="0" borderId="0"/>
    <xf numFmtId="0" fontId="45" fillId="0" borderId="0"/>
    <xf numFmtId="0" fontId="45" fillId="0" borderId="0"/>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38" fillId="0" borderId="0" applyNumberFormat="0" applyFill="0" applyBorder="0" applyProtection="0">
      <alignment wrapText="1"/>
    </xf>
    <xf numFmtId="0" fontId="45" fillId="0" borderId="0"/>
    <xf numFmtId="0" fontId="45" fillId="0" borderId="0"/>
    <xf numFmtId="0" fontId="45" fillId="0" borderId="0"/>
    <xf numFmtId="0" fontId="45" fillId="0" borderId="0"/>
    <xf numFmtId="191" fontId="150" fillId="0" borderId="0" applyFill="0" applyBorder="0" applyAlignment="0" applyProtection="0">
      <alignment horizontal="right"/>
    </xf>
    <xf numFmtId="191" fontId="150" fillId="0" borderId="0" applyFill="0" applyBorder="0" applyAlignment="0" applyProtection="0">
      <alignment horizontal="right"/>
    </xf>
    <xf numFmtId="191" fontId="150" fillId="0" borderId="0" applyFill="0" applyBorder="0" applyAlignment="0" applyProtection="0"/>
    <xf numFmtId="191" fontId="150"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37" fontId="255" fillId="76" borderId="23" applyBorder="0">
      <alignment horizontal="left" vertical="center" indent="1"/>
    </xf>
    <xf numFmtId="0" fontId="45" fillId="0" borderId="0"/>
    <xf numFmtId="0" fontId="256" fillId="0" borderId="0">
      <protection locked="0"/>
    </xf>
    <xf numFmtId="0" fontId="45" fillId="0" borderId="0"/>
    <xf numFmtId="0" fontId="257" fillId="0" borderId="65" applyNumberFormat="0" applyAlignment="0" applyProtection="0">
      <alignment horizontal="left" vertical="center"/>
    </xf>
    <xf numFmtId="0" fontId="45" fillId="0" borderId="0"/>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45" fillId="0" borderId="0"/>
    <xf numFmtId="0" fontId="258" fillId="87" borderId="66" applyNumberFormat="0" applyBorder="0">
      <alignment horizontal="left" vertical="center" indent="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49" fontId="259" fillId="0" borderId="0">
      <alignment horizontal="centerContinuous"/>
    </xf>
    <xf numFmtId="0" fontId="45" fillId="0" borderId="0"/>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45" fillId="0" borderId="0"/>
    <xf numFmtId="0" fontId="45" fillId="0" borderId="0"/>
    <xf numFmtId="0" fontId="45" fillId="0" borderId="0"/>
    <xf numFmtId="0" fontId="45" fillId="0" borderId="0"/>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45" fillId="0" borderId="0"/>
    <xf numFmtId="0" fontId="45" fillId="0" borderId="0"/>
    <xf numFmtId="203" fontId="128" fillId="79" borderId="0" applyFont="0" applyFill="0" applyBorder="0" applyAlignment="0" applyProtection="0">
      <alignment horizontal="left"/>
    </xf>
    <xf numFmtId="0" fontId="45" fillId="0" borderId="0"/>
    <xf numFmtId="0" fontId="45" fillId="0" borderId="0"/>
    <xf numFmtId="0" fontId="45" fillId="0" borderId="0"/>
    <xf numFmtId="0" fontId="262" fillId="0" borderId="0" applyNumberFormat="0" applyFill="0" applyBorder="0" applyAlignment="0" applyProtection="0">
      <alignment vertical="top"/>
      <protection locked="0"/>
    </xf>
    <xf numFmtId="0" fontId="263" fillId="0" borderId="0"/>
    <xf numFmtId="0" fontId="162" fillId="0" borderId="0"/>
    <xf numFmtId="211" fontId="128" fillId="0" borderId="0" applyFill="0" applyBorder="0" applyAlignment="0" applyProtection="0"/>
    <xf numFmtId="211" fontId="128"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8" fontId="150" fillId="72" borderId="0" applyFont="0" applyBorder="0" applyAlignment="0" applyProtection="0">
      <protection locked="0"/>
    </xf>
    <xf numFmtId="8" fontId="150" fillId="72" borderId="0" applyFont="0" applyBorder="0" applyAlignment="0" applyProtection="0">
      <protection locked="0"/>
    </xf>
    <xf numFmtId="326" fontId="150" fillId="72" borderId="0" applyFont="0" applyBorder="0" applyAlignment="0" applyProtection="0">
      <protection locked="0"/>
    </xf>
    <xf numFmtId="326" fontId="150" fillId="72" borderId="0" applyFont="0" applyBorder="0" applyAlignment="0" applyProtection="0">
      <protection locked="0"/>
    </xf>
    <xf numFmtId="331" fontId="150" fillId="72" borderId="0" applyFont="0" applyBorder="0" applyAlignment="0">
      <protection locked="0"/>
    </xf>
    <xf numFmtId="331" fontId="150" fillId="72" borderId="0" applyFont="0" applyBorder="0" applyAlignment="0">
      <protection locked="0"/>
    </xf>
    <xf numFmtId="211" fontId="150" fillId="72" borderId="0">
      <protection locked="0"/>
    </xf>
    <xf numFmtId="211" fontId="150" fillId="72" borderId="0">
      <protection locked="0"/>
    </xf>
    <xf numFmtId="336" fontId="150" fillId="72" borderId="0" applyFont="0" applyBorder="0" applyAlignment="0">
      <protection locked="0"/>
    </xf>
    <xf numFmtId="10" fontId="150" fillId="72" borderId="0">
      <protection locked="0"/>
    </xf>
    <xf numFmtId="10" fontId="150" fillId="72" borderId="0">
      <protection locked="0"/>
    </xf>
    <xf numFmtId="336" fontId="150" fillId="72" borderId="0" applyFont="0" applyBorder="0" applyAlignment="0">
      <protection locked="0"/>
    </xf>
    <xf numFmtId="336" fontId="150" fillId="72" borderId="0" applyFont="0" applyBorder="0" applyAlignment="0">
      <protection locked="0"/>
    </xf>
    <xf numFmtId="211" fontId="264" fillId="72" borderId="0" applyNumberFormat="0" applyBorder="0" applyAlignment="0">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86" fillId="0" borderId="0" applyNumberFormat="0" applyFill="0" applyBorder="0" applyAlignment="0">
      <protection locked="0"/>
    </xf>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211" fontId="150" fillId="72" borderId="0" applyNumberFormat="0" applyFont="0" applyBorder="0" applyAlignment="0" applyProtection="0">
      <alignment horizontal="center"/>
      <protection locked="0"/>
    </xf>
    <xf numFmtId="211" fontId="150" fillId="72" borderId="0" applyNumberFormat="0" applyFont="0" applyBorder="0" applyAlignment="0" applyProtection="0">
      <alignment horizontal="center"/>
      <protection locked="0"/>
    </xf>
    <xf numFmtId="0" fontId="266" fillId="0" borderId="0" applyNumberFormat="0" applyFill="0" applyBorder="0" applyAlignment="0">
      <protection locked="0"/>
    </xf>
    <xf numFmtId="337" fontId="45" fillId="0" borderId="0" applyFill="0" applyBorder="0" applyAlignment="0">
      <protection locked="0"/>
    </xf>
    <xf numFmtId="0" fontId="45" fillId="0" borderId="0"/>
    <xf numFmtId="0" fontId="45" fillId="0" borderId="0"/>
    <xf numFmtId="0" fontId="45" fillId="0" borderId="0"/>
    <xf numFmtId="0" fontId="45" fillId="0" borderId="0"/>
    <xf numFmtId="338" fontId="45" fillId="0" borderId="0" applyFill="0" applyBorder="0">
      <alignment horizontal="right"/>
      <protection locked="0"/>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45" fillId="0" borderId="0"/>
    <xf numFmtId="0" fontId="45" fillId="0" borderId="0"/>
    <xf numFmtId="0" fontId="45" fillId="0" borderId="0"/>
    <xf numFmtId="0" fontId="45" fillId="0" borderId="0"/>
    <xf numFmtId="0" fontId="45" fillId="0" borderId="0" applyFont="0" applyFill="0" applyBorder="0" applyAlignment="0" applyProtection="0"/>
    <xf numFmtId="166" fontId="138" fillId="41" borderId="0" applyFont="0">
      <alignment horizontal="center"/>
    </xf>
    <xf numFmtId="166" fontId="138" fillId="41" borderId="0" applyFont="0">
      <alignment horizontal="center"/>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3" fillId="0" borderId="0" applyNumberFormat="0" applyFont="0" applyFill="0" applyBorder="0" applyProtection="0">
      <alignment horizontal="left" vertical="center"/>
    </xf>
    <xf numFmtId="0" fontId="43" fillId="0" borderId="0" applyNumberFormat="0" applyFont="0" applyFill="0" applyBorder="0" applyProtection="0">
      <alignment horizontal="left" vertical="center"/>
    </xf>
    <xf numFmtId="0" fontId="45" fillId="0" borderId="0"/>
    <xf numFmtId="0" fontId="45" fillId="0" borderId="0"/>
    <xf numFmtId="0" fontId="45" fillId="0" borderId="0"/>
    <xf numFmtId="0" fontId="45" fillId="0" borderId="0"/>
    <xf numFmtId="0" fontId="267" fillId="0" borderId="0" applyNumberFormat="0" applyFill="0" applyBorder="0" applyAlignment="0" applyProtection="0">
      <alignment vertical="top"/>
      <protection locked="0"/>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0" fontId="45" fillId="0" borderId="0"/>
    <xf numFmtId="2" fontId="45" fillId="0" borderId="0" applyNumberFormat="0" applyBorder="0">
      <alignment horizontal="left"/>
    </xf>
    <xf numFmtId="2" fontId="45" fillId="0" borderId="0" applyNumberFormat="0" applyBorder="0">
      <alignment horizontal="left"/>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7" fontId="43" fillId="0" borderId="0"/>
    <xf numFmtId="339" fontId="257" fillId="99" borderId="70" applyBorder="0">
      <protection locked="0"/>
    </xf>
    <xf numFmtId="339" fontId="257" fillId="99" borderId="70" applyBorder="0">
      <protection locked="0"/>
    </xf>
    <xf numFmtId="0" fontId="43" fillId="0" borderId="0" applyNumberFormat="0" applyFill="0" applyBorder="0" applyAlignment="0" applyProtection="0"/>
    <xf numFmtId="0" fontId="43" fillId="0" borderId="0" applyNumberFormat="0" applyFill="0" applyBorder="0" applyAlignment="0" applyProtection="0"/>
    <xf numFmtId="0" fontId="268" fillId="0" borderId="0" applyNumberFormat="0" applyFill="0" applyBorder="0" applyAlignment="0" applyProtection="0"/>
    <xf numFmtId="211" fontId="150" fillId="0" borderId="0" applyFill="0" applyBorder="0" applyAlignment="0" applyProtection="0"/>
    <xf numFmtId="211" fontId="150" fillId="0" borderId="0" applyFill="0" applyBorder="0" applyAlignment="0" applyProtection="0"/>
    <xf numFmtId="0" fontId="45" fillId="0" borderId="0"/>
    <xf numFmtId="0" fontId="45" fillId="0" borderId="0"/>
    <xf numFmtId="0" fontId="43" fillId="0" borderId="0"/>
    <xf numFmtId="340"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0" fontId="45" fillId="0" borderId="0"/>
    <xf numFmtId="0" fontId="45" fillId="0" borderId="0"/>
    <xf numFmtId="0" fontId="45" fillId="0" borderId="0"/>
    <xf numFmtId="268" fontId="45" fillId="0" borderId="0" applyFont="0" applyFill="0" applyBorder="0" applyAlignment="0" applyProtection="0"/>
    <xf numFmtId="268" fontId="45" fillId="0" borderId="0" applyFont="0" applyFill="0" applyBorder="0" applyAlignment="0" applyProtection="0"/>
    <xf numFmtId="342" fontId="45" fillId="0" borderId="0" applyFont="0" applyFill="0" applyBorder="0" applyAlignment="0" applyProtection="0"/>
    <xf numFmtId="306" fontId="45" fillId="0" borderId="0" applyFont="0" applyFill="0" applyBorder="0" applyAlignment="0" applyProtection="0"/>
    <xf numFmtId="343"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7" fontId="249" fillId="0" borderId="0" applyFont="0" applyFill="0" applyBorder="0">
      <alignment horizontal="right"/>
    </xf>
    <xf numFmtId="17" fontId="193" fillId="0" borderId="0" applyFont="0" applyFill="0" applyBorder="0" applyAlignment="0" applyProtection="0">
      <alignment horizontal="center"/>
    </xf>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0" fontId="45" fillId="0" borderId="0"/>
    <xf numFmtId="344" fontId="43" fillId="0" borderId="0" applyFont="0" applyFill="0" applyBorder="0" applyAlignment="0" applyProtection="0"/>
    <xf numFmtId="345" fontId="43" fillId="0" borderId="0" applyFont="0" applyFill="0" applyBorder="0" applyAlignment="0" applyProtection="0"/>
    <xf numFmtId="346" fontId="75" fillId="0" borderId="0" applyFont="0" applyFill="0" applyBorder="0" applyAlignment="0" applyProtection="0"/>
    <xf numFmtId="347" fontId="128" fillId="0" borderId="0" applyFont="0" applyFill="0" applyBorder="0" applyAlignment="0" applyProtection="0"/>
    <xf numFmtId="348" fontId="75" fillId="0" borderId="0" applyFont="0" applyFill="0" applyBorder="0" applyAlignment="0" applyProtection="0"/>
    <xf numFmtId="0" fontId="45" fillId="0" borderId="0"/>
    <xf numFmtId="349" fontId="7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350" fontId="150" fillId="41" borderId="0" applyFont="0" applyBorder="0" applyAlignment="0" applyProtection="0">
      <alignment horizontal="right"/>
      <protection hidden="1"/>
    </xf>
    <xf numFmtId="350" fontId="150" fillId="41" borderId="0" applyFont="0" applyBorder="0" applyAlignment="0" applyProtection="0">
      <alignment horizontal="right"/>
      <protection hidden="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40" fontId="173" fillId="0" borderId="0" applyFont="0" applyFill="0" applyBorder="0" applyAlignment="0" applyProtection="0">
      <alignment horizontal="center"/>
    </xf>
    <xf numFmtId="0" fontId="45" fillId="0" borderId="0"/>
    <xf numFmtId="351" fontId="43" fillId="0" borderId="0"/>
    <xf numFmtId="351" fontId="43" fillId="0" borderId="0"/>
    <xf numFmtId="0" fontId="45" fillId="0" borderId="0"/>
    <xf numFmtId="0" fontId="167" fillId="100" borderId="0"/>
    <xf numFmtId="0" fontId="45" fillId="0" borderId="0"/>
    <xf numFmtId="0" fontId="73" fillId="0" borderId="0" applyNumberFormat="0" applyFill="0" applyAlignment="0" applyProtection="0"/>
    <xf numFmtId="0" fontId="73" fillId="0" borderId="0" applyNumberFormat="0" applyFill="0" applyAlignment="0" applyProtection="0"/>
    <xf numFmtId="0" fontId="45" fillId="0" borderId="0"/>
    <xf numFmtId="0" fontId="45" fillId="0" borderId="0"/>
    <xf numFmtId="352" fontId="45" fillId="0" borderId="0"/>
    <xf numFmtId="0" fontId="45" fillId="0" borderId="0"/>
    <xf numFmtId="0" fontId="149" fillId="0" borderId="0"/>
    <xf numFmtId="0" fontId="149"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8" fontId="150" fillId="0" borderId="0" applyFont="0" applyFill="0" applyBorder="0" applyAlignment="0"/>
    <xf numFmtId="38" fontId="150" fillId="0" borderId="0" applyFont="0" applyFill="0" applyBorder="0" applyAlignment="0"/>
    <xf numFmtId="211" fontId="45" fillId="0" borderId="0" applyFont="0" applyFill="0" applyBorder="0" applyAlignment="0"/>
    <xf numFmtId="40" fontId="150" fillId="0" borderId="0" applyFont="0" applyFill="0" applyBorder="0" applyAlignment="0"/>
    <xf numFmtId="40" fontId="150" fillId="0" borderId="0" applyFont="0" applyFill="0" applyBorder="0" applyAlignment="0"/>
    <xf numFmtId="302" fontId="150" fillId="0" borderId="0" applyFont="0" applyFill="0" applyBorder="0" applyAlignment="0"/>
    <xf numFmtId="302" fontId="150" fillId="0" borderId="0" applyFont="0" applyFill="0" applyBorder="0" applyAlignment="0"/>
    <xf numFmtId="0" fontId="45" fillId="0" borderId="0"/>
    <xf numFmtId="0" fontId="3" fillId="0" borderId="0"/>
    <xf numFmtId="0" fontId="3" fillId="0" borderId="0"/>
    <xf numFmtId="0" fontId="3" fillId="0" borderId="0"/>
    <xf numFmtId="0" fontId="45" fillId="0" borderId="0"/>
    <xf numFmtId="0" fontId="45" fillId="0" borderId="0"/>
    <xf numFmtId="0" fontId="45" fillId="0" borderId="0"/>
    <xf numFmtId="0" fontId="45" fillId="0" borderId="0"/>
    <xf numFmtId="0" fontId="45" fillId="0" borderId="0"/>
    <xf numFmtId="0" fontId="3" fillId="0" borderId="0"/>
    <xf numFmtId="0" fontId="3" fillId="0" borderId="0"/>
    <xf numFmtId="0" fontId="3" fillId="0" borderId="0"/>
    <xf numFmtId="0" fontId="3" fillId="0" borderId="0"/>
    <xf numFmtId="0" fontId="45" fillId="0" borderId="0"/>
    <xf numFmtId="0" fontId="45"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45" fillId="0" borderId="0"/>
    <xf numFmtId="0" fontId="45" fillId="0" borderId="0"/>
    <xf numFmtId="0" fontId="45" fillId="0" borderId="0"/>
    <xf numFmtId="0" fontId="45" fillId="0" borderId="0"/>
    <xf numFmtId="0" fontId="241" fillId="0" borderId="0"/>
    <xf numFmtId="0" fontId="3" fillId="0" borderId="0"/>
    <xf numFmtId="0" fontId="3" fillId="0" borderId="0"/>
    <xf numFmtId="0" fontId="138" fillId="0" borderId="0"/>
    <xf numFmtId="0" fontId="45" fillId="0" borderId="0"/>
    <xf numFmtId="0" fontId="269" fillId="0" borderId="0">
      <alignment wrapText="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273" fontId="3" fillId="0" borderId="0"/>
    <xf numFmtId="273" fontId="3" fillId="0" borderId="0"/>
    <xf numFmtId="273" fontId="3" fillId="0" borderId="0"/>
    <xf numFmtId="0" fontId="45" fillId="0" borderId="0"/>
    <xf numFmtId="0" fontId="3"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0" borderId="0"/>
    <xf numFmtId="0" fontId="3" fillId="0" borderId="0"/>
    <xf numFmtId="0" fontId="3" fillId="0" borderId="0"/>
    <xf numFmtId="0" fontId="241"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41" fillId="0" borderId="0"/>
    <xf numFmtId="0" fontId="241" fillId="0" borderId="0"/>
    <xf numFmtId="0" fontId="3" fillId="0" borderId="0"/>
    <xf numFmtId="0" fontId="45" fillId="0" borderId="0"/>
    <xf numFmtId="0" fontId="3" fillId="0" borderId="0"/>
    <xf numFmtId="0" fontId="3" fillId="0" borderId="0"/>
    <xf numFmtId="0" fontId="45" fillId="0" borderId="0"/>
    <xf numFmtId="0" fontId="45" fillId="0" borderId="0"/>
    <xf numFmtId="0" fontId="242" fillId="0" borderId="0"/>
    <xf numFmtId="0" fontId="270" fillId="0" borderId="0"/>
    <xf numFmtId="0" fontId="3" fillId="0" borderId="0"/>
    <xf numFmtId="0" fontId="150" fillId="0" borderId="0"/>
    <xf numFmtId="0" fontId="45" fillId="0" borderId="0"/>
    <xf numFmtId="0" fontId="45" fillId="0" borderId="0"/>
    <xf numFmtId="0" fontId="3" fillId="0" borderId="0"/>
    <xf numFmtId="0" fontId="45" fillId="0" borderId="0"/>
    <xf numFmtId="0" fontId="45" fillId="0" borderId="0"/>
    <xf numFmtId="0" fontId="3" fillId="0" borderId="0"/>
    <xf numFmtId="0" fontId="45" fillId="0" borderId="0"/>
    <xf numFmtId="0" fontId="45" fillId="0" borderId="0"/>
    <xf numFmtId="0" fontId="45" fillId="0" borderId="0"/>
    <xf numFmtId="0" fontId="123" fillId="0" borderId="0"/>
    <xf numFmtId="0" fontId="45" fillId="0" borderId="0"/>
    <xf numFmtId="0" fontId="140"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211" fontId="216" fillId="0" borderId="0" applyNumberFormat="0" applyFill="0" applyBorder="0" applyAlignment="0" applyProtection="0"/>
    <xf numFmtId="353" fontId="163" fillId="0" borderId="0">
      <alignment horizontal="right"/>
    </xf>
    <xf numFmtId="353" fontId="163" fillId="0" borderId="0">
      <alignment horizontal="right"/>
    </xf>
    <xf numFmtId="0" fontId="45" fillId="0" borderId="0"/>
    <xf numFmtId="1" fontId="193" fillId="0" borderId="0" applyFont="0" applyFill="0" applyBorder="0" applyAlignment="0" applyProtection="0">
      <alignment horizontal="center"/>
    </xf>
    <xf numFmtId="354" fontId="150" fillId="0" borderId="0" applyFont="0" applyFill="0" applyBorder="0" applyAlignment="0" applyProtection="0"/>
    <xf numFmtId="354" fontId="150" fillId="0" borderId="0" applyFont="0" applyFill="0" applyBorder="0" applyAlignment="0" applyProtection="0"/>
    <xf numFmtId="41" fontId="271" fillId="0" borderId="0"/>
    <xf numFmtId="211" fontId="45" fillId="0" borderId="0">
      <alignment horizontal="right"/>
    </xf>
    <xf numFmtId="211" fontId="45" fillId="0" borderId="0">
      <alignment horizontal="right"/>
    </xf>
    <xf numFmtId="211" fontId="150" fillId="0" borderId="0"/>
    <xf numFmtId="211" fontId="150" fillId="0" borderId="0"/>
    <xf numFmtId="0" fontId="45" fillId="0" borderId="0"/>
    <xf numFmtId="40" fontId="150" fillId="0" borderId="0"/>
    <xf numFmtId="40" fontId="150" fillId="0" borderId="0"/>
    <xf numFmtId="355" fontId="45" fillId="0" borderId="0"/>
    <xf numFmtId="38" fontId="45" fillId="0" borderId="0"/>
    <xf numFmtId="0" fontId="45" fillId="0" borderId="0"/>
    <xf numFmtId="0" fontId="45" fillId="0" borderId="0"/>
    <xf numFmtId="40" fontId="216" fillId="0" borderId="0">
      <alignment horizontal="left"/>
    </xf>
    <xf numFmtId="0" fontId="45" fillId="0" borderId="0"/>
    <xf numFmtId="0" fontId="45" fillId="0" borderId="0"/>
    <xf numFmtId="300" fontId="272" fillId="0" borderId="0">
      <alignment horizontal="right"/>
    </xf>
    <xf numFmtId="0" fontId="45" fillId="0" borderId="0"/>
    <xf numFmtId="0" fontId="193" fillId="0" borderId="0"/>
    <xf numFmtId="0" fontId="45" fillId="0" borderId="0"/>
    <xf numFmtId="0" fontId="45" fillId="0" borderId="0"/>
    <xf numFmtId="39" fontId="150" fillId="0" borderId="0"/>
    <xf numFmtId="0" fontId="45" fillId="0" borderId="0"/>
    <xf numFmtId="40" fontId="45" fillId="0" borderId="0" applyBorder="0">
      <alignment horizontal="right"/>
    </xf>
    <xf numFmtId="40" fontId="45" fillId="0" borderId="0" applyBorder="0">
      <alignment horizontal="right"/>
    </xf>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211" fontId="150" fillId="0" borderId="0" applyFont="0" applyFill="0" applyBorder="0" applyAlignment="0" applyProtection="0"/>
    <xf numFmtId="211" fontId="150"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56" fontId="73" fillId="0" borderId="0" applyFill="0" applyBorder="0" applyProtection="0">
      <alignment horizontal="center"/>
    </xf>
    <xf numFmtId="40" fontId="45" fillId="0" borderId="0" applyFont="0" applyFill="0" applyBorder="0" applyAlignment="0" applyProtection="0">
      <alignment horizontal="center"/>
    </xf>
    <xf numFmtId="40" fontId="45" fillId="0" borderId="0" applyFont="0" applyFill="0" applyBorder="0" applyAlignment="0" applyProtection="0">
      <alignment horizontal="center"/>
    </xf>
    <xf numFmtId="0" fontId="45" fillId="0" borderId="0"/>
    <xf numFmtId="0" fontId="45" fillId="0" borderId="0"/>
    <xf numFmtId="0" fontId="45" fillId="0" borderId="0"/>
    <xf numFmtId="0" fontId="45" fillId="0" borderId="0"/>
    <xf numFmtId="43" fontId="43" fillId="0" borderId="0" applyFont="0" applyFill="0" applyBorder="0" applyAlignment="0" applyProtection="0"/>
    <xf numFmtId="0" fontId="45" fillId="0" borderId="0"/>
    <xf numFmtId="0" fontId="45" fillId="0" borderId="0"/>
    <xf numFmtId="0" fontId="45" fillId="0" borderId="0"/>
    <xf numFmtId="0" fontId="273" fillId="0" borderId="0">
      <alignment horizontal="left" vertical="top"/>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3" fillId="0" borderId="0" applyNumberFormat="0" applyFill="0" applyBorder="0" applyAlignment="0" applyProtection="0"/>
    <xf numFmtId="357" fontId="150" fillId="0" borderId="0"/>
    <xf numFmtId="357" fontId="150" fillId="0" borderId="0"/>
    <xf numFmtId="0" fontId="45" fillId="0" borderId="0"/>
    <xf numFmtId="0" fontId="45" fillId="0" borderId="0"/>
    <xf numFmtId="14" fontId="128" fillId="0" borderId="0">
      <alignment horizontal="center" wrapText="1"/>
      <protection locked="0"/>
    </xf>
    <xf numFmtId="0" fontId="45" fillId="0" borderId="0"/>
    <xf numFmtId="0" fontId="45" fillId="0" borderId="0"/>
    <xf numFmtId="0" fontId="244" fillId="0" borderId="0"/>
    <xf numFmtId="358" fontId="45" fillId="0" borderId="0" applyFont="0" applyFill="0" applyBorder="0" applyAlignment="0" applyProtection="0"/>
    <xf numFmtId="359"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336" fontId="150" fillId="0" borderId="0" applyFont="0" applyFill="0" applyBorder="0" applyAlignment="0"/>
    <xf numFmtId="360" fontId="75" fillId="0" borderId="0" applyFont="0" applyFill="0" applyBorder="0" applyAlignment="0" applyProtection="0"/>
    <xf numFmtId="165" fontId="275" fillId="0" borderId="0" applyFont="0" applyFill="0" applyBorder="0" applyAlignment="0" applyProtection="0"/>
    <xf numFmtId="0" fontId="45" fillId="0" borderId="0"/>
    <xf numFmtId="0" fontId="45" fillId="0" borderId="0"/>
    <xf numFmtId="0" fontId="45" fillId="0" borderId="0"/>
    <xf numFmtId="361" fontId="45" fillId="0" borderId="0" applyFont="0" applyFill="0" applyBorder="0" applyAlignment="0" applyProtection="0"/>
    <xf numFmtId="362" fontId="45" fillId="0" borderId="0" applyFont="0" applyFill="0" applyBorder="0" applyAlignment="0" applyProtection="0"/>
    <xf numFmtId="304" fontId="45" fillId="0" borderId="0" applyFont="0" applyFill="0" applyBorder="0" applyAlignment="0" applyProtection="0"/>
    <xf numFmtId="306" fontId="43" fillId="0" borderId="0" applyFont="0" applyFill="0" applyBorder="0" applyAlignment="0" applyProtection="0"/>
    <xf numFmtId="309" fontId="43" fillId="0" borderId="0" applyFont="0" applyFill="0" applyBorder="0" applyAlignment="0" applyProtection="0"/>
    <xf numFmtId="224" fontId="43" fillId="0" borderId="0" applyFont="0" applyFill="0" applyBorder="0" applyAlignment="0" applyProtection="0"/>
    <xf numFmtId="311" fontId="45" fillId="0" borderId="0" applyFont="0" applyFill="0" applyBorder="0" applyAlignment="0" applyProtection="0"/>
    <xf numFmtId="0" fontId="45" fillId="0" borderId="0"/>
    <xf numFmtId="9" fontId="3" fillId="0" borderId="0" applyFont="0" applyFill="0" applyBorder="0" applyAlignment="0" applyProtection="0"/>
    <xf numFmtId="9" fontId="3" fillId="0" borderId="0" applyFont="0" applyFill="0" applyBorder="0" applyAlignment="0" applyProtection="0"/>
    <xf numFmtId="0" fontId="45" fillId="0" borderId="0"/>
    <xf numFmtId="0" fontId="45"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1" fillId="0" borderId="0" applyFont="0" applyFill="0" applyBorder="0" applyAlignment="0" applyProtection="0"/>
    <xf numFmtId="9" fontId="45" fillId="0" borderId="0" applyFont="0" applyFill="0" applyBorder="0" applyAlignment="0" applyProtection="0"/>
    <xf numFmtId="9" fontId="3" fillId="0" borderId="0" applyFont="0" applyFill="0" applyBorder="0" applyAlignment="0" applyProtection="0"/>
    <xf numFmtId="9" fontId="45" fillId="0" borderId="0" applyFont="0" applyFill="0" applyBorder="0" applyAlignment="0" applyProtection="0"/>
    <xf numFmtId="0" fontId="45" fillId="0" borderId="0"/>
    <xf numFmtId="9" fontId="45" fillId="0" borderId="0" applyFont="0" applyFill="0" applyBorder="0" applyAlignment="0" applyProtection="0"/>
    <xf numFmtId="0" fontId="45" fillId="0" borderId="0"/>
    <xf numFmtId="9" fontId="45" fillId="0" borderId="0" applyFont="0" applyFill="0" applyBorder="0" applyAlignment="0" applyProtection="0"/>
    <xf numFmtId="0" fontId="45" fillId="0" borderId="0"/>
    <xf numFmtId="9" fontId="4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5" fillId="0" borderId="0"/>
    <xf numFmtId="9" fontId="45" fillId="0" borderId="0" applyFont="0" applyFill="0" applyBorder="0" applyAlignment="0" applyProtection="0"/>
    <xf numFmtId="9" fontId="146" fillId="0" borderId="0" applyFont="0" applyFill="0" applyBorder="0" applyAlignment="0" applyProtection="0"/>
    <xf numFmtId="9" fontId="140" fillId="0" borderId="0" applyFont="0" applyFill="0" applyBorder="0" applyAlignment="0" applyProtection="0"/>
    <xf numFmtId="0" fontId="45" fillId="0" borderId="0"/>
    <xf numFmtId="9" fontId="45" fillId="0" borderId="0" applyFont="0" applyFill="0" applyBorder="0" applyAlignment="0" applyProtection="0"/>
    <xf numFmtId="9" fontId="214"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336" fontId="193" fillId="0" borderId="0" applyFont="0" applyFill="0" applyBorder="0" applyAlignment="0" applyProtection="0">
      <alignment horizontal="center"/>
    </xf>
    <xf numFmtId="0" fontId="45" fillId="0" borderId="0"/>
    <xf numFmtId="363" fontId="128" fillId="0" borderId="0" applyFont="0" applyFill="0" applyBorder="0" applyProtection="0">
      <alignment horizontal="right"/>
    </xf>
    <xf numFmtId="0" fontId="45" fillId="0" borderId="0"/>
    <xf numFmtId="0" fontId="128"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64" fontId="45" fillId="0" borderId="0" applyFill="0" applyBorder="0">
      <alignment horizontal="right"/>
      <protection locked="0"/>
    </xf>
    <xf numFmtId="0" fontId="43" fillId="0" borderId="0"/>
    <xf numFmtId="0" fontId="280" fillId="0" borderId="0" applyAlignment="0"/>
    <xf numFmtId="0" fontId="3" fillId="0" borderId="0"/>
    <xf numFmtId="0" fontId="285" fillId="0" borderId="0" applyNumberFormat="0" applyFill="0" applyBorder="0" applyAlignment="0" applyProtection="0"/>
  </cellStyleXfs>
  <cellXfs count="1291">
    <xf numFmtId="0" fontId="0" fillId="0" borderId="0" xfId="0"/>
    <xf numFmtId="0" fontId="20" fillId="0" borderId="25" xfId="0" applyFont="1" applyBorder="1" applyProtection="1">
      <protection locked="0" hidden="1"/>
    </xf>
    <xf numFmtId="43" fontId="21" fillId="36" borderId="26" xfId="1" applyFont="1" applyFill="1" applyBorder="1" applyProtection="1">
      <protection locked="0" hidden="1"/>
    </xf>
    <xf numFmtId="167" fontId="22" fillId="36" borderId="26" xfId="0" applyNumberFormat="1" applyFont="1" applyFill="1" applyBorder="1" applyAlignment="1" applyProtection="1">
      <alignment horizontal="right"/>
      <protection locked="0" hidden="1"/>
    </xf>
    <xf numFmtId="43" fontId="21" fillId="36" borderId="0" xfId="1" applyFont="1" applyFill="1" applyProtection="1">
      <protection locked="0" hidden="1"/>
    </xf>
    <xf numFmtId="43" fontId="21" fillId="36" borderId="25" xfId="1" applyFont="1" applyFill="1" applyBorder="1" applyProtection="1">
      <protection locked="0" hidden="1"/>
    </xf>
    <xf numFmtId="0" fontId="22" fillId="36" borderId="25" xfId="0" applyFont="1" applyFill="1" applyBorder="1" applyAlignment="1" applyProtection="1">
      <alignment horizontal="right"/>
      <protection locked="0" hidden="1"/>
    </xf>
    <xf numFmtId="0" fontId="2" fillId="0" borderId="25" xfId="44" applyBorder="1" applyProtection="1">
      <protection locked="0" hidden="1"/>
    </xf>
    <xf numFmtId="0" fontId="20" fillId="0" borderId="25" xfId="44" applyFont="1" applyBorder="1" applyProtection="1">
      <protection locked="0" hidden="1"/>
    </xf>
    <xf numFmtId="0" fontId="20" fillId="0" borderId="25" xfId="44" applyFont="1" applyBorder="1" applyAlignment="1" applyProtection="1">
      <alignment horizontal="center"/>
      <protection locked="0" hidden="1"/>
    </xf>
    <xf numFmtId="0" fontId="2" fillId="0" borderId="0" xfId="44" applyProtection="1">
      <protection locked="0" hidden="1"/>
    </xf>
    <xf numFmtId="0" fontId="25" fillId="0" borderId="0" xfId="44" applyFont="1" applyProtection="1">
      <protection locked="0" hidden="1"/>
    </xf>
    <xf numFmtId="0" fontId="2" fillId="0" borderId="0" xfId="44" applyAlignment="1" applyProtection="1">
      <alignment horizontal="center"/>
      <protection locked="0" hidden="1"/>
    </xf>
    <xf numFmtId="0" fontId="27" fillId="0" borderId="0" xfId="44" applyFont="1" applyAlignment="1" applyProtection="1">
      <alignment horizontal="center"/>
      <protection locked="0" hidden="1"/>
    </xf>
    <xf numFmtId="168" fontId="28" fillId="0" borderId="0" xfId="44" applyNumberFormat="1" applyFont="1" applyAlignment="1" applyProtection="1">
      <alignment horizontal="center"/>
      <protection locked="0" hidden="1"/>
    </xf>
    <xf numFmtId="0" fontId="29" fillId="0" borderId="0" xfId="44" applyFont="1" applyProtection="1">
      <protection locked="0" hidden="1"/>
    </xf>
    <xf numFmtId="0" fontId="30" fillId="0" borderId="0" xfId="44" applyFont="1" applyProtection="1">
      <protection locked="0" hidden="1"/>
    </xf>
    <xf numFmtId="43" fontId="30" fillId="0" borderId="0" xfId="45" applyFont="1" applyProtection="1">
      <protection locked="0" hidden="1"/>
    </xf>
    <xf numFmtId="0" fontId="31" fillId="0" borderId="0" xfId="0" applyFont="1" applyProtection="1">
      <protection locked="0" hidden="1"/>
    </xf>
    <xf numFmtId="0" fontId="31" fillId="0" borderId="25" xfId="0" applyFont="1" applyBorder="1" applyProtection="1">
      <protection locked="0" hidden="1"/>
    </xf>
    <xf numFmtId="0" fontId="31" fillId="0" borderId="25" xfId="0" applyFont="1" applyBorder="1" applyAlignment="1" applyProtection="1">
      <alignment horizontal="left"/>
      <protection locked="0" hidden="1"/>
    </xf>
    <xf numFmtId="43" fontId="32" fillId="0" borderId="0" xfId="1" applyFont="1" applyAlignment="1">
      <alignment horizontal="center" wrapText="1"/>
    </xf>
    <xf numFmtId="0" fontId="31" fillId="0" borderId="0" xfId="0" applyFont="1"/>
    <xf numFmtId="0" fontId="31" fillId="36" borderId="26" xfId="0" applyFont="1" applyFill="1" applyBorder="1" applyProtection="1">
      <protection locked="0" hidden="1"/>
    </xf>
    <xf numFmtId="0" fontId="31" fillId="36" borderId="26" xfId="0" applyFont="1" applyFill="1" applyBorder="1" applyAlignment="1" applyProtection="1">
      <alignment horizontal="left"/>
      <protection locked="0" hidden="1"/>
    </xf>
    <xf numFmtId="0" fontId="33" fillId="0" borderId="0" xfId="0" applyFont="1" applyProtection="1">
      <protection locked="0" hidden="1"/>
    </xf>
    <xf numFmtId="0" fontId="31" fillId="36" borderId="0" xfId="0" applyFont="1" applyFill="1" applyProtection="1">
      <protection locked="0" hidden="1"/>
    </xf>
    <xf numFmtId="0" fontId="31" fillId="36" borderId="0" xfId="0" applyFont="1" applyFill="1" applyAlignment="1" applyProtection="1">
      <alignment horizontal="left"/>
      <protection locked="0" hidden="1"/>
    </xf>
    <xf numFmtId="0" fontId="31" fillId="36" borderId="25" xfId="0" applyFont="1" applyFill="1" applyBorder="1" applyProtection="1">
      <protection locked="0" hidden="1"/>
    </xf>
    <xf numFmtId="0" fontId="31" fillId="36" borderId="25" xfId="0" applyFont="1" applyFill="1" applyBorder="1" applyAlignment="1" applyProtection="1">
      <alignment horizontal="left"/>
      <protection locked="0" hidden="1"/>
    </xf>
    <xf numFmtId="164" fontId="31" fillId="0" borderId="0" xfId="0" applyNumberFormat="1" applyFont="1"/>
    <xf numFmtId="0" fontId="31" fillId="34" borderId="20" xfId="0" applyFont="1" applyFill="1" applyBorder="1"/>
    <xf numFmtId="0" fontId="22" fillId="0" borderId="0" xfId="0" applyFont="1"/>
    <xf numFmtId="0" fontId="31" fillId="0" borderId="25" xfId="44" applyFont="1" applyBorder="1" applyProtection="1">
      <protection locked="0" hidden="1"/>
    </xf>
    <xf numFmtId="43" fontId="32" fillId="0" borderId="0" xfId="45" applyFont="1" applyAlignment="1" applyProtection="1">
      <alignment horizontal="center" wrapText="1"/>
      <protection locked="0" hidden="1"/>
    </xf>
    <xf numFmtId="0" fontId="31" fillId="0" borderId="0" xfId="44" applyFont="1" applyProtection="1">
      <protection locked="0" hidden="1"/>
    </xf>
    <xf numFmtId="0" fontId="31" fillId="0" borderId="0" xfId="44" applyFont="1" applyAlignment="1" applyProtection="1">
      <alignment horizontal="center"/>
      <protection locked="0" hidden="1"/>
    </xf>
    <xf numFmtId="0" fontId="36" fillId="0" borderId="0" xfId="44" applyFont="1" applyProtection="1">
      <protection locked="0" hidden="1"/>
    </xf>
    <xf numFmtId="43" fontId="31" fillId="0" borderId="0" xfId="45" applyFont="1" applyProtection="1">
      <protection locked="0" hidden="1"/>
    </xf>
    <xf numFmtId="164" fontId="31" fillId="0" borderId="0" xfId="1" applyNumberFormat="1" applyFont="1"/>
    <xf numFmtId="164" fontId="31" fillId="34" borderId="20" xfId="0" applyNumberFormat="1" applyFont="1" applyFill="1" applyBorder="1"/>
    <xf numFmtId="9" fontId="31" fillId="0" borderId="0" xfId="0" applyNumberFormat="1" applyFont="1"/>
    <xf numFmtId="169" fontId="31" fillId="0" borderId="0" xfId="0" applyNumberFormat="1" applyFont="1"/>
    <xf numFmtId="43" fontId="31" fillId="0" borderId="0" xfId="1" applyFont="1" applyAlignment="1">
      <alignment horizontal="left" indent="1"/>
    </xf>
    <xf numFmtId="0" fontId="30" fillId="0" borderId="0" xfId="0" applyFont="1"/>
    <xf numFmtId="43" fontId="37" fillId="0" borderId="0" xfId="1" applyFont="1" applyAlignment="1">
      <alignment horizontal="centerContinuous"/>
    </xf>
    <xf numFmtId="43" fontId="37" fillId="34" borderId="21" xfId="1" applyFont="1" applyFill="1" applyBorder="1" applyAlignment="1">
      <alignment horizontal="centerContinuous"/>
    </xf>
    <xf numFmtId="43" fontId="37" fillId="34" borderId="27" xfId="1" applyFont="1" applyFill="1" applyBorder="1" applyAlignment="1">
      <alignment horizontal="centerContinuous"/>
    </xf>
    <xf numFmtId="43" fontId="37" fillId="34" borderId="22" xfId="1" applyFont="1" applyFill="1" applyBorder="1" applyAlignment="1">
      <alignment horizontal="centerContinuous"/>
    </xf>
    <xf numFmtId="43" fontId="31" fillId="34" borderId="23" xfId="1" applyFont="1" applyFill="1" applyBorder="1" applyAlignment="1">
      <alignment horizontal="left" indent="1"/>
    </xf>
    <xf numFmtId="0" fontId="31" fillId="34" borderId="0" xfId="0" applyFont="1" applyFill="1"/>
    <xf numFmtId="164" fontId="31" fillId="34" borderId="24" xfId="0" applyNumberFormat="1" applyFont="1" applyFill="1" applyBorder="1"/>
    <xf numFmtId="164" fontId="32" fillId="34" borderId="24" xfId="0" applyNumberFormat="1" applyFont="1" applyFill="1" applyBorder="1"/>
    <xf numFmtId="43" fontId="31" fillId="34" borderId="28" xfId="1" applyFont="1" applyFill="1" applyBorder="1" applyAlignment="1">
      <alignment horizontal="left" indent="1"/>
    </xf>
    <xf numFmtId="0" fontId="31" fillId="34" borderId="29" xfId="0" applyFont="1" applyFill="1" applyBorder="1"/>
    <xf numFmtId="164" fontId="31" fillId="34" borderId="30" xfId="0" applyNumberFormat="1" applyFont="1" applyFill="1" applyBorder="1"/>
    <xf numFmtId="9" fontId="39" fillId="0" borderId="0" xfId="43" applyFont="1"/>
    <xf numFmtId="0" fontId="39" fillId="0" borderId="0" xfId="0" applyFont="1"/>
    <xf numFmtId="43" fontId="39" fillId="0" borderId="0" xfId="0" applyNumberFormat="1" applyFont="1"/>
    <xf numFmtId="164" fontId="39" fillId="0" borderId="0" xfId="1" applyNumberFormat="1" applyFont="1"/>
    <xf numFmtId="164" fontId="40" fillId="0" borderId="0" xfId="1" applyNumberFormat="1" applyFont="1"/>
    <xf numFmtId="43" fontId="21" fillId="36" borderId="0" xfId="45" applyFont="1" applyFill="1" applyProtection="1">
      <protection locked="0" hidden="1"/>
    </xf>
    <xf numFmtId="0" fontId="31" fillId="36" borderId="0" xfId="44" applyFont="1" applyFill="1" applyProtection="1">
      <protection locked="0" hidden="1"/>
    </xf>
    <xf numFmtId="0" fontId="35" fillId="36" borderId="0" xfId="44" applyFont="1" applyFill="1" applyProtection="1">
      <protection locked="0" hidden="1"/>
    </xf>
    <xf numFmtId="43" fontId="21" fillId="36" borderId="25" xfId="45" applyFont="1" applyFill="1" applyBorder="1" applyProtection="1">
      <protection locked="0" hidden="1"/>
    </xf>
    <xf numFmtId="0" fontId="31" fillId="36" borderId="25" xfId="44" applyFont="1" applyFill="1" applyBorder="1" applyProtection="1">
      <protection locked="0" hidden="1"/>
    </xf>
    <xf numFmtId="0" fontId="20" fillId="36" borderId="0" xfId="44" applyFont="1" applyFill="1" applyProtection="1">
      <protection locked="0" hidden="1"/>
    </xf>
    <xf numFmtId="0" fontId="2" fillId="36" borderId="0" xfId="44" applyFill="1" applyProtection="1">
      <protection locked="0" hidden="1"/>
    </xf>
    <xf numFmtId="0" fontId="23" fillId="36" borderId="0" xfId="44" applyFont="1" applyFill="1" applyAlignment="1" applyProtection="1">
      <alignment horizontal="center"/>
      <protection locked="0" hidden="1"/>
    </xf>
    <xf numFmtId="0" fontId="24" fillId="36" borderId="0" xfId="44" applyFont="1" applyFill="1" applyProtection="1">
      <protection locked="0" hidden="1"/>
    </xf>
    <xf numFmtId="0" fontId="25" fillId="36" borderId="0" xfId="44" applyFont="1" applyFill="1" applyProtection="1">
      <protection locked="0" hidden="1"/>
    </xf>
    <xf numFmtId="0" fontId="26" fillId="36" borderId="0" xfId="44" applyFont="1" applyFill="1" applyAlignment="1" applyProtection="1">
      <alignment horizontal="center"/>
      <protection locked="0" hidden="1"/>
    </xf>
    <xf numFmtId="0" fontId="20" fillId="36" borderId="25" xfId="44" applyFont="1" applyFill="1" applyBorder="1" applyProtection="1">
      <protection locked="0" hidden="1"/>
    </xf>
    <xf numFmtId="0" fontId="2" fillId="36" borderId="25" xfId="44" applyFill="1" applyBorder="1" applyProtection="1">
      <protection locked="0" hidden="1"/>
    </xf>
    <xf numFmtId="0" fontId="23" fillId="36" borderId="25" xfId="44" applyFont="1" applyFill="1" applyBorder="1" applyAlignment="1" applyProtection="1">
      <alignment horizontal="center"/>
      <protection locked="0" hidden="1"/>
    </xf>
    <xf numFmtId="164" fontId="38" fillId="0" borderId="0" xfId="1" applyNumberFormat="1" applyFont="1"/>
    <xf numFmtId="9" fontId="38" fillId="0" borderId="0" xfId="43" applyFont="1"/>
    <xf numFmtId="7" fontId="56" fillId="0" borderId="0" xfId="59" applyNumberFormat="1" applyFont="1" applyAlignment="1">
      <alignment vertical="top"/>
    </xf>
    <xf numFmtId="0" fontId="57" fillId="0" borderId="0" xfId="59" applyFont="1"/>
    <xf numFmtId="0" fontId="58" fillId="0" borderId="0" xfId="59" applyFont="1"/>
    <xf numFmtId="0" fontId="60" fillId="0" borderId="0" xfId="60" applyFont="1" applyAlignment="1">
      <alignment horizontal="left"/>
    </xf>
    <xf numFmtId="0" fontId="61" fillId="0" borderId="0" xfId="59" applyFont="1"/>
    <xf numFmtId="43" fontId="62" fillId="38" borderId="42" xfId="47" applyFont="1" applyFill="1" applyBorder="1"/>
    <xf numFmtId="43" fontId="21" fillId="38" borderId="42" xfId="47" applyFont="1" applyFill="1" applyBorder="1"/>
    <xf numFmtId="167" fontId="22" fillId="38" borderId="42" xfId="60" applyNumberFormat="1" applyFont="1" applyFill="1" applyBorder="1" applyAlignment="1">
      <alignment horizontal="right"/>
    </xf>
    <xf numFmtId="167" fontId="22" fillId="38" borderId="42" xfId="60" applyNumberFormat="1" applyFont="1" applyFill="1" applyBorder="1"/>
    <xf numFmtId="43" fontId="21" fillId="38" borderId="0" xfId="47" applyFont="1" applyFill="1"/>
    <xf numFmtId="167" fontId="22" fillId="38" borderId="0" xfId="60" applyNumberFormat="1" applyFont="1" applyFill="1"/>
    <xf numFmtId="0" fontId="63" fillId="0" borderId="0" xfId="60" applyFont="1" applyAlignment="1">
      <alignment horizontal="left"/>
    </xf>
    <xf numFmtId="43" fontId="62" fillId="38" borderId="0" xfId="47" applyFont="1" applyFill="1"/>
    <xf numFmtId="43" fontId="31" fillId="38" borderId="0" xfId="47" applyFont="1" applyFill="1"/>
    <xf numFmtId="43" fontId="62" fillId="38" borderId="43" xfId="47" applyFont="1" applyFill="1" applyBorder="1"/>
    <xf numFmtId="43" fontId="21" fillId="38" borderId="43" xfId="47" applyFont="1" applyFill="1" applyBorder="1"/>
    <xf numFmtId="43" fontId="31" fillId="38" borderId="43" xfId="47" applyFont="1" applyFill="1" applyBorder="1"/>
    <xf numFmtId="43" fontId="22" fillId="38" borderId="43" xfId="47" applyFont="1" applyFill="1" applyBorder="1" applyAlignment="1">
      <alignment horizontal="right"/>
    </xf>
    <xf numFmtId="0" fontId="43" fillId="0" borderId="0" xfId="61" applyFont="1"/>
    <xf numFmtId="0" fontId="52" fillId="0" borderId="0" xfId="60" applyFont="1" applyAlignment="1">
      <alignment horizontal="left"/>
    </xf>
    <xf numFmtId="0" fontId="53" fillId="0" borderId="0" xfId="59" applyFont="1"/>
    <xf numFmtId="0" fontId="53" fillId="0" borderId="0" xfId="59" applyFont="1" applyAlignment="1">
      <alignment horizontal="center"/>
    </xf>
    <xf numFmtId="43" fontId="65" fillId="37" borderId="0" xfId="47" applyFont="1" applyFill="1" applyAlignment="1">
      <alignment horizontal="left"/>
    </xf>
    <xf numFmtId="0" fontId="52" fillId="37" borderId="0" xfId="61" applyFont="1" applyFill="1"/>
    <xf numFmtId="0" fontId="52" fillId="37" borderId="0" xfId="62" applyFont="1" applyFill="1"/>
    <xf numFmtId="0" fontId="52" fillId="37" borderId="3" xfId="62" applyFont="1" applyFill="1" applyBorder="1" applyAlignment="1">
      <alignment horizontal="centerContinuous"/>
    </xf>
    <xf numFmtId="0" fontId="52" fillId="37" borderId="4" xfId="62" applyFont="1" applyFill="1" applyBorder="1" applyAlignment="1">
      <alignment horizontal="centerContinuous"/>
    </xf>
    <xf numFmtId="0" fontId="52" fillId="37" borderId="4" xfId="61" applyFont="1" applyFill="1" applyBorder="1" applyAlignment="1">
      <alignment horizontal="centerContinuous"/>
    </xf>
    <xf numFmtId="0" fontId="52" fillId="37" borderId="5" xfId="61" applyFont="1" applyFill="1" applyBorder="1" applyAlignment="1">
      <alignment horizontal="centerContinuous"/>
    </xf>
    <xf numFmtId="0" fontId="52" fillId="37" borderId="0" xfId="59" applyFont="1" applyFill="1"/>
    <xf numFmtId="0" fontId="52" fillId="37" borderId="3" xfId="61" applyFont="1" applyFill="1" applyBorder="1" applyAlignment="1">
      <alignment horizontal="centerContinuous"/>
    </xf>
    <xf numFmtId="0" fontId="52" fillId="37" borderId="0" xfId="62" applyFont="1" applyFill="1" applyAlignment="1">
      <alignment horizontal="center"/>
    </xf>
    <xf numFmtId="0" fontId="52" fillId="34" borderId="19" xfId="61" applyFont="1" applyFill="1" applyBorder="1" applyAlignment="1">
      <alignment horizontal="centerContinuous"/>
    </xf>
    <xf numFmtId="0" fontId="52" fillId="37" borderId="0" xfId="62" applyFont="1" applyFill="1" applyAlignment="1">
      <alignment horizontal="centerContinuous"/>
    </xf>
    <xf numFmtId="43" fontId="66" fillId="37" borderId="0" xfId="47" applyFont="1" applyFill="1" applyAlignment="1">
      <alignment wrapText="1"/>
    </xf>
    <xf numFmtId="43" fontId="67" fillId="37" borderId="0" xfId="47" applyFont="1" applyFill="1" applyAlignment="1">
      <alignment horizontal="left"/>
    </xf>
    <xf numFmtId="43" fontId="65" fillId="37" borderId="0" xfId="47" applyFont="1" applyFill="1" applyAlignment="1">
      <alignment horizontal="center" wrapText="1"/>
    </xf>
    <xf numFmtId="43" fontId="65" fillId="37" borderId="0" xfId="47" applyFont="1" applyFill="1"/>
    <xf numFmtId="43" fontId="65" fillId="34" borderId="32" xfId="47" applyFont="1" applyFill="1" applyBorder="1" applyAlignment="1">
      <alignment horizontal="center" wrapText="1"/>
    </xf>
    <xf numFmtId="0" fontId="53" fillId="0" borderId="0" xfId="61" applyFont="1"/>
    <xf numFmtId="0" fontId="43" fillId="0" borderId="0" xfId="62"/>
    <xf numFmtId="0" fontId="43" fillId="0" borderId="0" xfId="62" applyAlignment="1">
      <alignment horizontal="center"/>
    </xf>
    <xf numFmtId="0" fontId="43" fillId="0" borderId="0" xfId="61" applyFont="1" applyAlignment="1">
      <alignment horizontal="center"/>
    </xf>
    <xf numFmtId="0" fontId="43" fillId="0" borderId="0" xfId="62" applyAlignment="1">
      <alignment vertical="top"/>
    </xf>
    <xf numFmtId="43" fontId="39" fillId="0" borderId="0" xfId="47" applyFont="1" applyAlignment="1">
      <alignment horizontal="left" vertical="top" wrapText="1"/>
    </xf>
    <xf numFmtId="173" fontId="43" fillId="0" borderId="0" xfId="47" applyNumberFormat="1" applyFont="1" applyAlignment="1">
      <alignment horizontal="left" vertical="top" wrapText="1"/>
    </xf>
    <xf numFmtId="7" fontId="43" fillId="0" borderId="0" xfId="63" applyNumberFormat="1" applyFont="1" applyAlignment="1">
      <alignment horizontal="left" vertical="top" wrapText="1"/>
    </xf>
    <xf numFmtId="5" fontId="43" fillId="0" borderId="0" xfId="63" applyNumberFormat="1" applyFont="1" applyAlignment="1">
      <alignment horizontal="center" vertical="top"/>
    </xf>
    <xf numFmtId="166" fontId="68" fillId="0" borderId="0" xfId="63" applyNumberFormat="1" applyFont="1" applyAlignment="1">
      <alignment horizontal="right" vertical="top"/>
    </xf>
    <xf numFmtId="174" fontId="43" fillId="0" borderId="0" xfId="64" applyNumberFormat="1" applyFont="1" applyAlignment="1">
      <alignment horizontal="center" vertical="top"/>
    </xf>
    <xf numFmtId="174" fontId="53" fillId="0" borderId="1" xfId="64" applyNumberFormat="1" applyFont="1" applyBorder="1" applyAlignment="1">
      <alignment horizontal="center" vertical="top"/>
    </xf>
    <xf numFmtId="166" fontId="68" fillId="0" borderId="4" xfId="63" applyNumberFormat="1" applyFont="1" applyBorder="1" applyAlignment="1">
      <alignment horizontal="right" vertical="top"/>
    </xf>
    <xf numFmtId="174" fontId="43" fillId="0" borderId="5" xfId="64" applyNumberFormat="1" applyFont="1" applyBorder="1" applyAlignment="1">
      <alignment horizontal="center" vertical="top"/>
    </xf>
    <xf numFmtId="43" fontId="43" fillId="0" borderId="0" xfId="47" applyFont="1" applyAlignment="1">
      <alignment horizontal="left" vertical="top"/>
    </xf>
    <xf numFmtId="175" fontId="43" fillId="0" borderId="0" xfId="64" applyNumberFormat="1" applyFont="1" applyAlignment="1">
      <alignment horizontal="left" vertical="top"/>
    </xf>
    <xf numFmtId="175" fontId="43" fillId="0" borderId="0" xfId="64" applyNumberFormat="1" applyFont="1" applyAlignment="1">
      <alignment horizontal="right" vertical="top"/>
    </xf>
    <xf numFmtId="174" fontId="43" fillId="0" borderId="0" xfId="64" applyNumberFormat="1" applyFont="1" applyAlignment="1">
      <alignment horizontal="center" vertical="center"/>
    </xf>
    <xf numFmtId="43" fontId="53" fillId="37" borderId="21" xfId="47" applyFont="1" applyFill="1" applyBorder="1"/>
    <xf numFmtId="0" fontId="53" fillId="37" borderId="27" xfId="61" applyFont="1" applyFill="1" applyBorder="1"/>
    <xf numFmtId="174" fontId="43" fillId="37" borderId="27" xfId="47" applyNumberFormat="1" applyFont="1" applyFill="1" applyBorder="1" applyAlignment="1">
      <alignment horizontal="center"/>
    </xf>
    <xf numFmtId="174" fontId="43" fillId="37" borderId="22" xfId="47" applyNumberFormat="1" applyFont="1" applyFill="1" applyBorder="1" applyAlignment="1">
      <alignment horizontal="center"/>
    </xf>
    <xf numFmtId="176" fontId="53" fillId="39" borderId="0" xfId="63" applyNumberFormat="1" applyFont="1" applyFill="1" applyAlignment="1">
      <alignment horizontal="right"/>
    </xf>
    <xf numFmtId="174" fontId="43" fillId="37" borderId="21" xfId="47" applyNumberFormat="1" applyFont="1" applyFill="1" applyBorder="1" applyAlignment="1">
      <alignment horizontal="center"/>
    </xf>
    <xf numFmtId="43" fontId="53" fillId="37" borderId="23" xfId="47" applyFont="1" applyFill="1" applyBorder="1"/>
    <xf numFmtId="0" fontId="53" fillId="37" borderId="0" xfId="61" applyFont="1" applyFill="1"/>
    <xf numFmtId="5" fontId="39" fillId="37" borderId="0" xfId="63" applyNumberFormat="1" applyFont="1" applyFill="1" applyAlignment="1">
      <alignment horizontal="center" vertical="center"/>
    </xf>
    <xf numFmtId="176" fontId="53" fillId="37" borderId="0" xfId="63" applyNumberFormat="1" applyFont="1" applyFill="1" applyAlignment="1">
      <alignment horizontal="right"/>
    </xf>
    <xf numFmtId="174" fontId="43" fillId="37" borderId="0" xfId="47" applyNumberFormat="1" applyFont="1" applyFill="1" applyAlignment="1">
      <alignment horizontal="center"/>
    </xf>
    <xf numFmtId="174" fontId="43" fillId="37" borderId="24" xfId="47" applyNumberFormat="1" applyFont="1" applyFill="1" applyBorder="1" applyAlignment="1">
      <alignment horizontal="center"/>
    </xf>
    <xf numFmtId="5" fontId="39" fillId="34" borderId="32" xfId="63" applyNumberFormat="1" applyFont="1" applyFill="1" applyBorder="1" applyAlignment="1">
      <alignment horizontal="center" vertical="center"/>
    </xf>
    <xf numFmtId="174" fontId="43" fillId="37" borderId="23" xfId="47" applyNumberFormat="1" applyFont="1" applyFill="1" applyBorder="1" applyAlignment="1">
      <alignment horizontal="center"/>
    </xf>
    <xf numFmtId="174" fontId="53" fillId="37" borderId="23" xfId="47" applyNumberFormat="1" applyFont="1" applyFill="1" applyBorder="1" applyAlignment="1">
      <alignment horizontal="center"/>
    </xf>
    <xf numFmtId="174" fontId="53" fillId="37" borderId="0" xfId="47" applyNumberFormat="1" applyFont="1" applyFill="1" applyAlignment="1">
      <alignment horizontal="center"/>
    </xf>
    <xf numFmtId="174" fontId="53" fillId="37" borderId="24" xfId="47" applyNumberFormat="1" applyFont="1" applyFill="1" applyBorder="1" applyAlignment="1">
      <alignment horizontal="center"/>
    </xf>
    <xf numFmtId="43" fontId="53" fillId="37" borderId="28" xfId="47" applyFont="1" applyFill="1" applyBorder="1"/>
    <xf numFmtId="174" fontId="43" fillId="37" borderId="30" xfId="47" applyNumberFormat="1" applyFont="1" applyFill="1" applyBorder="1" applyAlignment="1">
      <alignment horizontal="center"/>
    </xf>
    <xf numFmtId="174" fontId="43" fillId="37" borderId="28" xfId="47" applyNumberFormat="1" applyFont="1" applyFill="1" applyBorder="1" applyAlignment="1">
      <alignment horizontal="center"/>
    </xf>
    <xf numFmtId="174" fontId="43" fillId="37" borderId="29" xfId="47" applyNumberFormat="1" applyFont="1" applyFill="1" applyBorder="1" applyAlignment="1">
      <alignment horizontal="center"/>
    </xf>
    <xf numFmtId="43" fontId="53" fillId="0" borderId="0" xfId="47" applyFont="1"/>
    <xf numFmtId="177" fontId="53" fillId="0" borderId="0" xfId="47" applyNumberFormat="1" applyFont="1" applyAlignment="1">
      <alignment horizontal="right"/>
    </xf>
    <xf numFmtId="0" fontId="69" fillId="0" borderId="0" xfId="61" applyFont="1"/>
    <xf numFmtId="0" fontId="70" fillId="40" borderId="0" xfId="62" applyFont="1" applyFill="1" applyAlignment="1">
      <alignment horizontal="centerContinuous"/>
    </xf>
    <xf numFmtId="0" fontId="53" fillId="41" borderId="0" xfId="61" applyFont="1" applyFill="1" applyAlignment="1">
      <alignment horizontal="right"/>
    </xf>
    <xf numFmtId="0" fontId="53" fillId="0" borderId="0" xfId="62" applyFont="1" applyAlignment="1">
      <alignment horizontal="center"/>
    </xf>
    <xf numFmtId="17" fontId="53" fillId="41" borderId="0" xfId="61" applyNumberFormat="1" applyFont="1" applyFill="1" applyAlignment="1">
      <alignment horizontal="center"/>
    </xf>
    <xf numFmtId="0" fontId="43" fillId="0" borderId="0" xfId="61" applyFont="1" applyAlignment="1">
      <alignment horizontal="right"/>
    </xf>
    <xf numFmtId="5" fontId="43" fillId="0" borderId="0" xfId="63" applyNumberFormat="1" applyFont="1" applyAlignment="1">
      <alignment horizontal="right" vertical="top"/>
    </xf>
    <xf numFmtId="174" fontId="43" fillId="0" borderId="0" xfId="64" applyNumberFormat="1" applyFont="1" applyAlignment="1">
      <alignment horizontal="right"/>
    </xf>
    <xf numFmtId="0" fontId="54" fillId="0" borderId="0" xfId="64" applyFont="1" applyAlignment="1">
      <alignment horizontal="right"/>
    </xf>
    <xf numFmtId="0" fontId="53" fillId="39" borderId="0" xfId="61" applyFont="1" applyFill="1"/>
    <xf numFmtId="174" fontId="53" fillId="39" borderId="0" xfId="47" applyNumberFormat="1" applyFont="1" applyFill="1" applyAlignment="1">
      <alignment horizontal="right"/>
    </xf>
    <xf numFmtId="0" fontId="43" fillId="0" borderId="0" xfId="60" applyFont="1"/>
    <xf numFmtId="0" fontId="43" fillId="0" borderId="0" xfId="60" applyFont="1" applyAlignment="1">
      <alignment horizontal="center"/>
    </xf>
    <xf numFmtId="0" fontId="53" fillId="42" borderId="0" xfId="61" applyFont="1" applyFill="1"/>
    <xf numFmtId="174" fontId="53" fillId="42" borderId="0" xfId="47" applyNumberFormat="1" applyFont="1" applyFill="1" applyAlignment="1">
      <alignment horizontal="right"/>
    </xf>
    <xf numFmtId="0" fontId="43" fillId="0" borderId="0" xfId="59"/>
    <xf numFmtId="0" fontId="71" fillId="0" borderId="0" xfId="62" applyFont="1" applyAlignment="1">
      <alignment horizontal="left"/>
    </xf>
    <xf numFmtId="178" fontId="53" fillId="0" borderId="0" xfId="47" applyNumberFormat="1" applyFont="1" applyAlignment="1">
      <alignment horizontal="center"/>
    </xf>
    <xf numFmtId="0" fontId="70" fillId="43" borderId="0" xfId="62" applyFont="1" applyFill="1" applyAlignment="1">
      <alignment horizontal="centerContinuous"/>
    </xf>
    <xf numFmtId="178" fontId="53" fillId="0" borderId="0" xfId="47" applyNumberFormat="1" applyFont="1" applyAlignment="1">
      <alignment horizontal="right"/>
    </xf>
    <xf numFmtId="0" fontId="53" fillId="43" borderId="0" xfId="61" applyFont="1" applyFill="1" applyAlignment="1">
      <alignment horizontal="right"/>
    </xf>
    <xf numFmtId="17" fontId="53" fillId="43" borderId="0" xfId="61" applyNumberFormat="1" applyFont="1" applyFill="1" applyAlignment="1">
      <alignment horizontal="center"/>
    </xf>
    <xf numFmtId="175" fontId="43" fillId="0" borderId="0" xfId="64" applyNumberFormat="1" applyFont="1" applyAlignment="1">
      <alignment horizontal="left"/>
    </xf>
    <xf numFmtId="179" fontId="43" fillId="0" borderId="0" xfId="61" applyNumberFormat="1" applyFont="1" applyAlignment="1">
      <alignment horizontal="right"/>
    </xf>
    <xf numFmtId="17" fontId="53" fillId="0" borderId="0" xfId="61" applyNumberFormat="1" applyFont="1" applyAlignment="1">
      <alignment horizontal="center"/>
    </xf>
    <xf numFmtId="180" fontId="43" fillId="0" borderId="0" xfId="63" applyNumberFormat="1" applyFont="1" applyAlignment="1">
      <alignment horizontal="right" vertical="top"/>
    </xf>
    <xf numFmtId="181" fontId="54" fillId="0" borderId="0" xfId="64" applyNumberFormat="1" applyFont="1" applyAlignment="1">
      <alignment horizontal="center"/>
    </xf>
    <xf numFmtId="181" fontId="54" fillId="0" borderId="0" xfId="64" applyNumberFormat="1" applyFont="1" applyAlignment="1">
      <alignment horizontal="right"/>
    </xf>
    <xf numFmtId="0" fontId="53" fillId="0" borderId="0" xfId="62" applyFont="1"/>
    <xf numFmtId="177" fontId="53" fillId="0" borderId="0" xfId="47" applyNumberFormat="1" applyFont="1" applyAlignment="1">
      <alignment horizontal="center"/>
    </xf>
    <xf numFmtId="0" fontId="43" fillId="0" borderId="0" xfId="62" applyAlignment="1">
      <alignment horizontal="left" indent="1"/>
    </xf>
    <xf numFmtId="0" fontId="43" fillId="0" borderId="0" xfId="61" applyFont="1" applyAlignment="1">
      <alignment horizontal="left" indent="2"/>
    </xf>
    <xf numFmtId="174" fontId="53" fillId="0" borderId="0" xfId="47" applyNumberFormat="1" applyFont="1" applyAlignment="1">
      <alignment horizontal="right"/>
    </xf>
    <xf numFmtId="175" fontId="43" fillId="0" borderId="0" xfId="62" applyNumberFormat="1"/>
    <xf numFmtId="0" fontId="53" fillId="0" borderId="0" xfId="61" applyFont="1" applyAlignment="1">
      <alignment horizontal="centerContinuous"/>
    </xf>
    <xf numFmtId="0" fontId="72" fillId="0" borderId="0" xfId="62" applyFont="1" applyAlignment="1">
      <alignment horizontal="center"/>
    </xf>
    <xf numFmtId="175" fontId="43" fillId="0" borderId="0" xfId="62" applyNumberFormat="1" applyAlignment="1">
      <alignment horizontal="center"/>
    </xf>
    <xf numFmtId="0" fontId="70" fillId="0" borderId="0" xfId="62" applyFont="1" applyAlignment="1">
      <alignment horizontal="center"/>
    </xf>
    <xf numFmtId="0" fontId="70" fillId="0" borderId="0" xfId="62" applyFont="1" applyAlignment="1">
      <alignment horizontal="centerContinuous"/>
    </xf>
    <xf numFmtId="0" fontId="69" fillId="0" borderId="0" xfId="62" applyFont="1"/>
    <xf numFmtId="174" fontId="42" fillId="0" borderId="0" xfId="62" applyNumberFormat="1" applyFont="1"/>
    <xf numFmtId="0" fontId="73" fillId="0" borderId="0" xfId="62" applyFont="1"/>
    <xf numFmtId="0" fontId="74" fillId="0" borderId="0" xfId="62" applyFont="1" applyAlignment="1">
      <alignment horizontal="center"/>
    </xf>
    <xf numFmtId="0" fontId="74" fillId="0" borderId="0" xfId="62" applyFont="1"/>
    <xf numFmtId="0" fontId="43" fillId="0" borderId="0" xfId="62" applyAlignment="1">
      <alignment wrapText="1"/>
    </xf>
    <xf numFmtId="0" fontId="53" fillId="0" borderId="0" xfId="59" applyFont="1" applyAlignment="1">
      <alignment wrapText="1"/>
    </xf>
    <xf numFmtId="173" fontId="39" fillId="0" borderId="0" xfId="47" applyNumberFormat="1" applyFont="1" applyAlignment="1">
      <alignment horizontal="left" vertical="center"/>
    </xf>
    <xf numFmtId="7" fontId="39" fillId="0" borderId="0" xfId="63" applyNumberFormat="1" applyFont="1" applyAlignment="1">
      <alignment horizontal="center" vertical="center" wrapText="1"/>
    </xf>
    <xf numFmtId="174" fontId="43" fillId="0" borderId="0" xfId="64" applyNumberFormat="1" applyFont="1" applyAlignment="1">
      <alignment horizontal="center" vertical="center" wrapText="1"/>
    </xf>
    <xf numFmtId="164" fontId="55" fillId="0" borderId="0" xfId="47" applyNumberFormat="1" applyFont="1"/>
    <xf numFmtId="43" fontId="43" fillId="0" borderId="0" xfId="47" applyFont="1"/>
    <xf numFmtId="43" fontId="43" fillId="0" borderId="0" xfId="62" applyNumberFormat="1"/>
    <xf numFmtId="173" fontId="43" fillId="0" borderId="0" xfId="61" applyNumberFormat="1" applyFont="1"/>
    <xf numFmtId="164" fontId="43" fillId="0" borderId="0" xfId="47" applyNumberFormat="1" applyFont="1"/>
    <xf numFmtId="0" fontId="52" fillId="34" borderId="3" xfId="61" applyFont="1" applyFill="1" applyBorder="1" applyAlignment="1">
      <alignment horizontal="centerContinuous"/>
    </xf>
    <xf numFmtId="0" fontId="52" fillId="34" borderId="5" xfId="61" applyFont="1" applyFill="1" applyBorder="1" applyAlignment="1">
      <alignment horizontal="centerContinuous"/>
    </xf>
    <xf numFmtId="5" fontId="39" fillId="0" borderId="0" xfId="63" applyNumberFormat="1" applyFont="1" applyAlignment="1">
      <alignment horizontal="center" vertical="center"/>
    </xf>
    <xf numFmtId="166" fontId="68" fillId="0" borderId="0" xfId="63" applyNumberFormat="1" applyFont="1" applyAlignment="1">
      <alignment horizontal="right" vertical="center"/>
    </xf>
    <xf numFmtId="0" fontId="42" fillId="0" borderId="0" xfId="62" applyFont="1"/>
    <xf numFmtId="175" fontId="43" fillId="34" borderId="23" xfId="64" applyNumberFormat="1" applyFont="1" applyFill="1" applyBorder="1" applyAlignment="1">
      <alignment horizontal="right" vertical="top"/>
    </xf>
    <xf numFmtId="175" fontId="43" fillId="34" borderId="24" xfId="64" applyNumberFormat="1" applyFont="1" applyFill="1" applyBorder="1" applyAlignment="1">
      <alignment horizontal="right" vertical="top"/>
    </xf>
    <xf numFmtId="0" fontId="54" fillId="0" borderId="0" xfId="64" applyFont="1" applyAlignment="1">
      <alignment horizontal="center"/>
    </xf>
    <xf numFmtId="174" fontId="53" fillId="37" borderId="27" xfId="47" applyNumberFormat="1" applyFont="1" applyFill="1" applyBorder="1" applyAlignment="1">
      <alignment horizontal="center"/>
    </xf>
    <xf numFmtId="174" fontId="53" fillId="37" borderId="29" xfId="47" applyNumberFormat="1" applyFont="1" applyFill="1" applyBorder="1" applyAlignment="1">
      <alignment horizontal="center"/>
    </xf>
    <xf numFmtId="166" fontId="39" fillId="0" borderId="0" xfId="63" applyNumberFormat="1" applyFont="1" applyAlignment="1">
      <alignment horizontal="center" vertical="center"/>
    </xf>
    <xf numFmtId="166" fontId="39" fillId="37" borderId="27" xfId="63" applyNumberFormat="1" applyFont="1" applyFill="1" applyBorder="1" applyAlignment="1">
      <alignment horizontal="center" vertical="center"/>
    </xf>
    <xf numFmtId="166" fontId="39" fillId="37" borderId="0" xfId="63" applyNumberFormat="1" applyFont="1" applyFill="1" applyAlignment="1">
      <alignment horizontal="center" vertical="center"/>
    </xf>
    <xf numFmtId="166" fontId="39" fillId="37" borderId="29" xfId="63" applyNumberFormat="1" applyFont="1" applyFill="1" applyBorder="1" applyAlignment="1">
      <alignment horizontal="center" vertical="center"/>
    </xf>
    <xf numFmtId="7" fontId="76" fillId="0" borderId="0" xfId="59" applyNumberFormat="1" applyFont="1" applyAlignment="1">
      <alignment vertical="top"/>
    </xf>
    <xf numFmtId="0" fontId="77" fillId="0" borderId="0" xfId="59" applyFont="1"/>
    <xf numFmtId="0" fontId="78" fillId="0" borderId="0" xfId="59" applyFont="1"/>
    <xf numFmtId="14" fontId="78" fillId="0" borderId="0" xfId="59" applyNumberFormat="1" applyFont="1"/>
    <xf numFmtId="0" fontId="34" fillId="0" borderId="0" xfId="60" applyFont="1" applyAlignment="1">
      <alignment horizontal="left"/>
    </xf>
    <xf numFmtId="167" fontId="22" fillId="36" borderId="26" xfId="66" applyNumberFormat="1" applyFont="1" applyFill="1" applyBorder="1" applyAlignment="1">
      <alignment horizontal="right"/>
    </xf>
    <xf numFmtId="0" fontId="80" fillId="0" borderId="0" xfId="67" applyFont="1"/>
    <xf numFmtId="0" fontId="80" fillId="0" borderId="23" xfId="67" applyFont="1" applyBorder="1"/>
    <xf numFmtId="0" fontId="81" fillId="0" borderId="24" xfId="67" applyFont="1" applyBorder="1"/>
    <xf numFmtId="0" fontId="41" fillId="0" borderId="0" xfId="60" applyFont="1" applyAlignment="1">
      <alignment horizontal="left"/>
    </xf>
    <xf numFmtId="0" fontId="82" fillId="0" borderId="0" xfId="67" applyFont="1"/>
    <xf numFmtId="0" fontId="82" fillId="0" borderId="23" xfId="67" applyFont="1" applyBorder="1"/>
    <xf numFmtId="0" fontId="83" fillId="0" borderId="24" xfId="67" applyFont="1" applyBorder="1"/>
    <xf numFmtId="0" fontId="31" fillId="0" borderId="0" xfId="67" applyFont="1"/>
    <xf numFmtId="0" fontId="31" fillId="0" borderId="23" xfId="67" applyFont="1" applyBorder="1"/>
    <xf numFmtId="0" fontId="84" fillId="0" borderId="24" xfId="67" applyFont="1" applyBorder="1"/>
    <xf numFmtId="165" fontId="85" fillId="0" borderId="0" xfId="67" applyNumberFormat="1" applyFont="1"/>
    <xf numFmtId="43" fontId="40" fillId="0" borderId="0" xfId="47" applyFont="1" applyAlignment="1">
      <alignment wrapText="1"/>
    </xf>
    <xf numFmtId="43" fontId="67" fillId="37" borderId="0" xfId="47" applyFont="1" applyFill="1" applyAlignment="1">
      <alignment horizontal="centerContinuous"/>
    </xf>
    <xf numFmtId="43" fontId="40" fillId="37" borderId="0" xfId="47" applyFont="1" applyFill="1" applyAlignment="1">
      <alignment wrapText="1"/>
    </xf>
    <xf numFmtId="43" fontId="67" fillId="37" borderId="0" xfId="47" applyFont="1" applyFill="1" applyAlignment="1">
      <alignment horizontal="center"/>
    </xf>
    <xf numFmtId="43" fontId="67" fillId="37" borderId="0" xfId="47" applyFont="1" applyFill="1" applyAlignment="1">
      <alignment horizontal="center" wrapText="1"/>
    </xf>
    <xf numFmtId="43" fontId="65" fillId="0" borderId="0" xfId="47" applyFont="1" applyAlignment="1">
      <alignment horizontal="center" wrapText="1"/>
    </xf>
    <xf numFmtId="43" fontId="67" fillId="0" borderId="0" xfId="47" applyFont="1" applyAlignment="1">
      <alignment horizontal="center" wrapText="1"/>
    </xf>
    <xf numFmtId="43" fontId="67" fillId="0" borderId="0" xfId="47" applyFont="1" applyAlignment="1">
      <alignment wrapText="1"/>
    </xf>
    <xf numFmtId="0" fontId="39" fillId="0" borderId="0" xfId="67" applyFont="1"/>
    <xf numFmtId="0" fontId="39" fillId="0" borderId="0" xfId="67" applyFont="1" applyAlignment="1">
      <alignment horizontal="center"/>
    </xf>
    <xf numFmtId="43" fontId="39" fillId="0" borderId="0" xfId="47" applyFont="1"/>
    <xf numFmtId="175" fontId="86" fillId="0" borderId="0" xfId="67" applyNumberFormat="1" applyFont="1"/>
    <xf numFmtId="0" fontId="86" fillId="0" borderId="0" xfId="67" applyFont="1" applyAlignment="1">
      <alignment horizontal="center"/>
    </xf>
    <xf numFmtId="177" fontId="68" fillId="0" borderId="0" xfId="67" applyNumberFormat="1" applyFont="1" applyAlignment="1">
      <alignment horizontal="center"/>
    </xf>
    <xf numFmtId="177" fontId="39" fillId="0" borderId="0" xfId="67" quotePrefix="1" applyNumberFormat="1" applyFont="1" applyAlignment="1">
      <alignment horizontal="center"/>
    </xf>
    <xf numFmtId="182" fontId="39" fillId="0" borderId="0" xfId="68" applyNumberFormat="1" applyFont="1" applyAlignment="1">
      <alignment horizontal="center"/>
    </xf>
    <xf numFmtId="182" fontId="39" fillId="0" borderId="0" xfId="67" applyNumberFormat="1" applyFont="1" applyAlignment="1">
      <alignment horizontal="center"/>
    </xf>
    <xf numFmtId="165" fontId="39" fillId="0" borderId="0" xfId="65" applyNumberFormat="1" applyFont="1" applyAlignment="1">
      <alignment horizontal="center"/>
    </xf>
    <xf numFmtId="183" fontId="39" fillId="0" borderId="0" xfId="67" applyNumberFormat="1" applyFont="1" applyAlignment="1">
      <alignment horizontal="center"/>
    </xf>
    <xf numFmtId="170" fontId="39" fillId="0" borderId="0" xfId="67" applyNumberFormat="1" applyFont="1" applyAlignment="1">
      <alignment horizontal="center"/>
    </xf>
    <xf numFmtId="165" fontId="39" fillId="0" borderId="0" xfId="67" applyNumberFormat="1" applyFont="1" applyAlignment="1">
      <alignment horizontal="right"/>
    </xf>
    <xf numFmtId="0" fontId="85" fillId="0" borderId="0" xfId="67" applyFont="1"/>
    <xf numFmtId="175" fontId="43" fillId="0" borderId="0" xfId="67" applyNumberFormat="1" applyFont="1"/>
    <xf numFmtId="175" fontId="87" fillId="0" borderId="0" xfId="67" applyNumberFormat="1" applyFont="1"/>
    <xf numFmtId="184" fontId="39" fillId="0" borderId="0" xfId="67" applyNumberFormat="1" applyFont="1"/>
    <xf numFmtId="0" fontId="86" fillId="0" borderId="0" xfId="67" applyFont="1"/>
    <xf numFmtId="43" fontId="68" fillId="0" borderId="0" xfId="47" applyFont="1"/>
    <xf numFmtId="177" fontId="39" fillId="0" borderId="0" xfId="67" applyNumberFormat="1" applyFont="1" applyAlignment="1">
      <alignment horizontal="center"/>
    </xf>
    <xf numFmtId="183" fontId="39" fillId="0" borderId="0" xfId="68" applyNumberFormat="1" applyFont="1" applyAlignment="1">
      <alignment horizontal="center"/>
    </xf>
    <xf numFmtId="165" fontId="39" fillId="0" borderId="0" xfId="67" applyNumberFormat="1" applyFont="1"/>
    <xf numFmtId="175" fontId="68" fillId="0" borderId="0" xfId="67" applyNumberFormat="1" applyFont="1"/>
    <xf numFmtId="183" fontId="68" fillId="0" borderId="0" xfId="67" applyNumberFormat="1" applyFont="1" applyAlignment="1">
      <alignment horizontal="center"/>
    </xf>
    <xf numFmtId="0" fontId="53" fillId="0" borderId="0" xfId="67" applyFont="1"/>
    <xf numFmtId="165" fontId="52" fillId="41" borderId="21" xfId="69" applyNumberFormat="1" applyFont="1" applyFill="1" applyBorder="1"/>
    <xf numFmtId="165" fontId="52" fillId="41" borderId="22" xfId="69" applyNumberFormat="1" applyFont="1" applyFill="1" applyBorder="1"/>
    <xf numFmtId="43" fontId="43" fillId="0" borderId="21" xfId="47" applyFont="1" applyBorder="1"/>
    <xf numFmtId="0" fontId="43" fillId="0" borderId="27" xfId="67" applyFont="1" applyBorder="1"/>
    <xf numFmtId="177" fontId="43" fillId="0" borderId="27" xfId="67" applyNumberFormat="1" applyFont="1" applyBorder="1" applyAlignment="1">
      <alignment horizontal="center"/>
    </xf>
    <xf numFmtId="183" fontId="43" fillId="0" borderId="27" xfId="63" applyNumberFormat="1" applyFont="1" applyBorder="1" applyAlignment="1">
      <alignment horizontal="center"/>
    </xf>
    <xf numFmtId="183" fontId="43" fillId="0" borderId="22" xfId="63" applyNumberFormat="1" applyFont="1" applyBorder="1" applyAlignment="1">
      <alignment horizontal="center"/>
    </xf>
    <xf numFmtId="165" fontId="52" fillId="41" borderId="23" xfId="69" applyNumberFormat="1" applyFont="1" applyFill="1" applyBorder="1"/>
    <xf numFmtId="165" fontId="52" fillId="41" borderId="24" xfId="69" applyNumberFormat="1" applyFont="1" applyFill="1" applyBorder="1"/>
    <xf numFmtId="43" fontId="43" fillId="0" borderId="23" xfId="47" applyFont="1" applyBorder="1"/>
    <xf numFmtId="0" fontId="43" fillId="0" borderId="0" xfId="67" applyFont="1"/>
    <xf numFmtId="177" fontId="43" fillId="0" borderId="0" xfId="67" applyNumberFormat="1" applyFont="1" applyAlignment="1">
      <alignment horizontal="center"/>
    </xf>
    <xf numFmtId="183" fontId="43" fillId="0" borderId="0" xfId="63" applyNumberFormat="1" applyFont="1" applyAlignment="1">
      <alignment horizontal="center"/>
    </xf>
    <xf numFmtId="183" fontId="43" fillId="0" borderId="24" xfId="63" applyNumberFormat="1" applyFont="1" applyBorder="1" applyAlignment="1">
      <alignment horizontal="center"/>
    </xf>
    <xf numFmtId="165" fontId="52" fillId="41" borderId="17" xfId="69" applyNumberFormat="1" applyFont="1" applyFill="1" applyBorder="1"/>
    <xf numFmtId="165" fontId="52" fillId="41" borderId="44" xfId="69" applyNumberFormat="1" applyFont="1" applyFill="1" applyBorder="1"/>
    <xf numFmtId="43" fontId="43" fillId="0" borderId="28" xfId="47" applyFont="1" applyBorder="1"/>
    <xf numFmtId="0" fontId="43" fillId="0" borderId="29" xfId="67" applyFont="1" applyBorder="1"/>
    <xf numFmtId="177" fontId="43" fillId="0" borderId="29" xfId="67" applyNumberFormat="1" applyFont="1" applyBorder="1" applyAlignment="1">
      <alignment horizontal="center"/>
    </xf>
    <xf numFmtId="183" fontId="43" fillId="0" borderId="29" xfId="63" applyNumberFormat="1" applyFont="1" applyBorder="1" applyAlignment="1">
      <alignment horizontal="center"/>
    </xf>
    <xf numFmtId="183" fontId="43" fillId="0" borderId="30" xfId="63" applyNumberFormat="1" applyFont="1" applyBorder="1" applyAlignment="1">
      <alignment horizontal="center"/>
    </xf>
    <xf numFmtId="0" fontId="73" fillId="0" borderId="0" xfId="67" applyFont="1"/>
    <xf numFmtId="43" fontId="32" fillId="0" borderId="0" xfId="47" applyFont="1" applyAlignment="1">
      <alignment horizontal="centerContinuous"/>
    </xf>
    <xf numFmtId="165" fontId="39" fillId="0" borderId="0" xfId="65" applyNumberFormat="1" applyFont="1"/>
    <xf numFmtId="43" fontId="52" fillId="0" borderId="0" xfId="47" applyFont="1" applyAlignment="1">
      <alignment horizontal="left" indent="2"/>
    </xf>
    <xf numFmtId="0" fontId="52" fillId="0" borderId="0" xfId="67" applyFont="1"/>
    <xf numFmtId="9" fontId="39" fillId="0" borderId="0" xfId="67" applyNumberFormat="1" applyFont="1"/>
    <xf numFmtId="43" fontId="52" fillId="0" borderId="3" xfId="47" applyFont="1" applyBorder="1"/>
    <xf numFmtId="0" fontId="39" fillId="0" borderId="4" xfId="67" applyFont="1" applyBorder="1"/>
    <xf numFmtId="9" fontId="39" fillId="0" borderId="0" xfId="65" applyFont="1"/>
    <xf numFmtId="0" fontId="42" fillId="0" borderId="0" xfId="67" applyFont="1"/>
    <xf numFmtId="0" fontId="70" fillId="43" borderId="17" xfId="62" applyFont="1" applyFill="1" applyBorder="1" applyAlignment="1">
      <alignment horizontal="centerContinuous"/>
    </xf>
    <xf numFmtId="0" fontId="53" fillId="43" borderId="15" xfId="62" applyFont="1" applyFill="1" applyBorder="1" applyAlignment="1">
      <alignment horizontal="centerContinuous"/>
    </xf>
    <xf numFmtId="0" fontId="53" fillId="48" borderId="17" xfId="62" applyFont="1" applyFill="1" applyBorder="1" applyAlignment="1">
      <alignment horizontal="centerContinuous"/>
    </xf>
    <xf numFmtId="0" fontId="70" fillId="48" borderId="17" xfId="62" applyFont="1" applyFill="1" applyBorder="1" applyAlignment="1">
      <alignment horizontal="centerContinuous"/>
    </xf>
    <xf numFmtId="43" fontId="66" fillId="37" borderId="0" xfId="47" applyFont="1" applyFill="1"/>
    <xf numFmtId="43" fontId="67" fillId="37" borderId="0" xfId="47" applyFont="1" applyFill="1" applyAlignment="1">
      <alignment wrapText="1"/>
    </xf>
    <xf numFmtId="43" fontId="66" fillId="37" borderId="19" xfId="47" applyFont="1" applyFill="1" applyBorder="1"/>
    <xf numFmtId="0" fontId="39" fillId="0" borderId="0" xfId="61" applyFont="1"/>
    <xf numFmtId="0" fontId="43" fillId="0" borderId="32" xfId="62" applyBorder="1"/>
    <xf numFmtId="175" fontId="39" fillId="0" borderId="0" xfId="64" applyNumberFormat="1" applyFont="1" applyAlignment="1">
      <alignment horizontal="left" vertical="top" wrapText="1"/>
    </xf>
    <xf numFmtId="0" fontId="22" fillId="0" borderId="0" xfId="44" applyFont="1" applyProtection="1">
      <protection locked="0" hidden="1"/>
    </xf>
    <xf numFmtId="164" fontId="22" fillId="0" borderId="0" xfId="45" applyNumberFormat="1" applyFont="1" applyProtection="1">
      <protection locked="0" hidden="1"/>
    </xf>
    <xf numFmtId="0" fontId="52" fillId="0" borderId="0" xfId="0" quotePrefix="1" applyFont="1" applyAlignment="1" applyProtection="1">
      <alignment horizontal="right" vertical="center"/>
      <protection locked="0" hidden="1"/>
    </xf>
    <xf numFmtId="164" fontId="52" fillId="0" borderId="0" xfId="1" applyNumberFormat="1" applyFont="1" applyAlignment="1" applyProtection="1">
      <alignment horizontal="right" vertical="center"/>
      <protection locked="0" hidden="1"/>
    </xf>
    <xf numFmtId="0" fontId="39" fillId="0" borderId="0" xfId="0" applyFont="1" applyAlignment="1" applyProtection="1">
      <alignment horizontal="right" vertical="center"/>
      <protection locked="0" hidden="1"/>
    </xf>
    <xf numFmtId="0" fontId="52" fillId="0" borderId="0" xfId="0" applyFont="1" applyAlignment="1" applyProtection="1">
      <alignment horizontal="right" vertical="center"/>
      <protection locked="0" hidden="1"/>
    </xf>
    <xf numFmtId="9" fontId="92" fillId="0" borderId="0" xfId="43" applyFont="1"/>
    <xf numFmtId="0" fontId="39" fillId="0" borderId="36" xfId="0" applyFont="1" applyBorder="1"/>
    <xf numFmtId="0" fontId="39" fillId="0" borderId="37" xfId="0" applyFont="1" applyBorder="1"/>
    <xf numFmtId="0" fontId="31" fillId="0" borderId="0" xfId="44" applyFont="1"/>
    <xf numFmtId="0" fontId="31" fillId="0" borderId="25" xfId="44" applyFont="1" applyBorder="1"/>
    <xf numFmtId="43" fontId="20" fillId="0" borderId="25" xfId="45" applyFont="1" applyBorder="1"/>
    <xf numFmtId="43" fontId="31" fillId="0" borderId="25" xfId="45" applyFont="1" applyBorder="1"/>
    <xf numFmtId="0" fontId="43" fillId="0" borderId="0" xfId="71" applyFont="1"/>
    <xf numFmtId="43" fontId="41" fillId="0" borderId="0" xfId="45" applyFont="1"/>
    <xf numFmtId="0" fontId="53" fillId="0" borderId="0" xfId="71" applyFont="1"/>
    <xf numFmtId="182" fontId="93" fillId="0" borderId="0" xfId="71" applyNumberFormat="1" applyFont="1" applyAlignment="1">
      <alignment horizontal="center" vertical="center"/>
    </xf>
    <xf numFmtId="0" fontId="73" fillId="0" borderId="0" xfId="71" applyFont="1"/>
    <xf numFmtId="0" fontId="91" fillId="35" borderId="17" xfId="71" applyFont="1" applyFill="1" applyBorder="1" applyAlignment="1">
      <alignment horizontal="centerContinuous"/>
    </xf>
    <xf numFmtId="0" fontId="95" fillId="35" borderId="31" xfId="71" applyFont="1" applyFill="1" applyBorder="1" applyAlignment="1">
      <alignment horizontal="centerContinuous"/>
    </xf>
    <xf numFmtId="0" fontId="96" fillId="35" borderId="16" xfId="71" applyFont="1" applyFill="1" applyBorder="1" applyAlignment="1">
      <alignment horizontal="centerContinuous"/>
    </xf>
    <xf numFmtId="0" fontId="53" fillId="0" borderId="34" xfId="71" applyFont="1" applyBorder="1"/>
    <xf numFmtId="0" fontId="43" fillId="0" borderId="35" xfId="71" applyFont="1" applyBorder="1"/>
    <xf numFmtId="0" fontId="31" fillId="0" borderId="0" xfId="71" applyFont="1"/>
    <xf numFmtId="0" fontId="93" fillId="0" borderId="36" xfId="71" applyFont="1" applyBorder="1"/>
    <xf numFmtId="43" fontId="97" fillId="0" borderId="0" xfId="45" applyFont="1" applyAlignment="1">
      <alignment horizontal="centerContinuous"/>
    </xf>
    <xf numFmtId="0" fontId="73" fillId="0" borderId="37" xfId="71" applyFont="1" applyBorder="1"/>
    <xf numFmtId="0" fontId="93" fillId="0" borderId="0" xfId="71" applyFont="1"/>
    <xf numFmtId="43" fontId="22" fillId="0" borderId="0" xfId="45" applyFont="1"/>
    <xf numFmtId="43" fontId="97" fillId="0" borderId="0" xfId="45" applyFont="1" applyAlignment="1">
      <alignment horizontal="center"/>
    </xf>
    <xf numFmtId="43" fontId="89" fillId="0" borderId="0" xfId="45" applyFont="1" applyAlignment="1">
      <alignment horizontal="center"/>
    </xf>
    <xf numFmtId="43" fontId="98" fillId="0" borderId="0" xfId="45" applyFont="1" applyAlignment="1">
      <alignment horizontal="left"/>
    </xf>
    <xf numFmtId="43" fontId="99" fillId="0" borderId="0" xfId="45" applyFont="1" applyAlignment="1">
      <alignment vertical="center"/>
    </xf>
    <xf numFmtId="182" fontId="93" fillId="0" borderId="0" xfId="71" applyNumberFormat="1" applyFont="1"/>
    <xf numFmtId="0" fontId="31" fillId="0" borderId="0" xfId="71" applyFont="1" applyAlignment="1">
      <alignment vertical="center"/>
    </xf>
    <xf numFmtId="0" fontId="30" fillId="0" borderId="0" xfId="71" applyFont="1"/>
    <xf numFmtId="0" fontId="73" fillId="0" borderId="0" xfId="71" applyFont="1" applyAlignment="1">
      <alignment vertical="center"/>
    </xf>
    <xf numFmtId="0" fontId="93" fillId="0" borderId="0" xfId="71" applyFont="1" applyAlignment="1">
      <alignment vertical="center"/>
    </xf>
    <xf numFmtId="0" fontId="93" fillId="0" borderId="38" xfId="71" applyFont="1" applyBorder="1"/>
    <xf numFmtId="0" fontId="73" fillId="0" borderId="18" xfId="71" applyFont="1" applyBorder="1"/>
    <xf numFmtId="0" fontId="93" fillId="0" borderId="18" xfId="71" applyFont="1" applyBorder="1"/>
    <xf numFmtId="0" fontId="31" fillId="0" borderId="18" xfId="71" applyFont="1" applyBorder="1"/>
    <xf numFmtId="0" fontId="73" fillId="0" borderId="39" xfId="71" applyFont="1" applyBorder="1"/>
    <xf numFmtId="43" fontId="32" fillId="0" borderId="0" xfId="45" applyFont="1" applyAlignment="1">
      <alignment horizontal="center" vertical="center" wrapText="1"/>
    </xf>
    <xf numFmtId="43" fontId="97" fillId="0" borderId="34" xfId="45" applyFont="1" applyBorder="1" applyAlignment="1">
      <alignment horizontal="center" wrapText="1"/>
    </xf>
    <xf numFmtId="43" fontId="100" fillId="0" borderId="33" xfId="45" applyFont="1" applyBorder="1" applyAlignment="1">
      <alignment horizontal="center" wrapText="1"/>
    </xf>
    <xf numFmtId="43" fontId="97" fillId="0" borderId="33" xfId="45" applyFont="1" applyBorder="1" applyAlignment="1">
      <alignment horizontal="center" wrapText="1"/>
    </xf>
    <xf numFmtId="43" fontId="100" fillId="0" borderId="35" xfId="45" applyFont="1" applyBorder="1" applyAlignment="1">
      <alignment horizontal="center" wrapText="1"/>
    </xf>
    <xf numFmtId="43" fontId="97" fillId="0" borderId="0" xfId="45" applyFont="1" applyAlignment="1">
      <alignment horizontal="center" wrapText="1"/>
    </xf>
    <xf numFmtId="43" fontId="32" fillId="0" borderId="0" xfId="45" applyFont="1" applyAlignment="1">
      <alignment horizontal="center" wrapText="1"/>
    </xf>
    <xf numFmtId="0" fontId="101" fillId="0" borderId="0" xfId="71" applyFont="1"/>
    <xf numFmtId="43" fontId="100" fillId="0" borderId="0" xfId="45" applyFont="1" applyAlignment="1">
      <alignment horizontal="center" wrapText="1"/>
    </xf>
    <xf numFmtId="0" fontId="53" fillId="0" borderId="36" xfId="71" applyFont="1" applyBorder="1"/>
    <xf numFmtId="0" fontId="43" fillId="0" borderId="37" xfId="71" applyFont="1" applyBorder="1"/>
    <xf numFmtId="0" fontId="43" fillId="0" borderId="38" xfId="71" applyFont="1" applyBorder="1"/>
    <xf numFmtId="0" fontId="43" fillId="0" borderId="18" xfId="71" applyFont="1" applyBorder="1"/>
    <xf numFmtId="0" fontId="43" fillId="0" borderId="39" xfId="71" applyFont="1" applyBorder="1"/>
    <xf numFmtId="43" fontId="89" fillId="0" borderId="0" xfId="45" applyFont="1" applyAlignment="1">
      <alignment horizontal="centerContinuous"/>
    </xf>
    <xf numFmtId="0" fontId="52" fillId="0" borderId="0" xfId="0" applyFont="1" applyAlignment="1" applyProtection="1">
      <alignment horizontal="left" vertical="center"/>
      <protection locked="0" hidden="1"/>
    </xf>
    <xf numFmtId="0" fontId="52" fillId="0" borderId="0" xfId="0" quotePrefix="1" applyFont="1" applyAlignment="1" applyProtection="1">
      <alignment horizontal="left" vertical="center"/>
      <protection locked="0" hidden="1"/>
    </xf>
    <xf numFmtId="0" fontId="39" fillId="0" borderId="0" xfId="0" applyFont="1" applyAlignment="1" applyProtection="1">
      <alignment horizontal="left"/>
      <protection locked="0" hidden="1"/>
    </xf>
    <xf numFmtId="0" fontId="52" fillId="0" borderId="0" xfId="0" applyFont="1" applyAlignment="1" applyProtection="1">
      <alignment horizontal="left"/>
      <protection locked="0" hidden="1"/>
    </xf>
    <xf numFmtId="0" fontId="90" fillId="0" borderId="0" xfId="0" applyFont="1" applyAlignment="1" applyProtection="1">
      <alignment horizontal="left"/>
      <protection locked="0" hidden="1"/>
    </xf>
    <xf numFmtId="0" fontId="52" fillId="0" borderId="20" xfId="0" applyFont="1" applyBorder="1" applyAlignment="1" applyProtection="1">
      <alignment horizontal="left" vertical="center"/>
      <protection locked="0" hidden="1"/>
    </xf>
    <xf numFmtId="183" fontId="30" fillId="0" borderId="0" xfId="71" applyNumberFormat="1" applyFont="1"/>
    <xf numFmtId="43" fontId="93" fillId="34" borderId="17" xfId="45" applyFont="1" applyFill="1" applyBorder="1" applyAlignment="1">
      <alignment vertical="center"/>
    </xf>
    <xf numFmtId="182" fontId="93" fillId="34" borderId="31" xfId="71" applyNumberFormat="1" applyFont="1" applyFill="1" applyBorder="1" applyAlignment="1">
      <alignment vertical="center"/>
    </xf>
    <xf numFmtId="0" fontId="103" fillId="0" borderId="0" xfId="0" applyFont="1" applyAlignment="1" applyProtection="1">
      <alignment horizontal="center" vertical="center"/>
      <protection locked="0" hidden="1"/>
    </xf>
    <xf numFmtId="0" fontId="39" fillId="0" borderId="0" xfId="0" applyFont="1" applyProtection="1">
      <protection locked="0" hidden="1"/>
    </xf>
    <xf numFmtId="0" fontId="52" fillId="0" borderId="0" xfId="0" applyFont="1" applyProtection="1">
      <protection locked="0" hidden="1"/>
    </xf>
    <xf numFmtId="164" fontId="39" fillId="0" borderId="0" xfId="0" applyNumberFormat="1" applyFont="1"/>
    <xf numFmtId="165" fontId="39" fillId="0" borderId="0" xfId="43" applyNumberFormat="1" applyFont="1"/>
    <xf numFmtId="0" fontId="52" fillId="0" borderId="0" xfId="0" applyFont="1" applyAlignment="1" applyProtection="1">
      <alignment vertical="center"/>
      <protection locked="0" hidden="1"/>
    </xf>
    <xf numFmtId="0" fontId="52" fillId="0" borderId="20" xfId="0" applyFont="1" applyBorder="1" applyAlignment="1" applyProtection="1">
      <alignment horizontal="right" vertical="center"/>
      <protection locked="0" hidden="1"/>
    </xf>
    <xf numFmtId="0" fontId="39" fillId="0" borderId="0" xfId="0" applyFont="1" applyAlignment="1" applyProtection="1">
      <alignment horizontal="left" wrapText="1"/>
      <protection locked="0" hidden="1"/>
    </xf>
    <xf numFmtId="0" fontId="104" fillId="36" borderId="0" xfId="44" applyFont="1" applyFill="1" applyAlignment="1" applyProtection="1">
      <alignment horizontal="center"/>
      <protection locked="0" hidden="1"/>
    </xf>
    <xf numFmtId="0" fontId="105" fillId="36" borderId="0" xfId="44" applyFont="1" applyFill="1" applyProtection="1">
      <protection locked="0" hidden="1"/>
    </xf>
    <xf numFmtId="0" fontId="1" fillId="36" borderId="0" xfId="44" applyFont="1" applyFill="1" applyProtection="1">
      <protection locked="0" hidden="1"/>
    </xf>
    <xf numFmtId="0" fontId="106" fillId="36" borderId="0" xfId="44" applyFont="1" applyFill="1" applyAlignment="1" applyProtection="1">
      <alignment horizontal="center"/>
      <protection locked="0" hidden="1"/>
    </xf>
    <xf numFmtId="0" fontId="1" fillId="0" borderId="0" xfId="44" applyFont="1" applyProtection="1">
      <protection locked="0" hidden="1"/>
    </xf>
    <xf numFmtId="0" fontId="107" fillId="36" borderId="0" xfId="44" applyFont="1" applyFill="1" applyAlignment="1" applyProtection="1">
      <alignment horizontal="center"/>
      <protection locked="0" hidden="1"/>
    </xf>
    <xf numFmtId="0" fontId="95" fillId="37" borderId="0" xfId="62" applyFont="1" applyFill="1"/>
    <xf numFmtId="43" fontId="108" fillId="37" borderId="0" xfId="47" applyFont="1" applyFill="1" applyAlignment="1">
      <alignment horizontal="left"/>
    </xf>
    <xf numFmtId="43" fontId="96" fillId="0" borderId="0" xfId="47" applyFont="1" applyAlignment="1">
      <alignment horizontal="left" vertical="top"/>
    </xf>
    <xf numFmtId="0" fontId="60" fillId="0" borderId="0" xfId="72" applyFont="1" applyAlignment="1">
      <alignment horizontal="left"/>
    </xf>
    <xf numFmtId="167" fontId="22" fillId="38" borderId="42" xfId="72" applyNumberFormat="1" applyFont="1" applyFill="1" applyBorder="1"/>
    <xf numFmtId="0" fontId="63" fillId="0" borderId="0" xfId="72" applyFont="1" applyAlignment="1">
      <alignment horizontal="left"/>
    </xf>
    <xf numFmtId="0" fontId="43" fillId="0" borderId="0" xfId="72" applyFont="1"/>
    <xf numFmtId="164" fontId="31" fillId="0" borderId="0" xfId="45" applyNumberFormat="1" applyFont="1" applyProtection="1">
      <protection locked="0" hidden="1"/>
    </xf>
    <xf numFmtId="43" fontId="31" fillId="0" borderId="0" xfId="44" applyNumberFormat="1" applyFont="1" applyProtection="1">
      <protection locked="0" hidden="1"/>
    </xf>
    <xf numFmtId="164" fontId="31" fillId="0" borderId="0" xfId="44" applyNumberFormat="1" applyFont="1" applyProtection="1">
      <protection locked="0" hidden="1"/>
    </xf>
    <xf numFmtId="164" fontId="39" fillId="0" borderId="37" xfId="1" applyNumberFormat="1" applyFont="1" applyBorder="1"/>
    <xf numFmtId="0" fontId="39" fillId="0" borderId="0" xfId="64" applyFont="1" applyAlignment="1">
      <alignment horizontal="justify" vertical="top" wrapText="1"/>
    </xf>
    <xf numFmtId="0" fontId="39" fillId="0" borderId="0" xfId="72" applyFont="1" applyAlignment="1">
      <alignment horizontal="justify" vertical="top" wrapText="1"/>
    </xf>
    <xf numFmtId="0" fontId="110" fillId="0" borderId="0" xfId="0" applyFont="1"/>
    <xf numFmtId="0" fontId="114" fillId="0" borderId="0" xfId="0" applyFont="1"/>
    <xf numFmtId="0" fontId="114" fillId="0" borderId="0" xfId="0" quotePrefix="1" applyFont="1" applyAlignment="1">
      <alignment horizontal="center"/>
    </xf>
    <xf numFmtId="0" fontId="114" fillId="0" borderId="0" xfId="0" quotePrefix="1" applyFont="1" applyAlignment="1">
      <alignment horizontal="left"/>
    </xf>
    <xf numFmtId="0" fontId="111" fillId="0" borderId="0" xfId="0" applyFont="1"/>
    <xf numFmtId="0" fontId="114" fillId="0" borderId="0" xfId="0" applyFont="1" applyAlignment="1">
      <alignment horizontal="right"/>
    </xf>
    <xf numFmtId="0" fontId="114" fillId="0" borderId="0" xfId="0" applyFont="1" applyAlignment="1">
      <alignment horizontal="center"/>
    </xf>
    <xf numFmtId="0" fontId="114" fillId="0" borderId="0" xfId="0" applyFont="1" applyAlignment="1">
      <alignment horizontal="left"/>
    </xf>
    <xf numFmtId="0" fontId="114" fillId="0" borderId="0" xfId="0" quotePrefix="1" applyFont="1" applyAlignment="1">
      <alignment horizontal="right"/>
    </xf>
    <xf numFmtId="0" fontId="112" fillId="0" borderId="0" xfId="0" applyFont="1"/>
    <xf numFmtId="0" fontId="113" fillId="0" borderId="0" xfId="0" applyFont="1"/>
    <xf numFmtId="0" fontId="114" fillId="50" borderId="0" xfId="0" applyFont="1" applyFill="1" applyAlignment="1">
      <alignment horizontal="left"/>
    </xf>
    <xf numFmtId="0" fontId="110" fillId="50" borderId="0" xfId="0" applyFont="1" applyFill="1"/>
    <xf numFmtId="0" fontId="111" fillId="0" borderId="0" xfId="0" applyFont="1" applyAlignment="1">
      <alignment horizontal="center" vertical="center" wrapText="1"/>
    </xf>
    <xf numFmtId="0" fontId="116" fillId="0" borderId="0" xfId="0" applyFont="1" applyAlignment="1">
      <alignment vertical="center"/>
    </xf>
    <xf numFmtId="0" fontId="117" fillId="0" borderId="0" xfId="0" applyFont="1"/>
    <xf numFmtId="0" fontId="110" fillId="0" borderId="0" xfId="0" applyFont="1" applyAlignment="1">
      <alignment horizontal="center" wrapText="1"/>
    </xf>
    <xf numFmtId="0" fontId="113" fillId="0" borderId="0" xfId="0" applyFont="1" applyAlignment="1">
      <alignment horizontal="center" wrapText="1"/>
    </xf>
    <xf numFmtId="0" fontId="111" fillId="0" borderId="0" xfId="0" applyFont="1" applyAlignment="1">
      <alignment horizontal="center"/>
    </xf>
    <xf numFmtId="0" fontId="112" fillId="0" borderId="0" xfId="0" quotePrefix="1" applyFont="1" applyAlignment="1">
      <alignment horizontal="right" vertical="center"/>
    </xf>
    <xf numFmtId="38" fontId="118" fillId="0" borderId="0" xfId="1" applyNumberFormat="1" applyFont="1" applyAlignment="1">
      <alignment horizontal="center" vertical="center"/>
    </xf>
    <xf numFmtId="38" fontId="118" fillId="0" borderId="24" xfId="1" applyNumberFormat="1" applyFont="1" applyBorder="1" applyAlignment="1">
      <alignment horizontal="center" vertical="center"/>
    </xf>
    <xf numFmtId="38" fontId="118" fillId="0" borderId="0" xfId="0" applyNumberFormat="1" applyFont="1" applyAlignment="1">
      <alignment horizontal="center"/>
    </xf>
    <xf numFmtId="38" fontId="111" fillId="0" borderId="0" xfId="0" applyNumberFormat="1" applyFont="1" applyAlignment="1">
      <alignment horizontal="center"/>
    </xf>
    <xf numFmtId="164" fontId="112" fillId="0" borderId="0" xfId="1" applyNumberFormat="1" applyFont="1" applyAlignment="1">
      <alignment horizontal="center" vertical="center"/>
    </xf>
    <xf numFmtId="164" fontId="112" fillId="0" borderId="24" xfId="1" applyNumberFormat="1" applyFont="1" applyBorder="1" applyAlignment="1">
      <alignment horizontal="center" vertical="center"/>
    </xf>
    <xf numFmtId="0" fontId="110" fillId="0" borderId="0" xfId="0" applyFont="1" applyAlignment="1">
      <alignment horizontal="center"/>
    </xf>
    <xf numFmtId="0" fontId="113" fillId="0" borderId="0" xfId="0" applyFont="1" applyAlignment="1">
      <alignment horizontal="right"/>
    </xf>
    <xf numFmtId="6" fontId="113" fillId="0" borderId="0" xfId="1" applyNumberFormat="1" applyFont="1" applyAlignment="1">
      <alignment horizontal="center" vertical="center"/>
    </xf>
    <xf numFmtId="6" fontId="113" fillId="0" borderId="24" xfId="1" applyNumberFormat="1" applyFont="1" applyBorder="1" applyAlignment="1">
      <alignment horizontal="center" vertical="center"/>
    </xf>
    <xf numFmtId="8" fontId="113" fillId="0" borderId="0" xfId="1" applyNumberFormat="1" applyFont="1" applyAlignment="1">
      <alignment horizontal="center" vertical="center"/>
    </xf>
    <xf numFmtId="8" fontId="113" fillId="0" borderId="24" xfId="1" applyNumberFormat="1" applyFont="1" applyBorder="1" applyAlignment="1">
      <alignment horizontal="center" vertical="center"/>
    </xf>
    <xf numFmtId="0" fontId="113" fillId="0" borderId="0" xfId="0" applyFont="1" applyAlignment="1">
      <alignment horizontal="right" vertical="center"/>
    </xf>
    <xf numFmtId="0" fontId="113" fillId="0" borderId="0" xfId="0" applyFont="1" applyAlignment="1">
      <alignment horizontal="center" vertical="center"/>
    </xf>
    <xf numFmtId="0" fontId="112" fillId="0" borderId="0" xfId="0" applyFont="1" applyAlignment="1">
      <alignment horizontal="right"/>
    </xf>
    <xf numFmtId="6" fontId="112" fillId="0" borderId="0" xfId="1" applyNumberFormat="1" applyFont="1" applyAlignment="1">
      <alignment horizontal="center" vertical="center"/>
    </xf>
    <xf numFmtId="6" fontId="112" fillId="0" borderId="24" xfId="1" applyNumberFormat="1" applyFont="1" applyBorder="1" applyAlignment="1">
      <alignment horizontal="center" vertical="center"/>
    </xf>
    <xf numFmtId="8" fontId="112" fillId="0" borderId="0" xfId="1" applyNumberFormat="1" applyFont="1" applyAlignment="1">
      <alignment horizontal="center" vertical="center"/>
    </xf>
    <xf numFmtId="8" fontId="112" fillId="0" borderId="24" xfId="1" applyNumberFormat="1" applyFont="1" applyBorder="1" applyAlignment="1">
      <alignment horizontal="center" vertical="center"/>
    </xf>
    <xf numFmtId="6" fontId="110" fillId="0" borderId="0" xfId="0" applyNumberFormat="1" applyFont="1" applyAlignment="1">
      <alignment horizontal="center"/>
    </xf>
    <xf numFmtId="6" fontId="110" fillId="0" borderId="24" xfId="0" applyNumberFormat="1" applyFont="1" applyBorder="1" applyAlignment="1">
      <alignment horizontal="center"/>
    </xf>
    <xf numFmtId="8" fontId="110" fillId="0" borderId="0" xfId="0" applyNumberFormat="1" applyFont="1" applyAlignment="1">
      <alignment horizontal="center"/>
    </xf>
    <xf numFmtId="8" fontId="110" fillId="0" borderId="24" xfId="0" applyNumberFormat="1" applyFont="1" applyBorder="1" applyAlignment="1">
      <alignment horizontal="center"/>
    </xf>
    <xf numFmtId="0" fontId="110" fillId="0" borderId="0" xfId="0" applyFont="1" applyAlignment="1">
      <alignment vertical="center"/>
    </xf>
    <xf numFmtId="164" fontId="110" fillId="0" borderId="0" xfId="0" applyNumberFormat="1" applyFont="1" applyAlignment="1">
      <alignment horizontal="center"/>
    </xf>
    <xf numFmtId="164" fontId="110" fillId="0" borderId="24" xfId="0" applyNumberFormat="1" applyFont="1" applyBorder="1" applyAlignment="1">
      <alignment horizontal="center"/>
    </xf>
    <xf numFmtId="43" fontId="110" fillId="0" borderId="0" xfId="0" applyNumberFormat="1" applyFont="1" applyAlignment="1">
      <alignment horizontal="center"/>
    </xf>
    <xf numFmtId="43" fontId="110" fillId="0" borderId="24" xfId="0" applyNumberFormat="1" applyFont="1" applyBorder="1" applyAlignment="1">
      <alignment horizontal="center"/>
    </xf>
    <xf numFmtId="0" fontId="119" fillId="0" borderId="0" xfId="0" applyFont="1" applyAlignment="1">
      <alignment horizontal="right"/>
    </xf>
    <xf numFmtId="165" fontId="112" fillId="0" borderId="0" xfId="43" applyNumberFormat="1" applyFont="1" applyAlignment="1">
      <alignment horizontal="center"/>
    </xf>
    <xf numFmtId="165" fontId="112" fillId="0" borderId="24" xfId="43" applyNumberFormat="1" applyFont="1" applyBorder="1" applyAlignment="1">
      <alignment horizontal="center"/>
    </xf>
    <xf numFmtId="6" fontId="110" fillId="0" borderId="0" xfId="0" applyNumberFormat="1" applyFont="1"/>
    <xf numFmtId="176" fontId="52" fillId="0" borderId="0" xfId="73" applyNumberFormat="1" applyFont="1" applyAlignment="1" applyProtection="1">
      <alignment horizontal="right" vertical="center"/>
      <protection locked="0" hidden="1"/>
    </xf>
    <xf numFmtId="0" fontId="39" fillId="0" borderId="20" xfId="0" applyFont="1" applyBorder="1"/>
    <xf numFmtId="176" fontId="39" fillId="0" borderId="20" xfId="0" applyNumberFormat="1" applyFont="1" applyBorder="1"/>
    <xf numFmtId="0" fontId="52" fillId="0" borderId="0" xfId="0" applyFont="1"/>
    <xf numFmtId="0" fontId="43" fillId="0" borderId="0" xfId="0" applyFont="1" applyAlignment="1">
      <alignment horizontal="center" vertical="top"/>
    </xf>
    <xf numFmtId="174" fontId="43" fillId="0" borderId="0" xfId="64" applyNumberFormat="1" applyFont="1" applyAlignment="1">
      <alignment vertical="top"/>
    </xf>
    <xf numFmtId="174" fontId="43" fillId="0" borderId="29" xfId="64" applyNumberFormat="1" applyFont="1" applyBorder="1" applyAlignment="1">
      <alignment horizontal="center" vertical="top"/>
    </xf>
    <xf numFmtId="174" fontId="43" fillId="0" borderId="30" xfId="64" applyNumberFormat="1" applyFont="1" applyBorder="1" applyAlignment="1">
      <alignment horizontal="center" vertical="top"/>
    </xf>
    <xf numFmtId="0" fontId="39" fillId="0" borderId="28" xfId="0" applyFont="1" applyBorder="1"/>
    <xf numFmtId="0" fontId="39" fillId="0" borderId="30" xfId="0" applyFont="1" applyBorder="1" applyAlignment="1">
      <alignment horizontal="right"/>
    </xf>
    <xf numFmtId="0" fontId="39" fillId="0" borderId="21" xfId="0" applyFont="1" applyBorder="1"/>
    <xf numFmtId="0" fontId="39" fillId="0" borderId="22" xfId="0" applyFont="1" applyBorder="1" applyAlignment="1">
      <alignment horizontal="right"/>
    </xf>
    <xf numFmtId="0" fontId="39" fillId="0" borderId="23" xfId="0" applyFont="1" applyBorder="1"/>
    <xf numFmtId="0" fontId="39" fillId="0" borderId="24" xfId="0" applyFont="1" applyBorder="1" applyAlignment="1">
      <alignment horizontal="right"/>
    </xf>
    <xf numFmtId="0" fontId="43" fillId="0" borderId="0" xfId="61" applyFont="1" applyAlignment="1">
      <alignment vertical="top"/>
    </xf>
    <xf numFmtId="0" fontId="53" fillId="39" borderId="0" xfId="61" applyFont="1" applyFill="1" applyAlignment="1">
      <alignment vertical="top"/>
    </xf>
    <xf numFmtId="0" fontId="43" fillId="0" borderId="0" xfId="60" applyFont="1" applyAlignment="1">
      <alignment vertical="top"/>
    </xf>
    <xf numFmtId="0" fontId="53" fillId="42" borderId="0" xfId="61" applyFont="1" applyFill="1" applyAlignment="1">
      <alignment vertical="top"/>
    </xf>
    <xf numFmtId="0" fontId="71" fillId="0" borderId="0" xfId="62" applyFont="1" applyAlignment="1">
      <alignment horizontal="left" vertical="top"/>
    </xf>
    <xf numFmtId="0" fontId="53" fillId="0" borderId="0" xfId="62" applyFont="1" applyAlignment="1">
      <alignment vertical="top"/>
    </xf>
    <xf numFmtId="0" fontId="69" fillId="0" borderId="0" xfId="61" applyFont="1" applyAlignment="1">
      <alignment vertical="top"/>
    </xf>
    <xf numFmtId="165" fontId="43" fillId="0" borderId="0" xfId="0" applyNumberFormat="1" applyFont="1" applyAlignment="1">
      <alignment horizontal="center"/>
    </xf>
    <xf numFmtId="177" fontId="39" fillId="0" borderId="0" xfId="0" quotePrefix="1" applyNumberFormat="1" applyFont="1" applyAlignment="1">
      <alignment horizontal="center"/>
    </xf>
    <xf numFmtId="165" fontId="43" fillId="0" borderId="0" xfId="0" applyNumberFormat="1" applyFont="1" applyAlignment="1">
      <alignment horizontal="right"/>
    </xf>
    <xf numFmtId="165" fontId="68" fillId="0" borderId="0" xfId="0" applyNumberFormat="1" applyFont="1" applyAlignment="1">
      <alignment horizontal="right"/>
    </xf>
    <xf numFmtId="0" fontId="43" fillId="0" borderId="0" xfId="0" applyFont="1"/>
    <xf numFmtId="165" fontId="52" fillId="0" borderId="0" xfId="0" applyNumberFormat="1" applyFont="1" applyAlignment="1">
      <alignment horizontal="right"/>
    </xf>
    <xf numFmtId="165" fontId="43" fillId="0" borderId="0" xfId="0" applyNumberFormat="1" applyFont="1"/>
    <xf numFmtId="0" fontId="39" fillId="0" borderId="4" xfId="0" applyFont="1" applyBorder="1"/>
    <xf numFmtId="165" fontId="52" fillId="0" borderId="4" xfId="0" applyNumberFormat="1" applyFont="1" applyBorder="1"/>
    <xf numFmtId="0" fontId="39" fillId="0" borderId="5" xfId="0" applyFont="1" applyBorder="1"/>
    <xf numFmtId="165" fontId="52" fillId="0" borderId="0" xfId="0" applyNumberFormat="1" applyFont="1"/>
    <xf numFmtId="165" fontId="42" fillId="0" borderId="0" xfId="0" applyNumberFormat="1" applyFont="1"/>
    <xf numFmtId="0" fontId="39" fillId="47" borderId="0" xfId="0" applyFont="1" applyFill="1" applyAlignment="1">
      <alignment wrapText="1"/>
    </xf>
    <xf numFmtId="0" fontId="39" fillId="0" borderId="0" xfId="0" applyFont="1" applyAlignment="1">
      <alignment wrapText="1"/>
    </xf>
    <xf numFmtId="0" fontId="39" fillId="0" borderId="0" xfId="0" applyFont="1" applyAlignment="1">
      <alignment horizontal="left"/>
    </xf>
    <xf numFmtId="165" fontId="39" fillId="0" borderId="0" xfId="0" applyNumberFormat="1" applyFont="1"/>
    <xf numFmtId="10" fontId="39" fillId="0" borderId="0" xfId="0" applyNumberFormat="1" applyFont="1"/>
    <xf numFmtId="10" fontId="52" fillId="0" borderId="0" xfId="0" applyNumberFormat="1" applyFont="1"/>
    <xf numFmtId="165" fontId="39" fillId="0" borderId="27" xfId="0" applyNumberFormat="1" applyFont="1" applyBorder="1"/>
    <xf numFmtId="0" fontId="39" fillId="0" borderId="29" xfId="0" applyFont="1" applyBorder="1"/>
    <xf numFmtId="0" fontId="88" fillId="0" borderId="0" xfId="0" applyFont="1"/>
    <xf numFmtId="0" fontId="39" fillId="0" borderId="0" xfId="0" quotePrefix="1" applyFont="1"/>
    <xf numFmtId="0" fontId="60" fillId="0" borderId="0" xfId="74" applyFont="1" applyAlignment="1">
      <alignment horizontal="left"/>
    </xf>
    <xf numFmtId="167" fontId="22" fillId="38" borderId="42" xfId="74" applyNumberFormat="1" applyFont="1" applyFill="1" applyBorder="1"/>
    <xf numFmtId="0" fontId="63" fillId="0" borderId="0" xfId="74" applyFont="1" applyAlignment="1">
      <alignment horizontal="left"/>
    </xf>
    <xf numFmtId="0" fontId="22" fillId="38" borderId="25" xfId="0" applyFont="1" applyFill="1" applyBorder="1" applyAlignment="1" applyProtection="1">
      <alignment horizontal="right"/>
      <protection locked="0" hidden="1"/>
    </xf>
    <xf numFmtId="0" fontId="52" fillId="0" borderId="0" xfId="74" applyFont="1" applyAlignment="1">
      <alignment horizontal="left"/>
    </xf>
    <xf numFmtId="43" fontId="66" fillId="0" borderId="0" xfId="47" applyFont="1" applyAlignment="1">
      <alignment horizontal="center" wrapText="1"/>
    </xf>
    <xf numFmtId="0" fontId="43" fillId="0" borderId="0" xfId="62" applyAlignment="1">
      <alignment horizontal="centerContinuous"/>
    </xf>
    <xf numFmtId="173" fontId="71" fillId="0" borderId="0" xfId="47" applyNumberFormat="1" applyFont="1" applyAlignment="1">
      <alignment horizontal="left"/>
    </xf>
    <xf numFmtId="174" fontId="43" fillId="0" borderId="0" xfId="47" applyNumberFormat="1" applyFont="1" applyAlignment="1">
      <alignment horizontal="center"/>
    </xf>
    <xf numFmtId="0" fontId="39" fillId="0" borderId="0" xfId="0" quotePrefix="1" applyFont="1" applyAlignment="1">
      <alignment horizontal="center"/>
    </xf>
    <xf numFmtId="173" fontId="52" fillId="0" borderId="0" xfId="47" applyNumberFormat="1" applyFont="1" applyAlignment="1">
      <alignment horizontal="left" vertical="center"/>
    </xf>
    <xf numFmtId="174" fontId="122" fillId="0" borderId="0" xfId="47" applyNumberFormat="1" applyFont="1" applyAlignment="1">
      <alignment horizontal="center"/>
    </xf>
    <xf numFmtId="0" fontId="55" fillId="0" borderId="0" xfId="62" applyFont="1"/>
    <xf numFmtId="166" fontId="43" fillId="0" borderId="0" xfId="61" applyNumberFormat="1" applyFont="1" applyAlignment="1">
      <alignment horizontal="center"/>
    </xf>
    <xf numFmtId="166" fontId="43" fillId="0" borderId="0" xfId="62" applyNumberFormat="1" applyAlignment="1">
      <alignment horizontal="center"/>
    </xf>
    <xf numFmtId="164" fontId="43" fillId="0" borderId="0" xfId="61" applyNumberFormat="1" applyFont="1" applyAlignment="1">
      <alignment horizontal="center"/>
    </xf>
    <xf numFmtId="166" fontId="43" fillId="0" borderId="0" xfId="63" applyNumberFormat="1" applyFont="1" applyAlignment="1">
      <alignment horizontal="right" vertical="top"/>
    </xf>
    <xf numFmtId="0" fontId="92" fillId="0" borderId="0" xfId="0" applyFont="1"/>
    <xf numFmtId="0" fontId="43" fillId="0" borderId="0" xfId="0" quotePrefix="1" applyFont="1" applyAlignment="1">
      <alignment horizontal="left" indent="1"/>
    </xf>
    <xf numFmtId="0" fontId="44" fillId="0" borderId="0" xfId="74" applyFont="1"/>
    <xf numFmtId="0" fontId="43" fillId="0" borderId="0" xfId="74" applyFont="1"/>
    <xf numFmtId="174" fontId="53" fillId="37" borderId="22" xfId="47" applyNumberFormat="1" applyFont="1" applyFill="1" applyBorder="1" applyAlignment="1">
      <alignment horizontal="center"/>
    </xf>
    <xf numFmtId="174" fontId="53" fillId="37" borderId="30" xfId="47" applyNumberFormat="1" applyFont="1" applyFill="1" applyBorder="1" applyAlignment="1">
      <alignment horizontal="center"/>
    </xf>
    <xf numFmtId="43" fontId="53" fillId="37" borderId="0" xfId="47" applyFont="1" applyFill="1"/>
    <xf numFmtId="174" fontId="43" fillId="0" borderId="0" xfId="47" applyNumberFormat="1" applyFont="1"/>
    <xf numFmtId="43" fontId="53" fillId="0" borderId="28" xfId="47" applyFont="1" applyBorder="1"/>
    <xf numFmtId="174" fontId="43" fillId="0" borderId="28" xfId="64" applyNumberFormat="1" applyFont="1" applyBorder="1" applyAlignment="1">
      <alignment horizontal="center" vertical="top"/>
    </xf>
    <xf numFmtId="5" fontId="43" fillId="44" borderId="0" xfId="63" applyNumberFormat="1" applyFont="1" applyFill="1" applyAlignment="1">
      <alignment horizontal="center" vertical="top"/>
    </xf>
    <xf numFmtId="43" fontId="67" fillId="37" borderId="0" xfId="47" applyFont="1" applyFill="1"/>
    <xf numFmtId="0" fontId="52" fillId="37" borderId="33" xfId="62" applyFont="1" applyFill="1" applyBorder="1"/>
    <xf numFmtId="0" fontId="52" fillId="37" borderId="35" xfId="62" applyFont="1" applyFill="1" applyBorder="1"/>
    <xf numFmtId="0" fontId="39" fillId="0" borderId="0" xfId="44" applyFont="1" applyProtection="1">
      <protection locked="0" hidden="1"/>
    </xf>
    <xf numFmtId="43" fontId="108" fillId="35" borderId="21" xfId="45" applyFont="1" applyFill="1" applyBorder="1" applyAlignment="1" applyProtection="1">
      <alignment horizontal="centerContinuous"/>
      <protection locked="0" hidden="1"/>
    </xf>
    <xf numFmtId="0" fontId="96" fillId="35" borderId="27" xfId="44" applyFont="1" applyFill="1" applyBorder="1" applyAlignment="1" applyProtection="1">
      <alignment horizontal="centerContinuous"/>
      <protection locked="0" hidden="1"/>
    </xf>
    <xf numFmtId="0" fontId="96" fillId="35" borderId="22" xfId="44" applyFont="1" applyFill="1" applyBorder="1" applyAlignment="1" applyProtection="1">
      <alignment horizontal="centerContinuous"/>
      <protection locked="0" hidden="1"/>
    </xf>
    <xf numFmtId="0" fontId="39" fillId="0" borderId="0" xfId="44" applyFont="1" applyAlignment="1" applyProtection="1">
      <alignment horizontal="center"/>
      <protection locked="0" hidden="1"/>
    </xf>
    <xf numFmtId="164" fontId="39" fillId="0" borderId="0" xfId="45" applyNumberFormat="1" applyFont="1" applyProtection="1">
      <protection locked="0" hidden="1"/>
    </xf>
    <xf numFmtId="43" fontId="39" fillId="0" borderId="0" xfId="44" applyNumberFormat="1" applyFont="1" applyProtection="1">
      <protection locked="0" hidden="1"/>
    </xf>
    <xf numFmtId="164" fontId="40" fillId="0" borderId="0" xfId="45" applyNumberFormat="1" applyFont="1" applyProtection="1">
      <protection locked="0" hidden="1"/>
    </xf>
    <xf numFmtId="0" fontId="39" fillId="0" borderId="4" xfId="44" applyFont="1" applyBorder="1" applyProtection="1">
      <protection locked="0" hidden="1"/>
    </xf>
    <xf numFmtId="164" fontId="39" fillId="0" borderId="4" xfId="44" applyNumberFormat="1" applyFont="1" applyBorder="1" applyProtection="1">
      <protection locked="0" hidden="1"/>
    </xf>
    <xf numFmtId="164" fontId="39" fillId="0" borderId="0" xfId="44" applyNumberFormat="1" applyFont="1" applyProtection="1">
      <protection locked="0" hidden="1"/>
    </xf>
    <xf numFmtId="0" fontId="39" fillId="49" borderId="20" xfId="44" applyFont="1" applyFill="1" applyBorder="1" applyProtection="1">
      <protection locked="0" hidden="1"/>
    </xf>
    <xf numFmtId="43" fontId="52" fillId="0" borderId="0" xfId="1" applyFont="1"/>
    <xf numFmtId="43" fontId="40" fillId="0" borderId="0" xfId="1" applyFont="1" applyAlignment="1">
      <alignment horizontal="center" wrapText="1"/>
    </xf>
    <xf numFmtId="0" fontId="96" fillId="0" borderId="0" xfId="44" applyFont="1" applyProtection="1">
      <protection locked="0" hidden="1"/>
    </xf>
    <xf numFmtId="43" fontId="21" fillId="0" borderId="0" xfId="1" applyFont="1" applyProtection="1">
      <protection locked="0" hidden="1"/>
    </xf>
    <xf numFmtId="9" fontId="39" fillId="0" borderId="0" xfId="0" applyNumberFormat="1" applyFont="1"/>
    <xf numFmtId="0" fontId="43" fillId="0" borderId="0" xfId="71" applyFont="1" applyAlignment="1">
      <alignment vertical="center"/>
    </xf>
    <xf numFmtId="182" fontId="53" fillId="0" borderId="0" xfId="71" applyNumberFormat="1" applyFont="1" applyAlignment="1">
      <alignment horizontal="center" vertical="center"/>
    </xf>
    <xf numFmtId="43" fontId="126" fillId="35" borderId="27" xfId="1" applyFont="1" applyFill="1" applyBorder="1" applyAlignment="1">
      <alignment horizontal="centerContinuous"/>
    </xf>
    <xf numFmtId="43" fontId="126" fillId="35" borderId="22" xfId="1" applyFont="1" applyFill="1" applyBorder="1" applyAlignment="1">
      <alignment horizontal="centerContinuous"/>
    </xf>
    <xf numFmtId="43" fontId="40" fillId="0" borderId="0" xfId="1" applyFont="1" applyAlignment="1">
      <alignment horizontal="centerContinuous" wrapText="1"/>
    </xf>
    <xf numFmtId="0" fontId="39" fillId="34" borderId="20" xfId="0" applyFont="1" applyFill="1" applyBorder="1"/>
    <xf numFmtId="0" fontId="40" fillId="0" borderId="0" xfId="0" applyFont="1"/>
    <xf numFmtId="0" fontId="39" fillId="0" borderId="18" xfId="0" applyFont="1" applyBorder="1"/>
    <xf numFmtId="0" fontId="92" fillId="0" borderId="18" xfId="0" applyFont="1" applyBorder="1"/>
    <xf numFmtId="0" fontId="92" fillId="0" borderId="18" xfId="0" applyFont="1" applyBorder="1" applyAlignment="1">
      <alignment horizontal="right"/>
    </xf>
    <xf numFmtId="2" fontId="39" fillId="0" borderId="0" xfId="0" applyNumberFormat="1" applyFont="1"/>
    <xf numFmtId="169" fontId="39" fillId="0" borderId="0" xfId="0" applyNumberFormat="1" applyFont="1"/>
    <xf numFmtId="14" fontId="39" fillId="0" borderId="0" xfId="0" applyNumberFormat="1" applyFont="1"/>
    <xf numFmtId="43" fontId="67" fillId="0" borderId="34" xfId="1" applyFont="1" applyBorder="1" applyAlignment="1">
      <alignment horizontal="centerContinuous"/>
    </xf>
    <xf numFmtId="43" fontId="67" fillId="34" borderId="40" xfId="1" applyFont="1" applyFill="1" applyBorder="1" applyAlignment="1">
      <alignment horizontal="centerContinuous"/>
    </xf>
    <xf numFmtId="43" fontId="39" fillId="0" borderId="36" xfId="1" applyFont="1" applyBorder="1" applyAlignment="1">
      <alignment horizontal="left" indent="1"/>
    </xf>
    <xf numFmtId="0" fontId="39" fillId="34" borderId="0" xfId="0" applyFont="1" applyFill="1"/>
    <xf numFmtId="43" fontId="39" fillId="0" borderId="38" xfId="1" applyFont="1" applyBorder="1" applyAlignment="1">
      <alignment horizontal="left" indent="1"/>
    </xf>
    <xf numFmtId="43" fontId="39" fillId="34" borderId="41" xfId="1" applyFont="1" applyFill="1" applyBorder="1" applyAlignment="1">
      <alignment horizontal="left" indent="1"/>
    </xf>
    <xf numFmtId="0" fontId="52" fillId="0" borderId="34" xfId="0" applyFont="1" applyBorder="1"/>
    <xf numFmtId="0" fontId="39" fillId="0" borderId="33" xfId="0" applyFont="1" applyBorder="1"/>
    <xf numFmtId="0" fontId="39" fillId="0" borderId="35" xfId="0" applyFont="1" applyBorder="1"/>
    <xf numFmtId="1" fontId="52" fillId="0" borderId="0" xfId="0" applyNumberFormat="1" applyFont="1"/>
    <xf numFmtId="0" fontId="40" fillId="0" borderId="0" xfId="1" applyNumberFormat="1" applyFont="1"/>
    <xf numFmtId="0" fontId="40" fillId="0" borderId="37" xfId="1" applyNumberFormat="1" applyFont="1" applyBorder="1"/>
    <xf numFmtId="164" fontId="39" fillId="0" borderId="36" xfId="0" applyNumberFormat="1" applyFont="1" applyBorder="1"/>
    <xf numFmtId="164" fontId="40" fillId="0" borderId="37" xfId="1" applyNumberFormat="1" applyFont="1" applyBorder="1"/>
    <xf numFmtId="164" fontId="39" fillId="0" borderId="37" xfId="0" applyNumberFormat="1" applyFont="1" applyBorder="1"/>
    <xf numFmtId="0" fontId="39" fillId="0" borderId="38" xfId="0" applyFont="1" applyBorder="1"/>
    <xf numFmtId="9" fontId="39" fillId="0" borderId="18" xfId="0" applyNumberFormat="1" applyFont="1" applyBorder="1"/>
    <xf numFmtId="9" fontId="39" fillId="0" borderId="39" xfId="0" applyNumberFormat="1" applyFont="1" applyBorder="1"/>
    <xf numFmtId="0" fontId="39" fillId="0" borderId="0" xfId="0" applyFont="1" applyAlignment="1" applyProtection="1">
      <alignment horizontal="center" wrapText="1"/>
      <protection locked="0" hidden="1"/>
    </xf>
    <xf numFmtId="0" fontId="52" fillId="0" borderId="0" xfId="0" applyFont="1" applyAlignment="1" applyProtection="1">
      <alignment horizontal="center" vertical="center"/>
      <protection locked="0" hidden="1"/>
    </xf>
    <xf numFmtId="0" fontId="52" fillId="0" borderId="0" xfId="0" applyFont="1" applyAlignment="1" applyProtection="1">
      <alignment horizontal="center"/>
      <protection locked="0" hidden="1"/>
    </xf>
    <xf numFmtId="182" fontId="95" fillId="0" borderId="0" xfId="71" applyNumberFormat="1" applyFont="1" applyAlignment="1">
      <alignment horizontal="center" vertical="center"/>
    </xf>
    <xf numFmtId="0" fontId="39" fillId="0" borderId="0" xfId="71" applyFont="1"/>
    <xf numFmtId="43" fontId="65" fillId="0" borderId="0" xfId="45" applyFont="1" applyAlignment="1">
      <alignment horizontal="center"/>
    </xf>
    <xf numFmtId="182" fontId="39" fillId="0" borderId="0" xfId="71" applyNumberFormat="1" applyFont="1"/>
    <xf numFmtId="182" fontId="39" fillId="0" borderId="0" xfId="71" applyNumberFormat="1" applyFont="1" applyAlignment="1">
      <alignment horizontal="center"/>
    </xf>
    <xf numFmtId="182" fontId="43" fillId="0" borderId="0" xfId="71" applyNumberFormat="1" applyFont="1"/>
    <xf numFmtId="185" fontId="39" fillId="0" borderId="0" xfId="71" applyNumberFormat="1" applyFont="1"/>
    <xf numFmtId="0" fontId="52" fillId="0" borderId="0" xfId="71" applyFont="1"/>
    <xf numFmtId="43" fontId="65" fillId="0" borderId="0" xfId="45" applyFont="1" applyAlignment="1">
      <alignment horizontal="center" wrapText="1"/>
    </xf>
    <xf numFmtId="43" fontId="40" fillId="0" borderId="0" xfId="45" applyFont="1" applyAlignment="1">
      <alignment horizontal="center" wrapText="1"/>
    </xf>
    <xf numFmtId="0" fontId="39" fillId="37" borderId="0" xfId="62" applyFont="1" applyFill="1"/>
    <xf numFmtId="165" fontId="86" fillId="0" borderId="0" xfId="67" applyNumberFormat="1" applyFont="1"/>
    <xf numFmtId="0" fontId="43" fillId="0" borderId="0" xfId="67" quotePrefix="1" applyFont="1" applyAlignment="1">
      <alignment horizontal="center"/>
    </xf>
    <xf numFmtId="10" fontId="39" fillId="0" borderId="0" xfId="67" applyNumberFormat="1" applyFont="1"/>
    <xf numFmtId="0" fontId="127" fillId="0" borderId="0" xfId="80" applyFont="1"/>
    <xf numFmtId="14" fontId="39" fillId="0" borderId="1" xfId="78" applyNumberFormat="1" applyFont="1" applyBorder="1" applyAlignment="1">
      <alignment horizontal="left"/>
    </xf>
    <xf numFmtId="165" fontId="52" fillId="0" borderId="4" xfId="67" applyNumberFormat="1" applyFont="1" applyBorder="1"/>
    <xf numFmtId="0" fontId="96" fillId="43" borderId="4" xfId="67" applyFont="1" applyFill="1" applyBorder="1" applyAlignment="1">
      <alignment horizontal="right"/>
    </xf>
    <xf numFmtId="0" fontId="96" fillId="43" borderId="5" xfId="67" applyFont="1" applyFill="1" applyBorder="1" applyAlignment="1">
      <alignment horizontal="right"/>
    </xf>
    <xf numFmtId="165" fontId="39" fillId="0" borderId="0" xfId="69" applyNumberFormat="1" applyFont="1"/>
    <xf numFmtId="0" fontId="53" fillId="0" borderId="1" xfId="79" applyFont="1" applyBorder="1" applyAlignment="1">
      <alignment horizontal="left"/>
    </xf>
    <xf numFmtId="0" fontId="53" fillId="0" borderId="1" xfId="79" applyFont="1" applyBorder="1" applyAlignment="1">
      <alignment horizontal="right"/>
    </xf>
    <xf numFmtId="0" fontId="53" fillId="0" borderId="3" xfId="79" applyFont="1" applyBorder="1" applyAlignment="1">
      <alignment horizontal="right"/>
    </xf>
    <xf numFmtId="0" fontId="53" fillId="0" borderId="3" xfId="79" applyFont="1" applyBorder="1" applyAlignment="1">
      <alignment horizontal="centerContinuous"/>
    </xf>
    <xf numFmtId="0" fontId="53" fillId="0" borderId="4" xfId="79" applyFont="1" applyBorder="1" applyAlignment="1">
      <alignment horizontal="centerContinuous"/>
    </xf>
    <xf numFmtId="0" fontId="128" fillId="0" borderId="4" xfId="80" applyFont="1" applyBorder="1" applyAlignment="1">
      <alignment horizontal="centerContinuous"/>
    </xf>
    <xf numFmtId="0" fontId="128" fillId="0" borderId="5" xfId="80" applyFont="1" applyBorder="1" applyAlignment="1">
      <alignment horizontal="centerContinuous"/>
    </xf>
    <xf numFmtId="10" fontId="68" fillId="0" borderId="23" xfId="86" applyNumberFormat="1" applyFont="1" applyBorder="1" applyAlignment="1">
      <alignment horizontal="right"/>
    </xf>
    <xf numFmtId="0" fontId="68" fillId="0" borderId="23" xfId="79" applyFont="1" applyBorder="1" applyAlignment="1">
      <alignment horizontal="centerContinuous"/>
    </xf>
    <xf numFmtId="189" fontId="43" fillId="0" borderId="0" xfId="0" applyNumberFormat="1" applyFont="1"/>
    <xf numFmtId="177" fontId="39" fillId="0" borderId="0" xfId="0" quotePrefix="1" applyNumberFormat="1" applyFont="1" applyAlignment="1">
      <alignment horizontal="right"/>
    </xf>
    <xf numFmtId="165" fontId="43" fillId="0" borderId="27" xfId="0" applyNumberFormat="1" applyFont="1" applyBorder="1"/>
    <xf numFmtId="165" fontId="68" fillId="0" borderId="29" xfId="0" applyNumberFormat="1" applyFont="1" applyBorder="1" applyAlignment="1">
      <alignment horizontal="right"/>
    </xf>
    <xf numFmtId="165" fontId="39" fillId="0" borderId="29" xfId="0" applyNumberFormat="1" applyFont="1" applyBorder="1"/>
    <xf numFmtId="165" fontId="43" fillId="0" borderId="0" xfId="43" applyNumberFormat="1" applyFont="1"/>
    <xf numFmtId="9" fontId="43" fillId="0" borderId="0" xfId="65" applyFont="1" applyAlignment="1">
      <alignment horizontal="center"/>
    </xf>
    <xf numFmtId="177" fontId="53" fillId="34" borderId="0" xfId="67" applyNumberFormat="1" applyFont="1" applyFill="1" applyAlignment="1">
      <alignment horizontal="center"/>
    </xf>
    <xf numFmtId="9" fontId="43" fillId="0" borderId="27" xfId="65" applyFont="1" applyBorder="1" applyAlignment="1">
      <alignment horizontal="center"/>
    </xf>
    <xf numFmtId="0" fontId="53" fillId="0" borderId="27" xfId="67" applyFont="1" applyBorder="1"/>
    <xf numFmtId="177" fontId="53" fillId="34" borderId="29" xfId="67" applyNumberFormat="1" applyFont="1" applyFill="1" applyBorder="1" applyAlignment="1">
      <alignment horizontal="center"/>
    </xf>
    <xf numFmtId="9" fontId="43" fillId="0" borderId="29" xfId="65" applyFont="1" applyBorder="1" applyAlignment="1">
      <alignment horizontal="center"/>
    </xf>
    <xf numFmtId="0" fontId="53" fillId="0" borderId="29" xfId="67" applyFont="1" applyBorder="1"/>
    <xf numFmtId="43" fontId="62" fillId="38" borderId="43" xfId="47" applyFont="1" applyFill="1" applyBorder="1" applyAlignment="1">
      <alignment horizontal="right"/>
    </xf>
    <xf numFmtId="0" fontId="43" fillId="0" borderId="0" xfId="87" quotePrefix="1" applyFont="1" applyAlignment="1">
      <alignment horizontal="left" indent="1"/>
    </xf>
    <xf numFmtId="0" fontId="131" fillId="0" borderId="3" xfId="88" applyFont="1" applyBorder="1" applyAlignment="1" applyProtection="1">
      <alignment horizontal="left"/>
      <protection locked="0"/>
    </xf>
    <xf numFmtId="0" fontId="131" fillId="0" borderId="4" xfId="88" applyFont="1" applyBorder="1" applyAlignment="1" applyProtection="1">
      <alignment horizontal="center"/>
      <protection locked="0"/>
    </xf>
    <xf numFmtId="0" fontId="131" fillId="0" borderId="4" xfId="88" applyFont="1" applyBorder="1" applyAlignment="1" applyProtection="1">
      <alignment horizontal="right"/>
      <protection locked="0"/>
    </xf>
    <xf numFmtId="0" fontId="131" fillId="0" borderId="5" xfId="88" applyFont="1" applyBorder="1" applyAlignment="1" applyProtection="1">
      <alignment horizontal="right"/>
      <protection locked="0"/>
    </xf>
    <xf numFmtId="0" fontId="123" fillId="0" borderId="23" xfId="88" applyFont="1" applyBorder="1" applyProtection="1">
      <protection locked="0"/>
    </xf>
    <xf numFmtId="0" fontId="123" fillId="0" borderId="0" xfId="88" applyFont="1" applyProtection="1">
      <protection locked="0"/>
    </xf>
    <xf numFmtId="186" fontId="123" fillId="0" borderId="0" xfId="47" applyNumberFormat="1" applyFont="1" applyProtection="1">
      <protection locked="0"/>
    </xf>
    <xf numFmtId="10" fontId="123" fillId="0" borderId="24" xfId="85" applyNumberFormat="1" applyFont="1" applyBorder="1" applyAlignment="1" applyProtection="1">
      <alignment horizontal="right"/>
      <protection locked="0"/>
    </xf>
    <xf numFmtId="0" fontId="123" fillId="0" borderId="24" xfId="88" applyFont="1" applyBorder="1" applyAlignment="1" applyProtection="1">
      <alignment horizontal="right"/>
      <protection locked="0"/>
    </xf>
    <xf numFmtId="0" fontId="29" fillId="0" borderId="0" xfId="0" applyFont="1"/>
    <xf numFmtId="0" fontId="129" fillId="0" borderId="0" xfId="0" applyFont="1"/>
    <xf numFmtId="10" fontId="39" fillId="0" borderId="29" xfId="0" applyNumberFormat="1" applyFont="1" applyBorder="1"/>
    <xf numFmtId="0" fontId="52" fillId="0" borderId="4" xfId="0" applyFont="1" applyBorder="1"/>
    <xf numFmtId="10" fontId="52" fillId="0" borderId="4" xfId="0" applyNumberFormat="1" applyFont="1" applyBorder="1"/>
    <xf numFmtId="0" fontId="52" fillId="44" borderId="3" xfId="0" applyFont="1" applyFill="1" applyBorder="1"/>
    <xf numFmtId="0" fontId="52" fillId="44" borderId="4" xfId="0" applyFont="1" applyFill="1" applyBorder="1"/>
    <xf numFmtId="0" fontId="39" fillId="0" borderId="0" xfId="0" applyFont="1" applyAlignment="1">
      <alignment horizontal="center"/>
    </xf>
    <xf numFmtId="0" fontId="96" fillId="43" borderId="4" xfId="0" applyFont="1" applyFill="1" applyBorder="1"/>
    <xf numFmtId="0" fontId="95" fillId="43" borderId="5" xfId="0" applyFont="1" applyFill="1" applyBorder="1" applyAlignment="1">
      <alignment horizontal="centerContinuous" wrapText="1"/>
    </xf>
    <xf numFmtId="165" fontId="86" fillId="0" borderId="0" xfId="0" applyNumberFormat="1" applyFont="1"/>
    <xf numFmtId="0" fontId="43" fillId="0" borderId="0" xfId="0" quotePrefix="1" applyFont="1" applyAlignment="1">
      <alignment horizontal="center"/>
    </xf>
    <xf numFmtId="177" fontId="130" fillId="0" borderId="0" xfId="0" applyNumberFormat="1" applyFont="1"/>
    <xf numFmtId="0" fontId="43" fillId="0" borderId="0" xfId="0" applyFont="1" applyAlignment="1">
      <alignment horizontal="center"/>
    </xf>
    <xf numFmtId="177" fontId="43" fillId="0" borderId="0" xfId="0" applyNumberFormat="1" applyFont="1"/>
    <xf numFmtId="10" fontId="86" fillId="0" borderId="0" xfId="0" applyNumberFormat="1" applyFont="1"/>
    <xf numFmtId="10" fontId="130" fillId="0" borderId="0" xfId="0" applyNumberFormat="1" applyFont="1"/>
    <xf numFmtId="0" fontId="39" fillId="0" borderId="27" xfId="0" applyFont="1" applyBorder="1"/>
    <xf numFmtId="0" fontId="39" fillId="0" borderId="22" xfId="0" applyFont="1" applyBorder="1"/>
    <xf numFmtId="14" fontId="39" fillId="0" borderId="22" xfId="0" applyNumberFormat="1" applyFont="1" applyBorder="1" applyAlignment="1">
      <alignment horizontal="right"/>
    </xf>
    <xf numFmtId="0" fontId="70" fillId="43" borderId="21" xfId="0" applyFont="1" applyFill="1" applyBorder="1" applyAlignment="1">
      <alignment horizontal="centerContinuous"/>
    </xf>
    <xf numFmtId="0" fontId="70" fillId="43" borderId="27" xfId="0" applyFont="1" applyFill="1" applyBorder="1" applyAlignment="1">
      <alignment horizontal="centerContinuous"/>
    </xf>
    <xf numFmtId="0" fontId="70" fillId="43" borderId="22" xfId="0" applyFont="1" applyFill="1" applyBorder="1" applyAlignment="1">
      <alignment horizontal="centerContinuous"/>
    </xf>
    <xf numFmtId="0" fontId="53" fillId="43" borderId="27" xfId="0" applyFont="1" applyFill="1" applyBorder="1" applyAlignment="1">
      <alignment horizontal="centerContinuous"/>
    </xf>
    <xf numFmtId="0" fontId="53" fillId="43" borderId="22" xfId="0" applyFont="1" applyFill="1" applyBorder="1" applyAlignment="1">
      <alignment horizontal="centerContinuous"/>
    </xf>
    <xf numFmtId="165" fontId="85" fillId="0" borderId="0" xfId="0" applyNumberFormat="1" applyFont="1"/>
    <xf numFmtId="0" fontId="53" fillId="0" borderId="1" xfId="0" applyFont="1" applyBorder="1" applyAlignment="1">
      <alignment horizontal="center" wrapText="1"/>
    </xf>
    <xf numFmtId="0" fontId="53" fillId="0" borderId="3" xfId="0" applyFont="1" applyBorder="1" applyAlignment="1">
      <alignment horizontal="right" wrapText="1"/>
    </xf>
    <xf numFmtId="0" fontId="53" fillId="0" borderId="4" xfId="0" applyFont="1" applyBorder="1" applyAlignment="1">
      <alignment horizontal="right" wrapText="1"/>
    </xf>
    <xf numFmtId="0" fontId="39" fillId="0" borderId="4" xfId="0" applyFont="1" applyBorder="1" applyAlignment="1">
      <alignment horizontal="right" wrapText="1"/>
    </xf>
    <xf numFmtId="0" fontId="53" fillId="0" borderId="5" xfId="0" applyFont="1" applyBorder="1" applyAlignment="1">
      <alignment horizontal="right" wrapText="1"/>
    </xf>
    <xf numFmtId="0" fontId="39" fillId="0" borderId="0" xfId="0" applyFont="1" applyAlignment="1">
      <alignment horizontal="right" wrapText="1"/>
    </xf>
    <xf numFmtId="0" fontId="70" fillId="53" borderId="4" xfId="0" applyFont="1" applyFill="1" applyBorder="1" applyAlignment="1">
      <alignment horizontal="center" wrapText="1"/>
    </xf>
    <xf numFmtId="0" fontId="70" fillId="53" borderId="5" xfId="0" applyFont="1" applyFill="1" applyBorder="1" applyAlignment="1">
      <alignment horizontal="center" wrapText="1"/>
    </xf>
    <xf numFmtId="0" fontId="53" fillId="0" borderId="0" xfId="0" applyFont="1" applyAlignment="1">
      <alignment horizontal="center" wrapText="1"/>
    </xf>
    <xf numFmtId="0" fontId="52" fillId="0" borderId="0" xfId="0" applyFont="1" applyAlignment="1">
      <alignment horizontal="center" wrapText="1"/>
    </xf>
    <xf numFmtId="0" fontId="52" fillId="0" borderId="0" xfId="0" applyFont="1" applyAlignment="1">
      <alignment wrapText="1"/>
    </xf>
    <xf numFmtId="175" fontId="86" fillId="0" borderId="0" xfId="0" applyNumberFormat="1" applyFont="1"/>
    <xf numFmtId="0" fontId="86" fillId="0" borderId="0" xfId="0" applyFont="1" applyAlignment="1">
      <alignment horizontal="center"/>
    </xf>
    <xf numFmtId="177" fontId="39" fillId="0" borderId="0" xfId="0" applyNumberFormat="1" applyFont="1" applyAlignment="1">
      <alignment horizontal="right"/>
    </xf>
    <xf numFmtId="175" fontId="39" fillId="0" borderId="0" xfId="0" applyNumberFormat="1" applyFont="1"/>
    <xf numFmtId="175" fontId="39" fillId="0" borderId="0" xfId="0" applyNumberFormat="1" applyFont="1" applyAlignment="1">
      <alignment horizontal="right"/>
    </xf>
    <xf numFmtId="165" fontId="39" fillId="0" borderId="0" xfId="0" applyNumberFormat="1" applyFont="1" applyAlignment="1">
      <alignment horizontal="right"/>
    </xf>
    <xf numFmtId="0" fontId="85" fillId="0" borderId="0" xfId="0" applyFont="1"/>
    <xf numFmtId="175" fontId="87" fillId="0" borderId="0" xfId="0" applyNumberFormat="1" applyFont="1"/>
    <xf numFmtId="184" fontId="39" fillId="0" borderId="0" xfId="0" applyNumberFormat="1" applyFont="1"/>
    <xf numFmtId="0" fontId="86" fillId="0" borderId="0" xfId="0" applyFont="1"/>
    <xf numFmtId="0" fontId="52" fillId="44" borderId="21" xfId="0" applyFont="1" applyFill="1" applyBorder="1"/>
    <xf numFmtId="0" fontId="52" fillId="44" borderId="27" xfId="0" applyFont="1" applyFill="1" applyBorder="1"/>
    <xf numFmtId="177" fontId="52" fillId="44" borderId="27" xfId="0" applyNumberFormat="1" applyFont="1" applyFill="1" applyBorder="1"/>
    <xf numFmtId="175" fontId="52" fillId="44" borderId="27" xfId="0" applyNumberFormat="1" applyFont="1" applyFill="1" applyBorder="1"/>
    <xf numFmtId="175" fontId="52" fillId="44" borderId="22" xfId="0" applyNumberFormat="1" applyFont="1" applyFill="1" applyBorder="1"/>
    <xf numFmtId="0" fontId="53" fillId="0" borderId="0" xfId="0" applyFont="1"/>
    <xf numFmtId="0" fontId="52" fillId="44" borderId="23" xfId="0" applyFont="1" applyFill="1" applyBorder="1"/>
    <xf numFmtId="0" fontId="52" fillId="44" borderId="0" xfId="0" applyFont="1" applyFill="1"/>
    <xf numFmtId="177" fontId="52" fillId="44" borderId="0" xfId="0" applyNumberFormat="1" applyFont="1" applyFill="1"/>
    <xf numFmtId="175" fontId="52" fillId="44" borderId="0" xfId="0" applyNumberFormat="1" applyFont="1" applyFill="1"/>
    <xf numFmtId="175" fontId="52" fillId="44" borderId="24" xfId="0" applyNumberFormat="1" applyFont="1" applyFill="1" applyBorder="1"/>
    <xf numFmtId="0" fontId="52" fillId="44" borderId="28" xfId="0" applyFont="1" applyFill="1" applyBorder="1"/>
    <xf numFmtId="0" fontId="52" fillId="44" borderId="29" xfId="0" applyFont="1" applyFill="1" applyBorder="1"/>
    <xf numFmtId="177" fontId="52" fillId="44" borderId="29" xfId="0" applyNumberFormat="1" applyFont="1" applyFill="1" applyBorder="1"/>
    <xf numFmtId="175" fontId="52" fillId="44" borderId="29" xfId="0" applyNumberFormat="1" applyFont="1" applyFill="1" applyBorder="1"/>
    <xf numFmtId="175" fontId="52" fillId="44" borderId="30" xfId="0" applyNumberFormat="1" applyFont="1" applyFill="1" applyBorder="1"/>
    <xf numFmtId="0" fontId="132" fillId="41" borderId="3" xfId="0" applyFont="1" applyFill="1" applyBorder="1"/>
    <xf numFmtId="0" fontId="132" fillId="41" borderId="4" xfId="0" applyFont="1" applyFill="1" applyBorder="1"/>
    <xf numFmtId="0" fontId="132" fillId="41" borderId="5" xfId="0" applyFont="1" applyFill="1" applyBorder="1"/>
    <xf numFmtId="0" fontId="133" fillId="0" borderId="0" xfId="0" applyFont="1"/>
    <xf numFmtId="0" fontId="133" fillId="0" borderId="0" xfId="0" applyFont="1" applyAlignment="1">
      <alignment horizontal="center"/>
    </xf>
    <xf numFmtId="0" fontId="96" fillId="43" borderId="1" xfId="67" applyFont="1" applyFill="1" applyBorder="1" applyAlignment="1">
      <alignment horizontal="left"/>
    </xf>
    <xf numFmtId="0" fontId="79" fillId="0" borderId="0" xfId="67"/>
    <xf numFmtId="0" fontId="96" fillId="43" borderId="3" xfId="67" applyFont="1" applyFill="1" applyBorder="1" applyAlignment="1">
      <alignment horizontal="right"/>
    </xf>
    <xf numFmtId="0" fontId="96" fillId="43" borderId="1" xfId="67" applyFont="1" applyFill="1" applyBorder="1" applyAlignment="1">
      <alignment horizontal="centerContinuous"/>
    </xf>
    <xf numFmtId="0" fontId="96" fillId="43" borderId="3" xfId="67" applyFont="1" applyFill="1" applyBorder="1"/>
    <xf numFmtId="170" fontId="43" fillId="0" borderId="29" xfId="0" applyNumberFormat="1" applyFont="1" applyBorder="1" applyAlignment="1">
      <alignment horizontal="center"/>
    </xf>
    <xf numFmtId="9" fontId="39" fillId="0" borderId="0" xfId="44" applyNumberFormat="1" applyFont="1" applyProtection="1">
      <protection locked="0" hidden="1"/>
    </xf>
    <xf numFmtId="0" fontId="92" fillId="0" borderId="0" xfId="44" applyFont="1" applyProtection="1">
      <protection locked="0" hidden="1"/>
    </xf>
    <xf numFmtId="0" fontId="53" fillId="0" borderId="29" xfId="59" applyFont="1" applyBorder="1"/>
    <xf numFmtId="0" fontId="96" fillId="0" borderId="0" xfId="59" applyFont="1"/>
    <xf numFmtId="43" fontId="121" fillId="38" borderId="34" xfId="47" applyFont="1" applyFill="1" applyBorder="1"/>
    <xf numFmtId="43" fontId="121" fillId="38" borderId="33" xfId="47" applyFont="1" applyFill="1" applyBorder="1"/>
    <xf numFmtId="14" fontId="121" fillId="38" borderId="35" xfId="0" applyNumberFormat="1" applyFont="1" applyFill="1" applyBorder="1"/>
    <xf numFmtId="0" fontId="53" fillId="0" borderId="27" xfId="59" applyFont="1" applyBorder="1"/>
    <xf numFmtId="43" fontId="65" fillId="37" borderId="0" xfId="47" applyFont="1" applyFill="1" applyAlignment="1">
      <alignment wrapText="1"/>
    </xf>
    <xf numFmtId="0" fontId="52" fillId="37" borderId="71" xfId="61" applyFont="1" applyFill="1" applyBorder="1" applyAlignment="1">
      <alignment horizontal="centerContinuous"/>
    </xf>
    <xf numFmtId="0" fontId="52" fillId="37" borderId="72" xfId="61" applyFont="1" applyFill="1" applyBorder="1" applyAlignment="1">
      <alignment horizontal="centerContinuous"/>
    </xf>
    <xf numFmtId="0" fontId="52" fillId="37" borderId="73" xfId="61" applyFont="1" applyFill="1" applyBorder="1" applyAlignment="1">
      <alignment horizontal="centerContinuous"/>
    </xf>
    <xf numFmtId="43" fontId="53" fillId="37" borderId="74" xfId="47" applyFont="1" applyFill="1" applyBorder="1"/>
    <xf numFmtId="0" fontId="53" fillId="37" borderId="62" xfId="61" applyFont="1" applyFill="1" applyBorder="1"/>
    <xf numFmtId="5" fontId="39" fillId="37" borderId="62" xfId="63" applyNumberFormat="1" applyFont="1" applyFill="1" applyBorder="1" applyAlignment="1">
      <alignment horizontal="center" vertical="center"/>
    </xf>
    <xf numFmtId="43" fontId="53" fillId="37" borderId="76" xfId="47" applyFont="1" applyFill="1" applyBorder="1"/>
    <xf numFmtId="43" fontId="53" fillId="0" borderId="77" xfId="47" applyFont="1" applyBorder="1"/>
    <xf numFmtId="0" fontId="53" fillId="0" borderId="78" xfId="61" applyFont="1" applyBorder="1"/>
    <xf numFmtId="0" fontId="65" fillId="37" borderId="0" xfId="47" applyNumberFormat="1" applyFont="1" applyFill="1" applyAlignment="1">
      <alignment horizontal="center" wrapText="1"/>
    </xf>
    <xf numFmtId="14" fontId="43" fillId="2" borderId="0" xfId="20039" applyNumberFormat="1" applyFill="1" applyAlignment="1">
      <alignment horizontal="left"/>
    </xf>
    <xf numFmtId="43" fontId="53" fillId="37" borderId="77" xfId="47" applyFont="1" applyFill="1" applyBorder="1"/>
    <xf numFmtId="173" fontId="39" fillId="0" borderId="0" xfId="63" applyNumberFormat="1" applyFont="1" applyAlignment="1">
      <alignment horizontal="center" vertical="center"/>
    </xf>
    <xf numFmtId="173" fontId="68" fillId="0" borderId="0" xfId="63" applyNumberFormat="1" applyFont="1" applyAlignment="1">
      <alignment horizontal="right" vertical="center"/>
    </xf>
    <xf numFmtId="173" fontId="43" fillId="0" borderId="0" xfId="64" applyNumberFormat="1" applyFont="1" applyAlignment="1">
      <alignment horizontal="center" vertical="center"/>
    </xf>
    <xf numFmtId="173" fontId="43" fillId="0" borderId="0" xfId="64" applyNumberFormat="1" applyFont="1" applyAlignment="1">
      <alignment horizontal="left" vertical="top"/>
    </xf>
    <xf numFmtId="173" fontId="43" fillId="0" borderId="0" xfId="64" applyNumberFormat="1" applyFont="1" applyAlignment="1">
      <alignment horizontal="right" vertical="top"/>
    </xf>
    <xf numFmtId="173" fontId="54" fillId="0" borderId="0" xfId="64" applyNumberFormat="1" applyFont="1" applyAlignment="1">
      <alignment horizontal="center"/>
    </xf>
    <xf numFmtId="173" fontId="39" fillId="37" borderId="62" xfId="63" applyNumberFormat="1" applyFont="1" applyFill="1" applyBorder="1" applyAlignment="1">
      <alignment horizontal="center" vertical="center"/>
    </xf>
    <xf numFmtId="173" fontId="53" fillId="37" borderId="62" xfId="63" applyNumberFormat="1" applyFont="1" applyFill="1" applyBorder="1" applyAlignment="1">
      <alignment horizontal="right"/>
    </xf>
    <xf numFmtId="173" fontId="53" fillId="37" borderId="62" xfId="47" applyNumberFormat="1" applyFont="1" applyFill="1" applyBorder="1" applyAlignment="1">
      <alignment horizontal="center"/>
    </xf>
    <xf numFmtId="173" fontId="39" fillId="37" borderId="75" xfId="63" applyNumberFormat="1" applyFont="1" applyFill="1" applyBorder="1" applyAlignment="1">
      <alignment horizontal="center" vertical="center"/>
    </xf>
    <xf numFmtId="173" fontId="39" fillId="37" borderId="0" xfId="63" applyNumberFormat="1" applyFont="1" applyFill="1" applyAlignment="1">
      <alignment horizontal="center" vertical="center"/>
    </xf>
    <xf numFmtId="173" fontId="53" fillId="37" borderId="0" xfId="63" applyNumberFormat="1" applyFont="1" applyFill="1" applyAlignment="1">
      <alignment horizontal="right"/>
    </xf>
    <xf numFmtId="173" fontId="53" fillId="37" borderId="0" xfId="47" applyNumberFormat="1" applyFont="1" applyFill="1" applyAlignment="1">
      <alignment horizontal="center"/>
    </xf>
    <xf numFmtId="173" fontId="39" fillId="37" borderId="24" xfId="63" applyNumberFormat="1" applyFont="1" applyFill="1" applyBorder="1" applyAlignment="1">
      <alignment horizontal="center" vertical="center"/>
    </xf>
    <xf numFmtId="173" fontId="43" fillId="0" borderId="78" xfId="62" applyNumberFormat="1" applyBorder="1" applyAlignment="1">
      <alignment horizontal="center"/>
    </xf>
    <xf numFmtId="173" fontId="43" fillId="0" borderId="79" xfId="62" applyNumberFormat="1" applyBorder="1" applyAlignment="1">
      <alignment horizontal="center"/>
    </xf>
    <xf numFmtId="165" fontId="39" fillId="0" borderId="0" xfId="47" applyNumberFormat="1" applyFont="1" applyAlignment="1">
      <alignment horizontal="center" vertical="center" wrapText="1"/>
    </xf>
    <xf numFmtId="165" fontId="39" fillId="0" borderId="0" xfId="63" applyNumberFormat="1" applyFont="1" applyAlignment="1">
      <alignment horizontal="center" vertical="center"/>
    </xf>
    <xf numFmtId="165" fontId="43" fillId="0" borderId="0" xfId="64" applyNumberFormat="1" applyFont="1" applyAlignment="1">
      <alignment horizontal="left" vertical="top"/>
    </xf>
    <xf numFmtId="165" fontId="43" fillId="0" borderId="0" xfId="64" applyNumberFormat="1" applyFont="1" applyAlignment="1">
      <alignment horizontal="right" vertical="top"/>
    </xf>
    <xf numFmtId="165" fontId="39" fillId="37" borderId="62" xfId="63" applyNumberFormat="1" applyFont="1" applyFill="1" applyBorder="1" applyAlignment="1">
      <alignment horizontal="center" vertical="center"/>
    </xf>
    <xf numFmtId="165" fontId="39" fillId="37" borderId="0" xfId="63" applyNumberFormat="1" applyFont="1" applyFill="1" applyAlignment="1">
      <alignment horizontal="center" vertical="center"/>
    </xf>
    <xf numFmtId="165" fontId="43" fillId="0" borderId="78" xfId="62" applyNumberFormat="1" applyBorder="1" applyAlignment="1">
      <alignment horizontal="center"/>
    </xf>
    <xf numFmtId="165" fontId="53" fillId="0" borderId="4" xfId="61" applyNumberFormat="1" applyFont="1" applyBorder="1" applyAlignment="1">
      <alignment horizontal="center"/>
    </xf>
    <xf numFmtId="188" fontId="43" fillId="0" borderId="0" xfId="61" applyNumberFormat="1" applyFont="1"/>
    <xf numFmtId="188" fontId="43" fillId="0" borderId="0" xfId="61" applyNumberFormat="1" applyFont="1" applyAlignment="1">
      <alignment horizontal="right"/>
    </xf>
    <xf numFmtId="0" fontId="95" fillId="35" borderId="65" xfId="71" applyFont="1" applyFill="1" applyBorder="1" applyAlignment="1">
      <alignment horizontal="centerContinuous"/>
    </xf>
    <xf numFmtId="0" fontId="31" fillId="0" borderId="63" xfId="71" applyFont="1" applyBorder="1"/>
    <xf numFmtId="0" fontId="43" fillId="0" borderId="63" xfId="71" applyFont="1" applyBorder="1"/>
    <xf numFmtId="44" fontId="39" fillId="0" borderId="0" xfId="0" applyNumberFormat="1" applyFont="1"/>
    <xf numFmtId="9" fontId="39" fillId="0" borderId="0" xfId="70" applyFont="1" applyProtection="1">
      <protection locked="0" hidden="1"/>
    </xf>
    <xf numFmtId="164" fontId="39" fillId="49" borderId="80" xfId="44" applyNumberFormat="1" applyFont="1" applyFill="1" applyBorder="1" applyProtection="1">
      <protection locked="0" hidden="1"/>
    </xf>
    <xf numFmtId="0" fontId="96" fillId="0" borderId="0" xfId="0" applyFont="1"/>
    <xf numFmtId="43" fontId="65" fillId="37" borderId="0" xfId="47" applyFont="1" applyFill="1" applyAlignment="1">
      <alignment horizontal="left" wrapText="1"/>
    </xf>
    <xf numFmtId="0" fontId="43" fillId="0" borderId="0" xfId="62" applyAlignment="1">
      <alignment vertical="center"/>
    </xf>
    <xf numFmtId="0" fontId="43" fillId="0" borderId="0" xfId="62" applyAlignment="1">
      <alignment horizontal="center" wrapText="1"/>
    </xf>
    <xf numFmtId="174" fontId="43" fillId="0" borderId="0" xfId="47" applyNumberFormat="1" applyFont="1" applyAlignment="1">
      <alignment horizontal="center" vertical="center"/>
    </xf>
    <xf numFmtId="166" fontId="43" fillId="0" borderId="0" xfId="64" applyNumberFormat="1" applyFont="1" applyAlignment="1">
      <alignment horizontal="right" vertical="top"/>
    </xf>
    <xf numFmtId="166" fontId="43" fillId="34" borderId="73" xfId="63" applyNumberFormat="1" applyFont="1" applyFill="1" applyBorder="1" applyAlignment="1">
      <alignment horizontal="center" vertical="top"/>
    </xf>
    <xf numFmtId="0" fontId="39" fillId="0" borderId="0" xfId="0" applyFont="1" applyAlignment="1">
      <alignment horizontal="left" indent="3"/>
    </xf>
    <xf numFmtId="0" fontId="43" fillId="0" borderId="0" xfId="0" quotePrefix="1" applyFont="1" applyAlignment="1">
      <alignment vertical="top"/>
    </xf>
    <xf numFmtId="7" fontId="39" fillId="0" borderId="0" xfId="47" applyNumberFormat="1" applyFont="1" applyAlignment="1">
      <alignment horizontal="left" vertical="top" wrapText="1"/>
    </xf>
    <xf numFmtId="14" fontId="43" fillId="0" borderId="0" xfId="62" applyNumberFormat="1"/>
    <xf numFmtId="0" fontId="53" fillId="0" borderId="0" xfId="59" applyFont="1" applyAlignment="1">
      <alignment horizontal="right"/>
    </xf>
    <xf numFmtId="165" fontId="39" fillId="37" borderId="24" xfId="63" applyNumberFormat="1" applyFont="1" applyFill="1" applyBorder="1" applyAlignment="1">
      <alignment horizontal="center" vertical="center"/>
    </xf>
    <xf numFmtId="165" fontId="43" fillId="0" borderId="79" xfId="62" applyNumberFormat="1" applyBorder="1" applyAlignment="1">
      <alignment horizontal="center"/>
    </xf>
    <xf numFmtId="0" fontId="43" fillId="0" borderId="0" xfId="61" quotePrefix="1" applyFont="1"/>
    <xf numFmtId="0" fontId="53" fillId="0" borderId="0" xfId="61" applyFont="1" applyAlignment="1">
      <alignment horizontal="right"/>
    </xf>
    <xf numFmtId="43" fontId="21" fillId="0" borderId="0" xfId="47" applyFont="1"/>
    <xf numFmtId="43" fontId="22" fillId="0" borderId="0" xfId="47" applyFont="1" applyAlignment="1">
      <alignment horizontal="right"/>
    </xf>
    <xf numFmtId="0" fontId="39" fillId="0" borderId="76" xfId="0" applyFont="1" applyBorder="1"/>
    <xf numFmtId="0" fontId="39" fillId="0" borderId="77" xfId="0" applyFont="1" applyBorder="1"/>
    <xf numFmtId="0" fontId="53" fillId="0" borderId="78" xfId="59" applyFont="1" applyBorder="1"/>
    <xf numFmtId="0" fontId="39" fillId="0" borderId="79" xfId="0" applyFont="1" applyBorder="1" applyAlignment="1">
      <alignment horizontal="right"/>
    </xf>
    <xf numFmtId="173" fontId="39" fillId="37" borderId="27" xfId="63" applyNumberFormat="1" applyFont="1" applyFill="1" applyBorder="1" applyAlignment="1">
      <alignment horizontal="center" vertical="center"/>
    </xf>
    <xf numFmtId="165" fontId="39" fillId="37" borderId="27" xfId="63" applyNumberFormat="1" applyFont="1" applyFill="1" applyBorder="1" applyAlignment="1">
      <alignment horizontal="center" vertical="center"/>
    </xf>
    <xf numFmtId="165" fontId="39" fillId="37" borderId="22" xfId="63" applyNumberFormat="1" applyFont="1" applyFill="1" applyBorder="1" applyAlignment="1">
      <alignment horizontal="center" vertical="center"/>
    </xf>
    <xf numFmtId="43" fontId="53" fillId="0" borderId="3" xfId="47" applyFont="1" applyBorder="1"/>
    <xf numFmtId="0" fontId="53" fillId="0" borderId="4" xfId="61" applyFont="1" applyBorder="1"/>
    <xf numFmtId="165" fontId="53" fillId="0" borderId="5" xfId="47" applyNumberFormat="1" applyFont="1" applyBorder="1" applyAlignment="1">
      <alignment horizontal="center"/>
    </xf>
    <xf numFmtId="9" fontId="102" fillId="0" borderId="0" xfId="43" applyFont="1" applyAlignment="1">
      <alignment horizontal="left" vertical="top"/>
    </xf>
    <xf numFmtId="0" fontId="31" fillId="0" borderId="0" xfId="71" applyFont="1" applyAlignment="1">
      <alignment vertical="top"/>
    </xf>
    <xf numFmtId="0" fontId="93" fillId="0" borderId="36" xfId="71" applyFont="1" applyBorder="1" applyAlignment="1">
      <alignment vertical="top"/>
    </xf>
    <xf numFmtId="183" fontId="93" fillId="0" borderId="0" xfId="71" applyNumberFormat="1" applyFont="1" applyAlignment="1">
      <alignment horizontal="center" vertical="top"/>
    </xf>
    <xf numFmtId="0" fontId="73" fillId="0" borderId="37" xfId="71" applyFont="1" applyBorder="1" applyAlignment="1">
      <alignment vertical="top"/>
    </xf>
    <xf numFmtId="0" fontId="93" fillId="0" borderId="0" xfId="71" applyFont="1" applyAlignment="1">
      <alignment vertical="top"/>
    </xf>
    <xf numFmtId="0" fontId="39" fillId="0" borderId="0" xfId="71" applyFont="1" applyAlignment="1">
      <alignment vertical="top"/>
    </xf>
    <xf numFmtId="182" fontId="43" fillId="0" borderId="0" xfId="71" applyNumberFormat="1" applyFont="1" applyAlignment="1">
      <alignment vertical="top"/>
    </xf>
    <xf numFmtId="185" fontId="39" fillId="0" borderId="0" xfId="71" applyNumberFormat="1" applyFont="1" applyAlignment="1">
      <alignment vertical="top"/>
    </xf>
    <xf numFmtId="182" fontId="39" fillId="0" borderId="0" xfId="71" applyNumberFormat="1" applyFont="1" applyAlignment="1">
      <alignment vertical="top"/>
    </xf>
    <xf numFmtId="182" fontId="53" fillId="0" borderId="0" xfId="71" applyNumberFormat="1" applyFont="1" applyAlignment="1">
      <alignment horizontal="center" vertical="top"/>
    </xf>
    <xf numFmtId="182" fontId="95" fillId="0" borderId="0" xfId="71" applyNumberFormat="1" applyFont="1" applyAlignment="1">
      <alignment horizontal="center" vertical="top"/>
    </xf>
    <xf numFmtId="165" fontId="22" fillId="0" borderId="0" xfId="43" applyNumberFormat="1" applyFont="1" applyProtection="1">
      <protection locked="0" hidden="1"/>
    </xf>
    <xf numFmtId="164" fontId="39" fillId="0" borderId="0" xfId="45" applyNumberFormat="1" applyFont="1" applyAlignment="1" applyProtection="1">
      <alignment horizontal="right"/>
      <protection locked="0" hidden="1"/>
    </xf>
    <xf numFmtId="0" fontId="39" fillId="0" borderId="0" xfId="44" applyFont="1" applyAlignment="1" applyProtection="1">
      <alignment horizontal="right"/>
      <protection locked="0" hidden="1"/>
    </xf>
    <xf numFmtId="182" fontId="39" fillId="0" borderId="0" xfId="1" applyNumberFormat="1" applyFont="1" applyAlignment="1" applyProtection="1">
      <alignment horizontal="right"/>
      <protection locked="0" hidden="1"/>
    </xf>
    <xf numFmtId="339" fontId="39" fillId="0" borderId="0" xfId="45" applyNumberFormat="1" applyFont="1" applyAlignment="1" applyProtection="1">
      <alignment horizontal="right"/>
      <protection locked="0" hidden="1"/>
    </xf>
    <xf numFmtId="339" fontId="39" fillId="0" borderId="0" xfId="44" applyNumberFormat="1" applyFont="1" applyAlignment="1" applyProtection="1">
      <alignment horizontal="right"/>
      <protection locked="0" hidden="1"/>
    </xf>
    <xf numFmtId="350" fontId="40" fillId="0" borderId="0" xfId="45" applyNumberFormat="1" applyFont="1" applyAlignment="1" applyProtection="1">
      <alignment horizontal="right"/>
      <protection locked="0" hidden="1"/>
    </xf>
    <xf numFmtId="173" fontId="39" fillId="0" borderId="0" xfId="45" applyNumberFormat="1" applyFont="1" applyAlignment="1" applyProtection="1">
      <alignment horizontal="right"/>
      <protection locked="0" hidden="1"/>
    </xf>
    <xf numFmtId="173" fontId="39" fillId="0" borderId="0" xfId="44" applyNumberFormat="1" applyFont="1" applyAlignment="1" applyProtection="1">
      <alignment horizontal="right"/>
      <protection locked="0" hidden="1"/>
    </xf>
    <xf numFmtId="182" fontId="39" fillId="0" borderId="4" xfId="44" applyNumberFormat="1" applyFont="1" applyBorder="1" applyAlignment="1" applyProtection="1">
      <alignment horizontal="right"/>
      <protection locked="0" hidden="1"/>
    </xf>
    <xf numFmtId="182" fontId="39" fillId="0" borderId="0" xfId="44" applyNumberFormat="1" applyFont="1" applyAlignment="1" applyProtection="1">
      <alignment horizontal="right"/>
      <protection locked="0" hidden="1"/>
    </xf>
    <xf numFmtId="173" fontId="40" fillId="0" borderId="0" xfId="45" applyNumberFormat="1" applyFont="1" applyAlignment="1" applyProtection="1">
      <alignment horizontal="right"/>
      <protection locked="0" hidden="1"/>
    </xf>
    <xf numFmtId="173" fontId="40" fillId="0" borderId="0" xfId="44" applyNumberFormat="1" applyFont="1" applyAlignment="1" applyProtection="1">
      <alignment horizontal="right"/>
      <protection locked="0" hidden="1"/>
    </xf>
    <xf numFmtId="166" fontId="39" fillId="0" borderId="0" xfId="44" applyNumberFormat="1" applyFont="1" applyAlignment="1" applyProtection="1">
      <alignment horizontal="right"/>
      <protection locked="0" hidden="1"/>
    </xf>
    <xf numFmtId="166" fontId="39" fillId="0" borderId="0" xfId="45" applyNumberFormat="1" applyFont="1" applyAlignment="1" applyProtection="1">
      <alignment horizontal="right"/>
      <protection locked="0" hidden="1"/>
    </xf>
    <xf numFmtId="350" fontId="39" fillId="0" borderId="0" xfId="44" applyNumberFormat="1" applyFont="1" applyAlignment="1" applyProtection="1">
      <alignment horizontal="right"/>
      <protection locked="0" hidden="1"/>
    </xf>
    <xf numFmtId="350" fontId="40" fillId="0" borderId="0" xfId="44" applyNumberFormat="1" applyFont="1" applyAlignment="1" applyProtection="1">
      <alignment horizontal="right"/>
      <protection locked="0" hidden="1"/>
    </xf>
    <xf numFmtId="166" fontId="39" fillId="49" borderId="80" xfId="44" applyNumberFormat="1" applyFont="1" applyFill="1" applyBorder="1" applyAlignment="1" applyProtection="1">
      <alignment horizontal="right"/>
      <protection locked="0" hidden="1"/>
    </xf>
    <xf numFmtId="182" fontId="39" fillId="0" borderId="0" xfId="1" applyNumberFormat="1" applyFont="1"/>
    <xf numFmtId="339" fontId="40" fillId="0" borderId="0" xfId="1" applyNumberFormat="1" applyFont="1"/>
    <xf numFmtId="166" fontId="39" fillId="0" borderId="0" xfId="1" applyNumberFormat="1" applyFont="1"/>
    <xf numFmtId="350" fontId="39" fillId="0" borderId="0" xfId="1" applyNumberFormat="1" applyFont="1"/>
    <xf numFmtId="350" fontId="40" fillId="0" borderId="0" xfId="1" applyNumberFormat="1" applyFont="1"/>
    <xf numFmtId="166" fontId="39" fillId="34" borderId="80" xfId="0" applyNumberFormat="1" applyFont="1" applyFill="1" applyBorder="1"/>
    <xf numFmtId="164" fontId="92" fillId="0" borderId="63" xfId="0" applyNumberFormat="1" applyFont="1" applyBorder="1"/>
    <xf numFmtId="0" fontId="39" fillId="0" borderId="63" xfId="0" applyFont="1" applyBorder="1"/>
    <xf numFmtId="164" fontId="39" fillId="0" borderId="63" xfId="1" applyNumberFormat="1" applyFont="1" applyBorder="1"/>
    <xf numFmtId="166" fontId="39" fillId="0" borderId="63" xfId="1" applyNumberFormat="1" applyFont="1" applyBorder="1"/>
    <xf numFmtId="166" fontId="39" fillId="0" borderId="63" xfId="1" applyNumberFormat="1" applyFont="1" applyBorder="1" applyAlignment="1">
      <alignment horizontal="right"/>
    </xf>
    <xf numFmtId="165" fontId="39" fillId="0" borderId="21" xfId="43" applyNumberFormat="1" applyFont="1" applyBorder="1"/>
    <xf numFmtId="165" fontId="96" fillId="0" borderId="23" xfId="43" applyNumberFormat="1" applyFont="1" applyBorder="1"/>
    <xf numFmtId="0" fontId="39" fillId="34" borderId="63" xfId="0" applyFont="1" applyFill="1" applyBorder="1"/>
    <xf numFmtId="164" fontId="96" fillId="0" borderId="0" xfId="0" applyNumberFormat="1" applyFont="1"/>
    <xf numFmtId="166" fontId="39" fillId="0" borderId="3" xfId="1" applyNumberFormat="1" applyFont="1" applyBorder="1"/>
    <xf numFmtId="166" fontId="39" fillId="0" borderId="4" xfId="1" applyNumberFormat="1" applyFont="1" applyBorder="1"/>
    <xf numFmtId="350" fontId="96" fillId="0" borderId="23" xfId="1" applyNumberFormat="1" applyFont="1" applyBorder="1"/>
    <xf numFmtId="182" fontId="52" fillId="0" borderId="27" xfId="73" applyNumberFormat="1" applyFont="1" applyBorder="1" applyAlignment="1" applyProtection="1">
      <alignment horizontal="right" vertical="center"/>
      <protection locked="0" hidden="1"/>
    </xf>
    <xf numFmtId="339" fontId="52" fillId="0" borderId="0" xfId="1" applyNumberFormat="1" applyFont="1" applyAlignment="1" applyProtection="1">
      <alignment horizontal="right" vertical="center"/>
      <protection locked="0" hidden="1"/>
    </xf>
    <xf numFmtId="339" fontId="52" fillId="0" borderId="78" xfId="1" applyNumberFormat="1" applyFont="1" applyBorder="1" applyAlignment="1" applyProtection="1">
      <alignment horizontal="right" vertical="center"/>
      <protection locked="0" hidden="1"/>
    </xf>
    <xf numFmtId="173" fontId="52" fillId="0" borderId="0" xfId="1" applyNumberFormat="1" applyFont="1" applyAlignment="1" applyProtection="1">
      <alignment horizontal="right" vertical="center"/>
      <protection locked="0" hidden="1"/>
    </xf>
    <xf numFmtId="173" fontId="39" fillId="0" borderId="0" xfId="1" applyNumberFormat="1" applyFont="1" applyAlignment="1" applyProtection="1">
      <alignment horizontal="right" vertical="center"/>
      <protection locked="0" hidden="1"/>
    </xf>
    <xf numFmtId="173" fontId="52" fillId="0" borderId="0" xfId="73" applyNumberFormat="1" applyFont="1" applyAlignment="1" applyProtection="1">
      <alignment horizontal="right" vertical="center"/>
      <protection locked="0" hidden="1"/>
    </xf>
    <xf numFmtId="173" fontId="39" fillId="0" borderId="0" xfId="73" applyNumberFormat="1" applyFont="1" applyProtection="1">
      <protection locked="0" hidden="1"/>
    </xf>
    <xf numFmtId="173" fontId="39" fillId="0" borderId="0" xfId="1" applyNumberFormat="1" applyFont="1" applyProtection="1">
      <protection locked="0" hidden="1"/>
    </xf>
    <xf numFmtId="173" fontId="39" fillId="0" borderId="78" xfId="73" applyNumberFormat="1" applyFont="1" applyBorder="1" applyAlignment="1" applyProtection="1">
      <alignment horizontal="right" vertical="center"/>
      <protection locked="0" hidden="1"/>
    </xf>
    <xf numFmtId="166" fontId="52" fillId="0" borderId="0" xfId="73" applyNumberFormat="1" applyFont="1" applyAlignment="1" applyProtection="1">
      <alignment horizontal="right" vertical="center"/>
      <protection locked="0" hidden="1"/>
    </xf>
    <xf numFmtId="166" fontId="52" fillId="0" borderId="0" xfId="1" applyNumberFormat="1" applyFont="1" applyAlignment="1" applyProtection="1">
      <alignment horizontal="right" vertical="center"/>
      <protection locked="0" hidden="1"/>
    </xf>
    <xf numFmtId="173" fontId="39" fillId="0" borderId="0" xfId="73" applyNumberFormat="1" applyFont="1" applyAlignment="1" applyProtection="1">
      <alignment horizontal="right" vertical="center"/>
      <protection locked="0" hidden="1"/>
    </xf>
    <xf numFmtId="173" fontId="39" fillId="0" borderId="78" xfId="1" applyNumberFormat="1" applyFont="1" applyBorder="1" applyAlignment="1" applyProtection="1">
      <alignment horizontal="right" vertical="center"/>
      <protection locked="0" hidden="1"/>
    </xf>
    <xf numFmtId="166" fontId="52" fillId="0" borderId="80" xfId="73" applyNumberFormat="1" applyFont="1" applyBorder="1" applyAlignment="1" applyProtection="1">
      <alignment horizontal="right" vertical="center"/>
      <protection locked="0" hidden="1"/>
    </xf>
    <xf numFmtId="166" fontId="52" fillId="0" borderId="80" xfId="0" applyNumberFormat="1" applyFont="1" applyBorder="1"/>
    <xf numFmtId="0" fontId="96" fillId="35" borderId="0" xfId="1" quotePrefix="1" applyNumberFormat="1" applyFont="1" applyFill="1" applyAlignment="1">
      <alignment horizontal="right" wrapText="1"/>
    </xf>
    <xf numFmtId="0" fontId="96" fillId="35" borderId="76" xfId="1" quotePrefix="1" applyNumberFormat="1" applyFont="1" applyFill="1" applyBorder="1" applyAlignment="1">
      <alignment horizontal="right" wrapText="1"/>
    </xf>
    <xf numFmtId="0" fontId="125" fillId="35" borderId="77" xfId="1" quotePrefix="1" applyNumberFormat="1" applyFont="1" applyFill="1" applyBorder="1" applyAlignment="1">
      <alignment horizontal="right" wrapText="1"/>
    </xf>
    <xf numFmtId="0" fontId="96" fillId="35" borderId="77" xfId="1" quotePrefix="1" applyNumberFormat="1" applyFont="1" applyFill="1" applyBorder="1" applyAlignment="1">
      <alignment horizontal="right" wrapText="1" indent="1"/>
    </xf>
    <xf numFmtId="0" fontId="96" fillId="35" borderId="78" xfId="1" quotePrefix="1" applyNumberFormat="1" applyFont="1" applyFill="1" applyBorder="1" applyAlignment="1">
      <alignment horizontal="right" wrapText="1" indent="1"/>
    </xf>
    <xf numFmtId="0" fontId="96" fillId="35" borderId="79" xfId="1" quotePrefix="1" applyNumberFormat="1" applyFont="1" applyFill="1" applyBorder="1" applyAlignment="1">
      <alignment horizontal="right" wrapText="1" indent="1"/>
    </xf>
    <xf numFmtId="1" fontId="96" fillId="35" borderId="77" xfId="45" applyNumberFormat="1" applyFont="1" applyFill="1" applyBorder="1" applyAlignment="1" applyProtection="1">
      <alignment horizontal="right" indent="1"/>
      <protection locked="0" hidden="1"/>
    </xf>
    <xf numFmtId="1" fontId="96" fillId="35" borderId="78" xfId="45" applyNumberFormat="1" applyFont="1" applyFill="1" applyBorder="1" applyAlignment="1" applyProtection="1">
      <alignment horizontal="right" indent="1"/>
      <protection locked="0" hidden="1"/>
    </xf>
    <xf numFmtId="1" fontId="96" fillId="35" borderId="79" xfId="45" applyNumberFormat="1" applyFont="1" applyFill="1" applyBorder="1" applyAlignment="1" applyProtection="1">
      <alignment horizontal="right" indent="1"/>
      <protection locked="0" hidden="1"/>
    </xf>
    <xf numFmtId="1" fontId="96" fillId="0" borderId="0" xfId="45" applyNumberFormat="1" applyFont="1" applyAlignment="1" applyProtection="1">
      <alignment horizontal="right" indent="1"/>
      <protection locked="0" hidden="1"/>
    </xf>
    <xf numFmtId="1" fontId="39" fillId="0" borderId="0" xfId="44" applyNumberFormat="1" applyFont="1" applyAlignment="1" applyProtection="1">
      <alignment horizontal="right" indent="1"/>
      <protection locked="0" hidden="1"/>
    </xf>
    <xf numFmtId="43" fontId="65" fillId="37" borderId="0" xfId="47" applyFont="1" applyFill="1" applyAlignment="1">
      <alignment horizontal="right" wrapText="1"/>
    </xf>
    <xf numFmtId="43" fontId="65" fillId="37" borderId="0" xfId="47" applyFont="1" applyFill="1" applyAlignment="1">
      <alignment horizontal="right"/>
    </xf>
    <xf numFmtId="43" fontId="65" fillId="34" borderId="23" xfId="47" applyFont="1" applyFill="1" applyBorder="1" applyAlignment="1">
      <alignment horizontal="right" wrapText="1"/>
    </xf>
    <xf numFmtId="43" fontId="65" fillId="34" borderId="24" xfId="47" applyFont="1" applyFill="1" applyBorder="1" applyAlignment="1">
      <alignment horizontal="right" wrapText="1"/>
    </xf>
    <xf numFmtId="0" fontId="43" fillId="0" borderId="0" xfId="62" applyAlignment="1">
      <alignment horizontal="right"/>
    </xf>
    <xf numFmtId="0" fontId="43" fillId="34" borderId="23" xfId="61" applyFont="1" applyFill="1" applyBorder="1" applyAlignment="1">
      <alignment horizontal="right"/>
    </xf>
    <xf numFmtId="0" fontId="43" fillId="34" borderId="24" xfId="61" applyFont="1" applyFill="1" applyBorder="1" applyAlignment="1">
      <alignment horizontal="right"/>
    </xf>
    <xf numFmtId="173" fontId="39" fillId="0" borderId="0" xfId="47" applyNumberFormat="1" applyFont="1" applyAlignment="1">
      <alignment horizontal="right" vertical="center" wrapText="1"/>
    </xf>
    <xf numFmtId="7" fontId="39" fillId="0" borderId="0" xfId="63" applyNumberFormat="1" applyFont="1" applyAlignment="1">
      <alignment horizontal="right" vertical="center"/>
    </xf>
    <xf numFmtId="166" fontId="39" fillId="0" borderId="0" xfId="63" applyNumberFormat="1" applyFont="1" applyAlignment="1">
      <alignment horizontal="right" vertical="center"/>
    </xf>
    <xf numFmtId="5" fontId="39" fillId="0" borderId="0" xfId="63" applyNumberFormat="1" applyFont="1" applyAlignment="1">
      <alignment horizontal="right" vertical="center"/>
    </xf>
    <xf numFmtId="166" fontId="39" fillId="34" borderId="23" xfId="63" applyNumberFormat="1" applyFont="1" applyFill="1" applyBorder="1" applyAlignment="1">
      <alignment horizontal="right" vertical="center"/>
    </xf>
    <xf numFmtId="166" fontId="39" fillId="34" borderId="24" xfId="63" applyNumberFormat="1" applyFont="1" applyFill="1" applyBorder="1" applyAlignment="1">
      <alignment horizontal="right" vertical="center"/>
    </xf>
    <xf numFmtId="166" fontId="39" fillId="37" borderId="27" xfId="63" applyNumberFormat="1" applyFont="1" applyFill="1" applyBorder="1" applyAlignment="1">
      <alignment horizontal="right" vertical="center"/>
    </xf>
    <xf numFmtId="166" fontId="39" fillId="37" borderId="22" xfId="63" applyNumberFormat="1" applyFont="1" applyFill="1" applyBorder="1" applyAlignment="1">
      <alignment horizontal="right" vertical="center"/>
    </xf>
    <xf numFmtId="166" fontId="39" fillId="37" borderId="0" xfId="63" applyNumberFormat="1" applyFont="1" applyFill="1" applyAlignment="1">
      <alignment horizontal="right" vertical="center"/>
    </xf>
    <xf numFmtId="166" fontId="39" fillId="37" borderId="24" xfId="63" applyNumberFormat="1" applyFont="1" applyFill="1" applyBorder="1" applyAlignment="1">
      <alignment horizontal="right" vertical="center"/>
    </xf>
    <xf numFmtId="0" fontId="53" fillId="37" borderId="78" xfId="61" applyFont="1" applyFill="1" applyBorder="1"/>
    <xf numFmtId="166" fontId="39" fillId="37" borderId="78" xfId="63" applyNumberFormat="1" applyFont="1" applyFill="1" applyBorder="1" applyAlignment="1">
      <alignment horizontal="right" vertical="center"/>
    </xf>
    <xf numFmtId="166" fontId="39" fillId="37" borderId="79" xfId="63" applyNumberFormat="1" applyFont="1" applyFill="1" applyBorder="1" applyAlignment="1">
      <alignment horizontal="right" vertical="center"/>
    </xf>
    <xf numFmtId="166" fontId="39" fillId="37" borderId="27" xfId="63" applyNumberFormat="1" applyFont="1" applyFill="1" applyBorder="1" applyAlignment="1">
      <alignment horizontal="right" vertical="center" indent="1"/>
    </xf>
    <xf numFmtId="166" fontId="39" fillId="37" borderId="22" xfId="63" applyNumberFormat="1" applyFont="1" applyFill="1" applyBorder="1" applyAlignment="1">
      <alignment horizontal="right" vertical="center" indent="1"/>
    </xf>
    <xf numFmtId="43" fontId="65" fillId="37" borderId="0" xfId="47" applyFont="1" applyFill="1" applyAlignment="1">
      <alignment horizontal="right" wrapText="1" indent="1"/>
    </xf>
    <xf numFmtId="43" fontId="65" fillId="37" borderId="0" xfId="47" applyFont="1" applyFill="1" applyAlignment="1">
      <alignment horizontal="right" indent="1"/>
    </xf>
    <xf numFmtId="0" fontId="277" fillId="0" borderId="0" xfId="0" applyFont="1" applyAlignment="1">
      <alignment horizontal="right" vertical="top" indent="1"/>
    </xf>
    <xf numFmtId="174" fontId="43" fillId="0" borderId="0" xfId="64" applyNumberFormat="1" applyFont="1" applyAlignment="1">
      <alignment horizontal="right" vertical="top" indent="1"/>
    </xf>
    <xf numFmtId="0" fontId="278" fillId="0" borderId="0" xfId="0" applyFont="1" applyAlignment="1">
      <alignment horizontal="right" vertical="top" indent="1"/>
    </xf>
    <xf numFmtId="175" fontId="43" fillId="0" borderId="0" xfId="64" applyNumberFormat="1" applyFont="1" applyAlignment="1">
      <alignment horizontal="right" vertical="top" indent="1"/>
    </xf>
    <xf numFmtId="5" fontId="39" fillId="37" borderId="27" xfId="63" applyNumberFormat="1" applyFont="1" applyFill="1" applyBorder="1" applyAlignment="1">
      <alignment horizontal="right" vertical="top" indent="1"/>
    </xf>
    <xf numFmtId="174" fontId="43" fillId="0" borderId="27" xfId="64" applyNumberFormat="1" applyFont="1" applyBorder="1" applyAlignment="1">
      <alignment horizontal="right" vertical="top" indent="1"/>
    </xf>
    <xf numFmtId="174" fontId="43" fillId="0" borderId="22" xfId="64" applyNumberFormat="1" applyFont="1" applyBorder="1" applyAlignment="1">
      <alignment horizontal="right" vertical="top" indent="1"/>
    </xf>
    <xf numFmtId="5" fontId="39" fillId="37" borderId="0" xfId="63" applyNumberFormat="1" applyFont="1" applyFill="1" applyAlignment="1">
      <alignment horizontal="right" vertical="top" indent="1"/>
    </xf>
    <xf numFmtId="174" fontId="43" fillId="0" borderId="24" xfId="64" applyNumberFormat="1" applyFont="1" applyBorder="1" applyAlignment="1">
      <alignment horizontal="right" vertical="top" indent="1"/>
    </xf>
    <xf numFmtId="0" fontId="43" fillId="0" borderId="78" xfId="62" applyBorder="1" applyAlignment="1">
      <alignment horizontal="right" vertical="top" indent="1"/>
    </xf>
    <xf numFmtId="174" fontId="43" fillId="0" borderId="78" xfId="64" applyNumberFormat="1" applyFont="1" applyBorder="1" applyAlignment="1">
      <alignment horizontal="right" vertical="top" indent="1"/>
    </xf>
    <xf numFmtId="174" fontId="43" fillId="0" borderId="79" xfId="64" applyNumberFormat="1" applyFont="1" applyBorder="1" applyAlignment="1">
      <alignment horizontal="right" vertical="top" indent="1"/>
    </xf>
    <xf numFmtId="166" fontId="39" fillId="0" borderId="0" xfId="63" applyNumberFormat="1" applyFont="1" applyAlignment="1">
      <alignment horizontal="right" vertical="top" indent="1"/>
    </xf>
    <xf numFmtId="166" fontId="43" fillId="0" borderId="0" xfId="63" applyNumberFormat="1" applyFont="1" applyAlignment="1">
      <alignment horizontal="right" vertical="top" indent="1"/>
    </xf>
    <xf numFmtId="166" fontId="43" fillId="0" borderId="0" xfId="64" applyNumberFormat="1" applyFont="1" applyAlignment="1">
      <alignment horizontal="right" vertical="top" indent="1"/>
    </xf>
    <xf numFmtId="166" fontId="39" fillId="37" borderId="27" xfId="63" applyNumberFormat="1" applyFont="1" applyFill="1" applyBorder="1" applyAlignment="1">
      <alignment horizontal="right" vertical="top" indent="1"/>
    </xf>
    <xf numFmtId="166" fontId="39" fillId="37" borderId="0" xfId="63" applyNumberFormat="1" applyFont="1" applyFill="1" applyAlignment="1">
      <alignment horizontal="right" vertical="top" indent="1"/>
    </xf>
    <xf numFmtId="166" fontId="39" fillId="37" borderId="78" xfId="63" applyNumberFormat="1" applyFont="1" applyFill="1" applyBorder="1" applyAlignment="1">
      <alignment horizontal="right" vertical="top" indent="1"/>
    </xf>
    <xf numFmtId="0" fontId="93" fillId="0" borderId="33" xfId="71" applyFont="1" applyBorder="1"/>
    <xf numFmtId="165" fontId="279" fillId="0" borderId="0" xfId="43" applyNumberFormat="1" applyFont="1" applyAlignment="1">
      <alignment horizontal="center" vertical="center"/>
    </xf>
    <xf numFmtId="183" fontId="93" fillId="0" borderId="0" xfId="71" applyNumberFormat="1" applyFont="1" applyAlignment="1">
      <alignment horizontal="center" vertical="center"/>
    </xf>
    <xf numFmtId="0" fontId="73" fillId="0" borderId="0" xfId="71" applyFont="1" applyAlignment="1">
      <alignment vertical="top"/>
    </xf>
    <xf numFmtId="174" fontId="276" fillId="50" borderId="0" xfId="47" applyNumberFormat="1" applyFont="1" applyFill="1" applyAlignment="1">
      <alignment horizontal="center"/>
    </xf>
    <xf numFmtId="0" fontId="43" fillId="0" borderId="76" xfId="62" applyBorder="1"/>
    <xf numFmtId="0" fontId="112" fillId="0" borderId="76" xfId="0" applyFont="1" applyBorder="1" applyAlignment="1">
      <alignment horizontal="right" vertical="center"/>
    </xf>
    <xf numFmtId="38" fontId="118" fillId="0" borderId="82" xfId="1" applyNumberFormat="1" applyFont="1" applyBorder="1" applyAlignment="1">
      <alignment horizontal="center" vertical="center"/>
    </xf>
    <xf numFmtId="0" fontId="112" fillId="0" borderId="77" xfId="0" applyFont="1" applyBorder="1" applyAlignment="1">
      <alignment horizontal="right" vertical="center"/>
    </xf>
    <xf numFmtId="0" fontId="112" fillId="0" borderId="78" xfId="0" quotePrefix="1" applyFont="1" applyBorder="1" applyAlignment="1">
      <alignment horizontal="right" vertical="center"/>
    </xf>
    <xf numFmtId="38" fontId="112" fillId="0" borderId="81" xfId="1" applyNumberFormat="1" applyFont="1" applyBorder="1" applyAlignment="1">
      <alignment horizontal="center" vertical="center"/>
    </xf>
    <xf numFmtId="38" fontId="112" fillId="0" borderId="78" xfId="1" applyNumberFormat="1" applyFont="1" applyBorder="1" applyAlignment="1">
      <alignment horizontal="center" vertical="center"/>
    </xf>
    <xf numFmtId="38" fontId="112" fillId="0" borderId="79" xfId="1" applyNumberFormat="1" applyFont="1" applyBorder="1" applyAlignment="1">
      <alignment horizontal="center" vertical="center"/>
    </xf>
    <xf numFmtId="6" fontId="113" fillId="0" borderId="82" xfId="1" applyNumberFormat="1" applyFont="1" applyBorder="1" applyAlignment="1">
      <alignment horizontal="center" vertical="center"/>
    </xf>
    <xf numFmtId="8" fontId="113" fillId="0" borderId="82" xfId="1" applyNumberFormat="1" applyFont="1" applyBorder="1" applyAlignment="1">
      <alignment horizontal="center" vertical="center"/>
    </xf>
    <xf numFmtId="6" fontId="112" fillId="0" borderId="82" xfId="1" applyNumberFormat="1" applyFont="1" applyBorder="1" applyAlignment="1">
      <alignment horizontal="center" vertical="center"/>
    </xf>
    <xf numFmtId="8" fontId="112" fillId="0" borderId="82" xfId="1" applyNumberFormat="1" applyFont="1" applyBorder="1" applyAlignment="1">
      <alignment horizontal="center" vertical="center"/>
    </xf>
    <xf numFmtId="165" fontId="112" fillId="0" borderId="82" xfId="43" applyNumberFormat="1" applyFont="1" applyBorder="1" applyAlignment="1">
      <alignment horizontal="center"/>
    </xf>
    <xf numFmtId="9" fontId="110" fillId="0" borderId="0" xfId="43" applyFont="1" applyAlignment="1">
      <alignment horizontal="center"/>
    </xf>
    <xf numFmtId="43" fontId="39" fillId="43" borderId="29" xfId="0" applyNumberFormat="1" applyFont="1" applyFill="1" applyBorder="1"/>
    <xf numFmtId="165" fontId="52" fillId="44" borderId="22" xfId="0" applyNumberFormat="1" applyFont="1" applyFill="1" applyBorder="1"/>
    <xf numFmtId="165" fontId="52" fillId="44" borderId="24" xfId="0" applyNumberFormat="1" applyFont="1" applyFill="1" applyBorder="1"/>
    <xf numFmtId="165" fontId="52" fillId="44" borderId="30" xfId="0" applyNumberFormat="1" applyFont="1" applyFill="1" applyBorder="1"/>
    <xf numFmtId="5" fontId="39" fillId="0" borderId="32" xfId="63" applyNumberFormat="1" applyFont="1" applyBorder="1" applyAlignment="1">
      <alignment horizontal="center" vertical="center"/>
    </xf>
    <xf numFmtId="173" fontId="52" fillId="37" borderId="4" xfId="63" applyNumberFormat="1" applyFont="1" applyFill="1" applyBorder="1" applyAlignment="1">
      <alignment horizontal="center" vertical="center"/>
    </xf>
    <xf numFmtId="182" fontId="53" fillId="34" borderId="0" xfId="71" applyNumberFormat="1" applyFont="1" applyFill="1" applyAlignment="1">
      <alignment horizontal="center" vertical="center"/>
    </xf>
    <xf numFmtId="182" fontId="95" fillId="34" borderId="0" xfId="71" applyNumberFormat="1" applyFont="1" applyFill="1" applyAlignment="1">
      <alignment horizontal="center" vertical="center"/>
    </xf>
    <xf numFmtId="165" fontId="42" fillId="0" borderId="27" xfId="0" applyNumberFormat="1" applyFont="1" applyBorder="1"/>
    <xf numFmtId="0" fontId="43" fillId="0" borderId="23" xfId="0" applyFont="1" applyBorder="1"/>
    <xf numFmtId="165" fontId="43" fillId="0" borderId="0" xfId="62" applyNumberFormat="1" applyAlignment="1">
      <alignment horizontal="center"/>
    </xf>
    <xf numFmtId="165" fontId="53" fillId="0" borderId="0" xfId="61" applyNumberFormat="1" applyFont="1" applyAlignment="1">
      <alignment horizontal="center"/>
    </xf>
    <xf numFmtId="165" fontId="53" fillId="0" borderId="5" xfId="61" applyNumberFormat="1" applyFont="1" applyBorder="1" applyAlignment="1">
      <alignment horizontal="center"/>
    </xf>
    <xf numFmtId="165" fontId="53" fillId="0" borderId="4" xfId="47" applyNumberFormat="1" applyFont="1" applyBorder="1" applyAlignment="1">
      <alignment horizontal="center"/>
    </xf>
    <xf numFmtId="174" fontId="53" fillId="37" borderId="78" xfId="47" applyNumberFormat="1" applyFont="1" applyFill="1" applyBorder="1" applyAlignment="1">
      <alignment horizontal="center"/>
    </xf>
    <xf numFmtId="174" fontId="53" fillId="37" borderId="79" xfId="47" applyNumberFormat="1" applyFont="1" applyFill="1" applyBorder="1" applyAlignment="1">
      <alignment horizontal="center"/>
    </xf>
    <xf numFmtId="0" fontId="39" fillId="0" borderId="0" xfId="64" applyFont="1" applyAlignment="1">
      <alignment vertical="top" wrapText="1"/>
    </xf>
    <xf numFmtId="7" fontId="39" fillId="0" borderId="0" xfId="64" applyNumberFormat="1" applyFont="1" applyAlignment="1">
      <alignment vertical="top" wrapText="1"/>
    </xf>
    <xf numFmtId="43" fontId="20" fillId="38" borderId="42" xfId="47" applyFont="1" applyFill="1" applyBorder="1" applyAlignment="1">
      <alignment horizontal="right"/>
    </xf>
    <xf numFmtId="43" fontId="21" fillId="36" borderId="26" xfId="1" applyFont="1" applyFill="1" applyBorder="1" applyAlignment="1" applyProtection="1">
      <alignment horizontal="right"/>
      <protection locked="0" hidden="1"/>
    </xf>
    <xf numFmtId="43" fontId="126" fillId="35" borderId="21" xfId="1" applyFont="1" applyFill="1" applyBorder="1" applyAlignment="1">
      <alignment horizontal="right"/>
    </xf>
    <xf numFmtId="165" fontId="43" fillId="0" borderId="0" xfId="62" applyNumberFormat="1" applyAlignment="1">
      <alignment vertical="top"/>
    </xf>
    <xf numFmtId="165" fontId="52" fillId="0" borderId="4" xfId="47" applyNumberFormat="1" applyFont="1" applyBorder="1" applyAlignment="1">
      <alignment horizontal="center" vertical="center" wrapText="1"/>
    </xf>
    <xf numFmtId="0" fontId="65" fillId="0" borderId="0" xfId="47" applyNumberFormat="1" applyFont="1" applyAlignment="1">
      <alignment horizontal="center" wrapText="1"/>
    </xf>
    <xf numFmtId="165" fontId="39" fillId="0" borderId="62" xfId="63" applyNumberFormat="1" applyFont="1" applyBorder="1" applyAlignment="1">
      <alignment horizontal="center" vertical="center"/>
    </xf>
    <xf numFmtId="165" fontId="52" fillId="0" borderId="4" xfId="63" applyNumberFormat="1" applyFont="1" applyBorder="1" applyAlignment="1">
      <alignment horizontal="center" vertical="center"/>
    </xf>
    <xf numFmtId="173" fontId="53" fillId="37" borderId="27" xfId="63" applyNumberFormat="1" applyFont="1" applyFill="1" applyBorder="1" applyAlignment="1">
      <alignment horizontal="right"/>
    </xf>
    <xf numFmtId="0" fontId="53" fillId="0" borderId="4" xfId="61" applyFont="1" applyBorder="1" applyAlignment="1">
      <alignment horizontal="center"/>
    </xf>
    <xf numFmtId="5" fontId="39" fillId="0" borderId="4" xfId="63" applyNumberFormat="1" applyFont="1" applyBorder="1" applyAlignment="1">
      <alignment horizontal="center" vertical="center"/>
    </xf>
    <xf numFmtId="165" fontId="39" fillId="0" borderId="27" xfId="63" applyNumberFormat="1" applyFont="1" applyBorder="1" applyAlignment="1">
      <alignment horizontal="center" vertical="center"/>
    </xf>
    <xf numFmtId="173" fontId="53" fillId="37" borderId="27" xfId="47" applyNumberFormat="1" applyFont="1" applyFill="1" applyBorder="1" applyAlignment="1">
      <alignment horizontal="center"/>
    </xf>
    <xf numFmtId="173" fontId="39" fillId="37" borderId="22" xfId="63" applyNumberFormat="1" applyFont="1" applyFill="1" applyBorder="1" applyAlignment="1">
      <alignment horizontal="center" vertical="center"/>
    </xf>
    <xf numFmtId="177" fontId="53" fillId="0" borderId="4" xfId="47" applyNumberFormat="1" applyFont="1" applyBorder="1" applyAlignment="1">
      <alignment horizontal="center"/>
    </xf>
    <xf numFmtId="177" fontId="53" fillId="0" borderId="5" xfId="47" applyNumberFormat="1" applyFont="1" applyBorder="1" applyAlignment="1">
      <alignment horizontal="center"/>
    </xf>
    <xf numFmtId="5" fontId="43" fillId="0" borderId="0" xfId="62" applyNumberFormat="1"/>
    <xf numFmtId="165" fontId="39" fillId="0" borderId="0" xfId="44" applyNumberFormat="1" applyFont="1" applyAlignment="1" applyProtection="1">
      <alignment horizontal="right"/>
      <protection locked="0" hidden="1"/>
    </xf>
    <xf numFmtId="350" fontId="39" fillId="0" borderId="0" xfId="0" applyNumberFormat="1" applyFont="1"/>
    <xf numFmtId="350" fontId="39" fillId="34" borderId="37" xfId="0" applyNumberFormat="1" applyFont="1" applyFill="1" applyBorder="1"/>
    <xf numFmtId="0" fontId="39" fillId="0" borderId="17" xfId="0" applyFont="1" applyBorder="1"/>
    <xf numFmtId="0" fontId="39" fillId="0" borderId="65" xfId="0" applyFont="1" applyBorder="1"/>
    <xf numFmtId="165" fontId="39" fillId="0" borderId="16" xfId="43" quotePrefix="1" applyNumberFormat="1" applyFont="1" applyBorder="1"/>
    <xf numFmtId="9" fontId="30" fillId="0" borderId="0" xfId="43" applyFont="1" applyAlignment="1">
      <alignment horizontal="left" vertical="top"/>
    </xf>
    <xf numFmtId="166" fontId="85" fillId="0" borderId="0" xfId="63" applyNumberFormat="1" applyFont="1" applyAlignment="1">
      <alignment horizontal="centerContinuous" vertical="top"/>
    </xf>
    <xf numFmtId="174" fontId="43" fillId="0" borderId="0" xfId="47" applyNumberFormat="1" applyFont="1" applyAlignment="1">
      <alignment horizontal="centerContinuous" vertical="center"/>
    </xf>
    <xf numFmtId="170" fontId="43" fillId="37" borderId="0" xfId="47" applyNumberFormat="1" applyFont="1" applyFill="1" applyAlignment="1">
      <alignment wrapText="1"/>
    </xf>
    <xf numFmtId="170" fontId="43" fillId="37" borderId="0" xfId="47" applyNumberFormat="1" applyFont="1" applyFill="1" applyAlignment="1">
      <alignment horizontal="right" vertical="top" wrapText="1"/>
    </xf>
    <xf numFmtId="170" fontId="43" fillId="37" borderId="0" xfId="47" applyNumberFormat="1" applyFont="1" applyFill="1" applyAlignment="1">
      <alignment vertical="top" wrapText="1"/>
    </xf>
    <xf numFmtId="1" fontId="96" fillId="35" borderId="78" xfId="1" quotePrefix="1" applyNumberFormat="1" applyFont="1" applyFill="1" applyBorder="1" applyAlignment="1">
      <alignment horizontal="right" wrapText="1" indent="1"/>
    </xf>
    <xf numFmtId="350" fontId="43" fillId="0" borderId="0" xfId="1" applyNumberFormat="1" applyFont="1"/>
    <xf numFmtId="165" fontId="53" fillId="44" borderId="5" xfId="0" applyNumberFormat="1" applyFont="1" applyFill="1" applyBorder="1" applyAlignment="1">
      <alignment horizontal="right"/>
    </xf>
    <xf numFmtId="164" fontId="43" fillId="0" borderId="0" xfId="1" quotePrefix="1" applyNumberFormat="1" applyFont="1" applyAlignment="1">
      <alignment horizontal="left"/>
    </xf>
    <xf numFmtId="14" fontId="39" fillId="0" borderId="0" xfId="44" applyNumberFormat="1" applyFont="1" applyAlignment="1" applyProtection="1">
      <alignment horizontal="center"/>
      <protection locked="0" hidden="1"/>
    </xf>
    <xf numFmtId="166" fontId="52" fillId="0" borderId="53" xfId="0" applyNumberFormat="1" applyFont="1" applyBorder="1"/>
    <xf numFmtId="166" fontId="52" fillId="0" borderId="0" xfId="0" applyNumberFormat="1" applyFont="1"/>
    <xf numFmtId="164" fontId="40" fillId="0" borderId="0" xfId="45" applyNumberFormat="1" applyFont="1" applyAlignment="1" applyProtection="1">
      <alignment horizontal="right"/>
      <protection locked="0" hidden="1"/>
    </xf>
    <xf numFmtId="0" fontId="39" fillId="0" borderId="0" xfId="0" applyFont="1" applyAlignment="1" applyProtection="1">
      <alignment vertical="top"/>
      <protection locked="0" hidden="1"/>
    </xf>
    <xf numFmtId="0" fontId="43" fillId="0" borderId="0" xfId="0" quotePrefix="1" applyFont="1" applyAlignment="1">
      <alignment horizontal="right"/>
    </xf>
    <xf numFmtId="166" fontId="52" fillId="41" borderId="0" xfId="0" applyNumberFormat="1" applyFont="1" applyFill="1" applyAlignment="1">
      <alignment horizontal="right"/>
    </xf>
    <xf numFmtId="166" fontId="43" fillId="0" borderId="0" xfId="1" applyNumberFormat="1" applyFont="1"/>
    <xf numFmtId="175" fontId="43" fillId="0" borderId="0" xfId="0" applyNumberFormat="1" applyFont="1"/>
    <xf numFmtId="166" fontId="43" fillId="0" borderId="0" xfId="0" applyNumberFormat="1" applyFont="1"/>
    <xf numFmtId="2" fontId="43" fillId="0" borderId="0" xfId="0" applyNumberFormat="1" applyFont="1"/>
    <xf numFmtId="169" fontId="43" fillId="0" borderId="0" xfId="0" applyNumberFormat="1" applyFont="1"/>
    <xf numFmtId="170" fontId="39" fillId="0" borderId="0" xfId="64" applyNumberFormat="1" applyFont="1" applyAlignment="1">
      <alignment horizontal="center" vertical="top" wrapText="1"/>
    </xf>
    <xf numFmtId="0" fontId="112" fillId="0" borderId="76" xfId="0" quotePrefix="1" applyFont="1" applyBorder="1" applyAlignment="1">
      <alignment horizontal="right" vertical="center"/>
    </xf>
    <xf numFmtId="7" fontId="43" fillId="0" borderId="0" xfId="62" applyNumberFormat="1" applyAlignment="1">
      <alignment horizontal="center"/>
    </xf>
    <xf numFmtId="43" fontId="43" fillId="0" borderId="0" xfId="0" applyNumberFormat="1" applyFont="1"/>
    <xf numFmtId="7" fontId="43" fillId="0" borderId="0" xfId="1" applyNumberFormat="1" applyFont="1"/>
    <xf numFmtId="164" fontId="43" fillId="0" borderId="0" xfId="1" quotePrefix="1" applyNumberFormat="1" applyFont="1" applyAlignment="1">
      <alignment horizontal="left" vertical="top"/>
    </xf>
    <xf numFmtId="166" fontId="43" fillId="0" borderId="0" xfId="63" applyNumberFormat="1" applyFont="1" applyAlignment="1">
      <alignment vertical="top"/>
    </xf>
    <xf numFmtId="0" fontId="52" fillId="0" borderId="3" xfId="0" applyFont="1" applyBorder="1" applyAlignment="1">
      <alignment horizontal="left"/>
    </xf>
    <xf numFmtId="44" fontId="52" fillId="0" borderId="4" xfId="0" applyNumberFormat="1" applyFont="1" applyBorder="1"/>
    <xf numFmtId="0" fontId="52" fillId="0" borderId="5" xfId="0" applyFont="1" applyBorder="1"/>
    <xf numFmtId="0" fontId="31" fillId="0" borderId="78" xfId="0" applyFont="1" applyBorder="1"/>
    <xf numFmtId="0" fontId="282" fillId="0" borderId="3" xfId="0" applyFont="1" applyBorder="1" applyAlignment="1">
      <alignment horizontal="centerContinuous"/>
    </xf>
    <xf numFmtId="176" fontId="282" fillId="0" borderId="4" xfId="0" applyNumberFormat="1" applyFont="1" applyBorder="1" applyAlignment="1">
      <alignment horizontal="centerContinuous"/>
    </xf>
    <xf numFmtId="0" fontId="282" fillId="0" borderId="5" xfId="0" applyFont="1" applyBorder="1" applyAlignment="1">
      <alignment horizontal="centerContinuous"/>
    </xf>
    <xf numFmtId="165" fontId="42" fillId="0" borderId="24" xfId="0" applyNumberFormat="1" applyFont="1" applyBorder="1"/>
    <xf numFmtId="165" fontId="42" fillId="0" borderId="79" xfId="0" applyNumberFormat="1" applyFont="1" applyBorder="1"/>
    <xf numFmtId="166" fontId="43" fillId="34" borderId="71" xfId="63" applyNumberFormat="1" applyFont="1" applyFill="1" applyBorder="1" applyAlignment="1">
      <alignment horizontal="center" vertical="top"/>
    </xf>
    <xf numFmtId="0" fontId="93" fillId="0" borderId="37" xfId="71" quotePrefix="1" applyFont="1" applyBorder="1"/>
    <xf numFmtId="170" fontId="39" fillId="0" borderId="0" xfId="0" applyNumberFormat="1" applyFont="1"/>
    <xf numFmtId="165" fontId="42" fillId="0" borderId="0" xfId="69" applyNumberFormat="1" applyFont="1"/>
    <xf numFmtId="165" fontId="39" fillId="0" borderId="0" xfId="43" applyNumberFormat="1" applyFont="1" applyProtection="1">
      <protection locked="0" hidden="1"/>
    </xf>
    <xf numFmtId="9" fontId="52" fillId="0" borderId="0" xfId="43" applyFont="1"/>
    <xf numFmtId="0" fontId="53" fillId="0" borderId="3" xfId="88" applyFont="1" applyBorder="1" applyAlignment="1" applyProtection="1">
      <alignment horizontal="left"/>
      <protection locked="0"/>
    </xf>
    <xf numFmtId="0" fontId="53" fillId="0" borderId="4" xfId="88" applyFont="1" applyBorder="1" applyAlignment="1" applyProtection="1">
      <alignment horizontal="center"/>
      <protection locked="0"/>
    </xf>
    <xf numFmtId="0" fontId="53" fillId="0" borderId="4" xfId="88" applyFont="1" applyBorder="1" applyAlignment="1" applyProtection="1">
      <alignment horizontal="right"/>
      <protection locked="0"/>
    </xf>
    <xf numFmtId="0" fontId="53" fillId="0" borderId="5" xfId="88" applyFont="1" applyBorder="1" applyAlignment="1" applyProtection="1">
      <alignment horizontal="right"/>
      <protection locked="0"/>
    </xf>
    <xf numFmtId="0" fontId="43" fillId="0" borderId="76" xfId="88" applyFont="1" applyBorder="1" applyProtection="1">
      <protection locked="0"/>
    </xf>
    <xf numFmtId="0" fontId="43" fillId="0" borderId="0" xfId="88" applyFont="1" applyProtection="1">
      <protection locked="0"/>
    </xf>
    <xf numFmtId="186" fontId="43" fillId="0" borderId="0" xfId="47" applyNumberFormat="1" applyFont="1" applyProtection="1">
      <protection locked="0"/>
    </xf>
    <xf numFmtId="10" fontId="43" fillId="0" borderId="24" xfId="85" applyNumberFormat="1" applyFont="1" applyBorder="1" applyAlignment="1" applyProtection="1">
      <alignment horizontal="right"/>
      <protection locked="0"/>
    </xf>
    <xf numFmtId="0" fontId="43" fillId="0" borderId="23" xfId="88" applyFont="1" applyBorder="1" applyProtection="1">
      <protection locked="0"/>
    </xf>
    <xf numFmtId="0" fontId="43" fillId="0" borderId="24" xfId="88" applyFont="1" applyBorder="1" applyAlignment="1" applyProtection="1">
      <alignment horizontal="right"/>
      <protection locked="0"/>
    </xf>
    <xf numFmtId="0" fontId="43" fillId="0" borderId="77" xfId="88" applyFont="1" applyBorder="1" applyProtection="1">
      <protection locked="0"/>
    </xf>
    <xf numFmtId="0" fontId="43" fillId="0" borderId="78" xfId="88" applyFont="1" applyBorder="1" applyProtection="1">
      <protection locked="0"/>
    </xf>
    <xf numFmtId="0" fontId="39" fillId="0" borderId="78" xfId="0" applyFont="1" applyBorder="1"/>
    <xf numFmtId="186" fontId="43" fillId="0" borderId="78" xfId="47" applyNumberFormat="1" applyFont="1" applyBorder="1" applyProtection="1">
      <protection locked="0"/>
    </xf>
    <xf numFmtId="10" fontId="43" fillId="0" borderId="79" xfId="85" applyNumberFormat="1" applyFont="1" applyBorder="1" applyAlignment="1" applyProtection="1">
      <alignment horizontal="right"/>
      <protection locked="0"/>
    </xf>
    <xf numFmtId="0" fontId="123" fillId="0" borderId="77" xfId="88" applyFont="1" applyBorder="1" applyProtection="1">
      <protection locked="0"/>
    </xf>
    <xf numFmtId="0" fontId="123" fillId="0" borderId="78" xfId="88" applyFont="1" applyBorder="1" applyProtection="1">
      <protection locked="0"/>
    </xf>
    <xf numFmtId="186" fontId="123" fillId="0" borderId="78" xfId="47" applyNumberFormat="1" applyFont="1" applyBorder="1" applyProtection="1">
      <protection locked="0"/>
    </xf>
    <xf numFmtId="10" fontId="123" fillId="0" borderId="79" xfId="85" applyNumberFormat="1" applyFont="1" applyBorder="1" applyAlignment="1" applyProtection="1">
      <alignment horizontal="right"/>
      <protection locked="0"/>
    </xf>
    <xf numFmtId="0" fontId="39" fillId="0" borderId="78" xfId="0" applyFont="1" applyBorder="1" applyAlignment="1">
      <alignment wrapText="1"/>
    </xf>
    <xf numFmtId="10" fontId="39" fillId="0" borderId="79" xfId="69" applyNumberFormat="1" applyFont="1" applyBorder="1"/>
    <xf numFmtId="0" fontId="283" fillId="37" borderId="0" xfId="47" applyNumberFormat="1" applyFont="1" applyFill="1" applyAlignment="1">
      <alignment horizontal="center" wrapText="1"/>
    </xf>
    <xf numFmtId="165" fontId="43" fillId="0" borderId="0" xfId="43" applyNumberFormat="1" applyFont="1" applyAlignment="1">
      <alignment horizontal="center"/>
    </xf>
    <xf numFmtId="166" fontId="52" fillId="0" borderId="0" xfId="0" applyNumberFormat="1" applyFont="1" applyAlignment="1">
      <alignment horizontal="right"/>
    </xf>
    <xf numFmtId="177" fontId="281" fillId="0" borderId="0" xfId="47" applyNumberFormat="1" applyFont="1" applyAlignment="1">
      <alignment horizontal="center"/>
    </xf>
    <xf numFmtId="166" fontId="85" fillId="0" borderId="0" xfId="63" applyNumberFormat="1" applyFont="1" applyAlignment="1">
      <alignment vertical="top"/>
    </xf>
    <xf numFmtId="166" fontId="43" fillId="0" borderId="0" xfId="62" applyNumberFormat="1"/>
    <xf numFmtId="166" fontId="43" fillId="34" borderId="3" xfId="63" applyNumberFormat="1" applyFont="1" applyFill="1" applyBorder="1" applyAlignment="1">
      <alignment horizontal="center" vertical="top"/>
    </xf>
    <xf numFmtId="166" fontId="43" fillId="34" borderId="5" xfId="63" applyNumberFormat="1" applyFont="1" applyFill="1" applyBorder="1" applyAlignment="1">
      <alignment horizontal="center" vertical="top"/>
    </xf>
    <xf numFmtId="175" fontId="43" fillId="0" borderId="0" xfId="64" applyNumberFormat="1" applyFont="1" applyAlignment="1">
      <alignment horizontal="left" vertical="top" wrapText="1"/>
    </xf>
    <xf numFmtId="0" fontId="96" fillId="35" borderId="24" xfId="1" quotePrefix="1" applyNumberFormat="1" applyFont="1" applyFill="1" applyBorder="1" applyAlignment="1">
      <alignment horizontal="right" wrapText="1"/>
    </xf>
    <xf numFmtId="0" fontId="125" fillId="35" borderId="78" xfId="1" quotePrefix="1" applyNumberFormat="1" applyFont="1" applyFill="1" applyBorder="1" applyAlignment="1">
      <alignment horizontal="right" wrapText="1"/>
    </xf>
    <xf numFmtId="0" fontId="125" fillId="35" borderId="79" xfId="1" quotePrefix="1" applyNumberFormat="1" applyFont="1" applyFill="1" applyBorder="1" applyAlignment="1">
      <alignment horizontal="right" wrapText="1"/>
    </xf>
    <xf numFmtId="0" fontId="39" fillId="0" borderId="0" xfId="0" quotePrefix="1" applyFont="1" applyAlignment="1">
      <alignment horizontal="center" vertical="top"/>
    </xf>
    <xf numFmtId="0" fontId="53" fillId="0" borderId="77" xfId="59" applyFont="1" applyBorder="1"/>
    <xf numFmtId="0" fontId="53" fillId="0" borderId="79" xfId="59" applyFont="1" applyBorder="1" applyAlignment="1">
      <alignment horizontal="right"/>
    </xf>
    <xf numFmtId="43" fontId="121" fillId="38" borderId="3" xfId="47" applyFont="1" applyFill="1" applyBorder="1"/>
    <xf numFmtId="43" fontId="121" fillId="38" borderId="4" xfId="47" applyFont="1" applyFill="1" applyBorder="1"/>
    <xf numFmtId="14" fontId="121" fillId="38" borderId="5" xfId="0" applyNumberFormat="1" applyFont="1" applyFill="1" applyBorder="1"/>
    <xf numFmtId="43" fontId="126" fillId="35" borderId="74" xfId="1" applyFont="1" applyFill="1" applyBorder="1" applyAlignment="1">
      <alignment horizontal="centerContinuous"/>
    </xf>
    <xf numFmtId="43" fontId="126" fillId="35" borderId="62" xfId="1" applyFont="1" applyFill="1" applyBorder="1" applyAlignment="1">
      <alignment horizontal="centerContinuous"/>
    </xf>
    <xf numFmtId="43" fontId="108" fillId="35" borderId="62" xfId="1" applyFont="1" applyFill="1" applyBorder="1" applyAlignment="1" applyProtection="1">
      <alignment horizontal="centerContinuous" vertical="center"/>
      <protection locked="0" hidden="1"/>
    </xf>
    <xf numFmtId="43" fontId="108" fillId="35" borderId="75" xfId="1" applyFont="1" applyFill="1" applyBorder="1" applyAlignment="1" applyProtection="1">
      <alignment horizontal="centerContinuous" vertical="center"/>
      <protection locked="0" hidden="1"/>
    </xf>
    <xf numFmtId="2" fontId="43" fillId="0" borderId="0" xfId="61" applyNumberFormat="1" applyFont="1" applyAlignment="1">
      <alignment horizontal="center"/>
    </xf>
    <xf numFmtId="165" fontId="130" fillId="0" borderId="0" xfId="43" applyNumberFormat="1" applyFont="1"/>
    <xf numFmtId="0" fontId="43" fillId="0" borderId="0" xfId="74" applyFont="1" applyAlignment="1">
      <alignment horizontal="justify" vertical="top" wrapText="1"/>
    </xf>
    <xf numFmtId="0" fontId="43" fillId="0" borderId="0" xfId="62" applyAlignment="1">
      <alignment horizontal="justify" vertical="top"/>
    </xf>
    <xf numFmtId="14" fontId="39" fillId="0" borderId="0" xfId="44" applyNumberFormat="1" applyFont="1" applyProtection="1">
      <protection locked="0" hidden="1"/>
    </xf>
    <xf numFmtId="0" fontId="52" fillId="37" borderId="82" xfId="61" applyFont="1" applyFill="1" applyBorder="1" applyAlignment="1">
      <alignment horizontal="centerContinuous"/>
    </xf>
    <xf numFmtId="0" fontId="58" fillId="0" borderId="0" xfId="59" applyFont="1" applyAlignment="1">
      <alignment wrapText="1"/>
    </xf>
    <xf numFmtId="43" fontId="21" fillId="38" borderId="42" xfId="47" applyFont="1" applyFill="1" applyBorder="1" applyAlignment="1">
      <alignment wrapText="1"/>
    </xf>
    <xf numFmtId="43" fontId="21" fillId="38" borderId="0" xfId="47" applyFont="1" applyFill="1" applyAlignment="1">
      <alignment wrapText="1"/>
    </xf>
    <xf numFmtId="43" fontId="21" fillId="38" borderId="43" xfId="47" applyFont="1" applyFill="1" applyBorder="1" applyAlignment="1">
      <alignment wrapText="1"/>
    </xf>
    <xf numFmtId="0" fontId="43" fillId="0" borderId="0" xfId="61" applyFont="1" applyAlignment="1">
      <alignment wrapText="1"/>
    </xf>
    <xf numFmtId="0" fontId="52" fillId="37" borderId="0" xfId="61" applyFont="1" applyFill="1" applyAlignment="1">
      <alignment horizontal="center" wrapText="1"/>
    </xf>
    <xf numFmtId="0" fontId="43" fillId="0" borderId="0" xfId="61" applyFont="1" applyAlignment="1">
      <alignment horizontal="center" wrapText="1"/>
    </xf>
    <xf numFmtId="0" fontId="54" fillId="0" borderId="0" xfId="64" applyFont="1" applyAlignment="1">
      <alignment horizontal="center" wrapText="1"/>
    </xf>
    <xf numFmtId="174" fontId="53" fillId="37" borderId="27" xfId="47" applyNumberFormat="1" applyFont="1" applyFill="1" applyBorder="1" applyAlignment="1">
      <alignment horizontal="center" wrapText="1"/>
    </xf>
    <xf numFmtId="174" fontId="53" fillId="37" borderId="0" xfId="47" applyNumberFormat="1" applyFont="1" applyFill="1" applyAlignment="1">
      <alignment horizontal="center" wrapText="1"/>
    </xf>
    <xf numFmtId="174" fontId="53" fillId="37" borderId="78" xfId="47" applyNumberFormat="1" applyFont="1" applyFill="1" applyBorder="1" applyAlignment="1">
      <alignment horizontal="center" wrapText="1"/>
    </xf>
    <xf numFmtId="0" fontId="53" fillId="0" borderId="0" xfId="61" applyFont="1" applyAlignment="1">
      <alignment wrapText="1"/>
    </xf>
    <xf numFmtId="0" fontId="53" fillId="41" borderId="0" xfId="61" applyFont="1" applyFill="1" applyAlignment="1">
      <alignment horizontal="right" wrapText="1"/>
    </xf>
    <xf numFmtId="5" fontId="43" fillId="0" borderId="0" xfId="63" applyNumberFormat="1" applyFont="1" applyAlignment="1">
      <alignment horizontal="right" vertical="top" wrapText="1"/>
    </xf>
    <xf numFmtId="175" fontId="43" fillId="0" borderId="0" xfId="64" applyNumberFormat="1" applyFont="1" applyAlignment="1">
      <alignment horizontal="right" vertical="top" wrapText="1"/>
    </xf>
    <xf numFmtId="0" fontId="53" fillId="39" borderId="0" xfId="61" applyFont="1" applyFill="1" applyAlignment="1">
      <alignment wrapText="1"/>
    </xf>
    <xf numFmtId="0" fontId="43" fillId="0" borderId="0" xfId="60" applyFont="1" applyAlignment="1">
      <alignment wrapText="1"/>
    </xf>
    <xf numFmtId="0" fontId="53" fillId="42" borderId="0" xfId="61" applyFont="1" applyFill="1" applyAlignment="1">
      <alignment wrapText="1"/>
    </xf>
    <xf numFmtId="0" fontId="53" fillId="43" borderId="0" xfId="61" applyFont="1" applyFill="1" applyAlignment="1">
      <alignment horizontal="right" wrapText="1"/>
    </xf>
    <xf numFmtId="180" fontId="43" fillId="0" borderId="0" xfId="63" applyNumberFormat="1" applyFont="1" applyAlignment="1">
      <alignment horizontal="right" vertical="top" wrapText="1"/>
    </xf>
    <xf numFmtId="0" fontId="53" fillId="0" borderId="0" xfId="62" applyFont="1" applyAlignment="1">
      <alignment wrapText="1"/>
    </xf>
    <xf numFmtId="175" fontId="43" fillId="0" borderId="0" xfId="62" applyNumberFormat="1" applyAlignment="1">
      <alignment wrapText="1"/>
    </xf>
    <xf numFmtId="0" fontId="72" fillId="0" borderId="0" xfId="62" applyFont="1" applyAlignment="1">
      <alignment horizontal="center" wrapText="1"/>
    </xf>
    <xf numFmtId="175" fontId="43" fillId="0" borderId="0" xfId="62" applyNumberFormat="1" applyAlignment="1">
      <alignment horizontal="center" wrapText="1"/>
    </xf>
    <xf numFmtId="0" fontId="73" fillId="0" borderId="0" xfId="62" applyFont="1" applyAlignment="1">
      <alignment wrapText="1"/>
    </xf>
    <xf numFmtId="0" fontId="74" fillId="0" borderId="0" xfId="62" applyFont="1" applyAlignment="1">
      <alignment wrapText="1"/>
    </xf>
    <xf numFmtId="174" fontId="53" fillId="37" borderId="75" xfId="47" applyNumberFormat="1" applyFont="1" applyFill="1" applyBorder="1" applyAlignment="1">
      <alignment horizontal="center"/>
    </xf>
    <xf numFmtId="166" fontId="43" fillId="0" borderId="0" xfId="63" applyNumberFormat="1" applyFont="1" applyAlignment="1">
      <alignment horizontal="center" vertical="top"/>
    </xf>
    <xf numFmtId="43" fontId="65" fillId="0" borderId="0" xfId="47" applyFont="1" applyAlignment="1">
      <alignment horizontal="centerContinuous" wrapText="1"/>
    </xf>
    <xf numFmtId="43" fontId="53" fillId="0" borderId="0" xfId="47" applyFont="1" applyAlignment="1">
      <alignment horizontal="centerContinuous" wrapText="1"/>
    </xf>
    <xf numFmtId="0" fontId="43" fillId="0" borderId="0" xfId="62" applyAlignment="1">
      <alignment horizontal="centerContinuous" wrapText="1"/>
    </xf>
    <xf numFmtId="174" fontId="53" fillId="0" borderId="0" xfId="47" applyNumberFormat="1" applyFont="1" applyAlignment="1">
      <alignment horizontal="center"/>
    </xf>
    <xf numFmtId="174" fontId="43" fillId="0" borderId="0" xfId="47" applyNumberFormat="1" applyFont="1" applyAlignment="1">
      <alignment horizontal="centerContinuous"/>
    </xf>
    <xf numFmtId="182" fontId="43" fillId="0" borderId="0" xfId="47" applyNumberFormat="1" applyFont="1" applyAlignment="1">
      <alignment horizontal="centerContinuous"/>
    </xf>
    <xf numFmtId="182" fontId="43" fillId="0" borderId="0" xfId="62" applyNumberFormat="1" applyAlignment="1">
      <alignment horizontal="centerContinuous"/>
    </xf>
    <xf numFmtId="0" fontId="43" fillId="0" borderId="0" xfId="0" quotePrefix="1" applyFont="1" applyAlignment="1">
      <alignment horizontal="center" vertical="top"/>
    </xf>
    <xf numFmtId="350" fontId="96" fillId="0" borderId="0" xfId="1" applyNumberFormat="1" applyFont="1"/>
    <xf numFmtId="43" fontId="67" fillId="0" borderId="83" xfId="1" applyFont="1" applyBorder="1" applyAlignment="1">
      <alignment horizontal="centerContinuous"/>
    </xf>
    <xf numFmtId="43" fontId="67" fillId="34" borderId="83" xfId="1" applyFont="1" applyFill="1" applyBorder="1" applyAlignment="1">
      <alignment horizontal="centerContinuous"/>
    </xf>
    <xf numFmtId="43" fontId="67" fillId="34" borderId="84" xfId="1" applyFont="1" applyFill="1" applyBorder="1" applyAlignment="1">
      <alignment horizontal="centerContinuous"/>
    </xf>
    <xf numFmtId="350" fontId="39" fillId="0" borderId="63" xfId="0" applyNumberFormat="1" applyFont="1" applyBorder="1"/>
    <xf numFmtId="43" fontId="39" fillId="34" borderId="76" xfId="1" applyFont="1" applyFill="1" applyBorder="1" applyAlignment="1">
      <alignment horizontal="left" indent="1"/>
    </xf>
    <xf numFmtId="350" fontId="43" fillId="34" borderId="37" xfId="0" applyNumberFormat="1" applyFont="1" applyFill="1" applyBorder="1"/>
    <xf numFmtId="166" fontId="39" fillId="34" borderId="85" xfId="0" applyNumberFormat="1" applyFont="1" applyFill="1" applyBorder="1"/>
    <xf numFmtId="43" fontId="39" fillId="0" borderId="0" xfId="1" applyFont="1" applyAlignment="1">
      <alignment horizontal="left" indent="1"/>
    </xf>
    <xf numFmtId="43" fontId="126" fillId="35" borderId="75" xfId="1" applyFont="1" applyFill="1" applyBorder="1" applyAlignment="1">
      <alignment horizontal="centerContinuous"/>
    </xf>
    <xf numFmtId="173" fontId="52" fillId="0" borderId="0" xfId="47" applyNumberFormat="1" applyFont="1" applyAlignment="1">
      <alignment horizontal="left"/>
    </xf>
    <xf numFmtId="0" fontId="53" fillId="0" borderId="71" xfId="0" quotePrefix="1" applyFont="1" applyBorder="1" applyAlignment="1">
      <alignment horizontal="left" indent="1"/>
    </xf>
    <xf numFmtId="175" fontId="43" fillId="0" borderId="72" xfId="64" applyNumberFormat="1" applyFont="1" applyBorder="1" applyAlignment="1">
      <alignment horizontal="left" vertical="top"/>
    </xf>
    <xf numFmtId="182" fontId="53" fillId="0" borderId="0" xfId="47" applyNumberFormat="1" applyFont="1" applyAlignment="1">
      <alignment horizontal="centerContinuous"/>
    </xf>
    <xf numFmtId="166" fontId="53" fillId="0" borderId="72" xfId="63" applyNumberFormat="1" applyFont="1" applyBorder="1" applyAlignment="1">
      <alignment horizontal="centerContinuous" vertical="top"/>
    </xf>
    <xf numFmtId="182" fontId="55" fillId="0" borderId="0" xfId="47" applyNumberFormat="1" applyFont="1" applyAlignment="1">
      <alignment horizontal="centerContinuous"/>
    </xf>
    <xf numFmtId="5" fontId="43" fillId="0" borderId="72" xfId="63" applyNumberFormat="1" applyFont="1" applyBorder="1" applyAlignment="1">
      <alignment horizontal="centerContinuous" vertical="top"/>
    </xf>
    <xf numFmtId="5" fontId="43" fillId="0" borderId="76" xfId="63" applyNumberFormat="1" applyFont="1" applyBorder="1" applyAlignment="1">
      <alignment horizontal="right" vertical="top"/>
    </xf>
    <xf numFmtId="166" fontId="92" fillId="0" borderId="0" xfId="0" applyNumberFormat="1" applyFont="1"/>
    <xf numFmtId="165" fontId="284" fillId="0" borderId="0" xfId="43" applyNumberFormat="1" applyFont="1" applyAlignment="1">
      <alignment horizontal="center" vertical="center"/>
    </xf>
    <xf numFmtId="175" fontId="53" fillId="0" borderId="0" xfId="64" applyNumberFormat="1" applyFont="1" applyAlignment="1">
      <alignment horizontal="left" vertical="top"/>
    </xf>
    <xf numFmtId="0" fontId="43" fillId="0" borderId="0" xfId="61" quotePrefix="1" applyFont="1" applyAlignment="1">
      <alignment horizontal="center"/>
    </xf>
    <xf numFmtId="5" fontId="43" fillId="0" borderId="73" xfId="63" applyNumberFormat="1" applyFont="1" applyBorder="1" applyAlignment="1">
      <alignment horizontal="centerContinuous" vertical="top"/>
    </xf>
    <xf numFmtId="175" fontId="53" fillId="41" borderId="71" xfId="64" applyNumberFormat="1" applyFont="1" applyFill="1" applyBorder="1" applyAlignment="1">
      <alignment horizontal="left" vertical="top"/>
    </xf>
    <xf numFmtId="175" fontId="43" fillId="41" borderId="72" xfId="64" applyNumberFormat="1" applyFont="1" applyFill="1" applyBorder="1" applyAlignment="1">
      <alignment horizontal="left" vertical="top"/>
    </xf>
    <xf numFmtId="166" fontId="53" fillId="41" borderId="72" xfId="61" applyNumberFormat="1" applyFont="1" applyFill="1" applyBorder="1" applyAlignment="1">
      <alignment horizontal="right"/>
    </xf>
    <xf numFmtId="166" fontId="53" fillId="41" borderId="73" xfId="61" applyNumberFormat="1" applyFont="1" applyFill="1" applyBorder="1" applyAlignment="1">
      <alignment horizontal="right"/>
    </xf>
    <xf numFmtId="5" fontId="53" fillId="0" borderId="0" xfId="63" applyNumberFormat="1" applyFont="1" applyAlignment="1">
      <alignment horizontal="center" vertical="top"/>
    </xf>
    <xf numFmtId="5" fontId="43" fillId="41" borderId="0" xfId="63" applyNumberFormat="1" applyFont="1" applyFill="1" applyAlignment="1">
      <alignment horizontal="right" vertical="top"/>
    </xf>
    <xf numFmtId="165" fontId="86" fillId="0" borderId="0" xfId="63" applyNumberFormat="1" applyFont="1" applyAlignment="1">
      <alignment horizontal="right" vertical="top"/>
    </xf>
    <xf numFmtId="165" fontId="31" fillId="0" borderId="0" xfId="44" applyNumberFormat="1" applyFont="1" applyProtection="1">
      <protection locked="0" hidden="1"/>
    </xf>
    <xf numFmtId="0" fontId="1" fillId="0" borderId="0" xfId="81"/>
    <xf numFmtId="6" fontId="30" fillId="50" borderId="0" xfId="81" applyNumberFormat="1" applyFont="1" applyFill="1"/>
    <xf numFmtId="0" fontId="30" fillId="0" borderId="74" xfId="0" applyFont="1" applyBorder="1"/>
    <xf numFmtId="0" fontId="0" fillId="0" borderId="75" xfId="0" applyBorder="1"/>
    <xf numFmtId="43" fontId="0" fillId="0" borderId="24" xfId="75" applyFont="1" applyBorder="1"/>
    <xf numFmtId="0" fontId="0" fillId="0" borderId="23" xfId="0" applyBorder="1"/>
    <xf numFmtId="0" fontId="30" fillId="0" borderId="71" xfId="0" applyFont="1" applyBorder="1"/>
    <xf numFmtId="43" fontId="30" fillId="0" borderId="73" xfId="0" applyNumberFormat="1" applyFont="1" applyBorder="1"/>
    <xf numFmtId="165" fontId="86" fillId="41" borderId="0" xfId="63" applyNumberFormat="1" applyFont="1" applyFill="1" applyAlignment="1">
      <alignment horizontal="right" vertical="top"/>
    </xf>
    <xf numFmtId="0" fontId="0" fillId="101" borderId="0" xfId="0" applyFill="1"/>
    <xf numFmtId="0" fontId="111" fillId="51" borderId="86" xfId="0" applyFont="1" applyFill="1" applyBorder="1" applyAlignment="1">
      <alignment horizontal="center" vertical="center" wrapText="1"/>
    </xf>
    <xf numFmtId="0" fontId="115" fillId="46" borderId="71" xfId="0" applyFont="1" applyFill="1" applyBorder="1" applyAlignment="1">
      <alignment horizontal="centerContinuous" vertical="center"/>
    </xf>
    <xf numFmtId="0" fontId="115" fillId="46" borderId="72" xfId="0" applyFont="1" applyFill="1" applyBorder="1" applyAlignment="1">
      <alignment horizontal="centerContinuous" vertical="center"/>
    </xf>
    <xf numFmtId="0" fontId="115" fillId="46" borderId="73" xfId="0" applyFont="1" applyFill="1" applyBorder="1" applyAlignment="1">
      <alignment horizontal="centerContinuous" vertical="center"/>
    </xf>
    <xf numFmtId="0" fontId="112" fillId="45" borderId="71" xfId="0" applyFont="1" applyFill="1" applyBorder="1" applyAlignment="1">
      <alignment horizontal="center" vertical="center"/>
    </xf>
    <xf numFmtId="0" fontId="112" fillId="45" borderId="86" xfId="0" applyFont="1" applyFill="1" applyBorder="1" applyAlignment="1">
      <alignment horizontal="center" vertical="center"/>
    </xf>
    <xf numFmtId="9" fontId="113" fillId="0" borderId="0" xfId="43" applyFont="1" applyAlignment="1">
      <alignment horizontal="center" wrapText="1"/>
    </xf>
    <xf numFmtId="0" fontId="110" fillId="0" borderId="72" xfId="0" applyFont="1" applyBorder="1"/>
    <xf numFmtId="0" fontId="112" fillId="0" borderId="74" xfId="0" applyFont="1" applyBorder="1" applyAlignment="1">
      <alignment horizontal="right" vertical="center"/>
    </xf>
    <xf numFmtId="0" fontId="112" fillId="0" borderId="62" xfId="0" quotePrefix="1" applyFont="1" applyBorder="1" applyAlignment="1">
      <alignment horizontal="right" vertical="center"/>
    </xf>
    <xf numFmtId="6" fontId="112" fillId="0" borderId="69" xfId="1" applyNumberFormat="1" applyFont="1" applyBorder="1" applyAlignment="1">
      <alignment horizontal="center" vertical="center"/>
    </xf>
    <xf numFmtId="6" fontId="112" fillId="0" borderId="62" xfId="1" applyNumberFormat="1" applyFont="1" applyBorder="1" applyAlignment="1">
      <alignment horizontal="center" vertical="center"/>
    </xf>
    <xf numFmtId="6" fontId="112" fillId="0" borderId="75" xfId="1" applyNumberFormat="1" applyFont="1" applyBorder="1" applyAlignment="1">
      <alignment horizontal="center" vertical="center"/>
    </xf>
    <xf numFmtId="8" fontId="112" fillId="0" borderId="69" xfId="1" applyNumberFormat="1" applyFont="1" applyBorder="1" applyAlignment="1">
      <alignment horizontal="center" vertical="center"/>
    </xf>
    <xf numFmtId="8" fontId="112" fillId="0" borderId="62" xfId="1" applyNumberFormat="1" applyFont="1" applyBorder="1" applyAlignment="1">
      <alignment horizontal="center" vertical="center"/>
    </xf>
    <xf numFmtId="8" fontId="112" fillId="0" borderId="75" xfId="1" applyNumberFormat="1" applyFont="1" applyBorder="1" applyAlignment="1">
      <alignment horizontal="center" vertical="center"/>
    </xf>
    <xf numFmtId="0" fontId="110" fillId="0" borderId="82" xfId="0" applyFont="1" applyBorder="1" applyAlignment="1">
      <alignment horizontal="center"/>
    </xf>
    <xf numFmtId="6" fontId="110" fillId="0" borderId="82" xfId="0" applyNumberFormat="1" applyFont="1" applyBorder="1" applyAlignment="1">
      <alignment horizontal="center"/>
    </xf>
    <xf numFmtId="8" fontId="110" fillId="0" borderId="82" xfId="0" applyNumberFormat="1" applyFont="1" applyBorder="1" applyAlignment="1">
      <alignment horizontal="center"/>
    </xf>
    <xf numFmtId="0" fontId="112" fillId="2" borderId="71" xfId="0" applyFont="1" applyFill="1" applyBorder="1" applyAlignment="1">
      <alignment horizontal="right" vertical="center"/>
    </xf>
    <xf numFmtId="0" fontId="111" fillId="2" borderId="72" xfId="0" applyFont="1" applyFill="1" applyBorder="1" applyAlignment="1">
      <alignment vertical="center"/>
    </xf>
    <xf numFmtId="6" fontId="112" fillId="2" borderId="86" xfId="1" applyNumberFormat="1" applyFont="1" applyFill="1" applyBorder="1" applyAlignment="1">
      <alignment horizontal="center" vertical="center"/>
    </xf>
    <xf numFmtId="6" fontId="112" fillId="2" borderId="72" xfId="1" applyNumberFormat="1" applyFont="1" applyFill="1" applyBorder="1" applyAlignment="1">
      <alignment horizontal="center" vertical="center"/>
    </xf>
    <xf numFmtId="6" fontId="112" fillId="2" borderId="73" xfId="1" applyNumberFormat="1" applyFont="1" applyFill="1" applyBorder="1" applyAlignment="1">
      <alignment horizontal="center" vertical="center"/>
    </xf>
    <xf numFmtId="8" fontId="112" fillId="2" borderId="86" xfId="1" applyNumberFormat="1" applyFont="1" applyFill="1" applyBorder="1" applyAlignment="1">
      <alignment horizontal="center" vertical="center"/>
    </xf>
    <xf numFmtId="8" fontId="112" fillId="2" borderId="72" xfId="1" applyNumberFormat="1" applyFont="1" applyFill="1" applyBorder="1" applyAlignment="1">
      <alignment horizontal="center" vertical="center"/>
    </xf>
    <xf numFmtId="8" fontId="112" fillId="2" borderId="73" xfId="1" applyNumberFormat="1" applyFont="1" applyFill="1" applyBorder="1" applyAlignment="1">
      <alignment horizontal="center" vertical="center"/>
    </xf>
    <xf numFmtId="164" fontId="110" fillId="0" borderId="82" xfId="0" applyNumberFormat="1" applyFont="1" applyBorder="1" applyAlignment="1">
      <alignment horizontal="center"/>
    </xf>
    <xf numFmtId="43" fontId="110" fillId="0" borderId="82" xfId="0" applyNumberFormat="1" applyFont="1" applyBorder="1" applyAlignment="1">
      <alignment horizontal="center"/>
    </xf>
    <xf numFmtId="0" fontId="113" fillId="50" borderId="0" xfId="0" applyFont="1" applyFill="1" applyAlignment="1">
      <alignment horizontal="right"/>
    </xf>
    <xf numFmtId="6" fontId="113" fillId="50" borderId="82" xfId="1" applyNumberFormat="1" applyFont="1" applyFill="1" applyBorder="1" applyAlignment="1">
      <alignment horizontal="center" vertical="center"/>
    </xf>
    <xf numFmtId="6" fontId="113" fillId="50" borderId="0" xfId="1" applyNumberFormat="1" applyFont="1" applyFill="1" applyAlignment="1">
      <alignment horizontal="center" vertical="center"/>
    </xf>
    <xf numFmtId="6" fontId="113" fillId="50" borderId="24" xfId="1" applyNumberFormat="1" applyFont="1" applyFill="1" applyBorder="1" applyAlignment="1">
      <alignment horizontal="center" vertical="center"/>
    </xf>
    <xf numFmtId="0" fontId="112" fillId="52" borderId="71" xfId="0" applyFont="1" applyFill="1" applyBorder="1" applyAlignment="1">
      <alignment horizontal="right" vertical="center"/>
    </xf>
    <xf numFmtId="0" fontId="60" fillId="52" borderId="72" xfId="0" applyFont="1" applyFill="1" applyBorder="1" applyAlignment="1">
      <alignment horizontal="right" vertical="center"/>
    </xf>
    <xf numFmtId="6" fontId="112" fillId="52" borderId="86" xfId="1" applyNumberFormat="1" applyFont="1" applyFill="1" applyBorder="1" applyAlignment="1">
      <alignment horizontal="center" vertical="center"/>
    </xf>
    <xf numFmtId="6" fontId="112" fillId="52" borderId="72" xfId="1" applyNumberFormat="1" applyFont="1" applyFill="1" applyBorder="1" applyAlignment="1">
      <alignment horizontal="center" vertical="center"/>
    </xf>
    <xf numFmtId="6" fontId="112" fillId="52" borderId="73" xfId="1" applyNumberFormat="1" applyFont="1" applyFill="1" applyBorder="1" applyAlignment="1">
      <alignment horizontal="center" vertical="center"/>
    </xf>
    <xf numFmtId="8" fontId="112" fillId="52" borderId="86" xfId="1" applyNumberFormat="1" applyFont="1" applyFill="1" applyBorder="1" applyAlignment="1">
      <alignment horizontal="center" vertical="center"/>
    </xf>
    <xf numFmtId="8" fontId="112" fillId="52" borderId="72" xfId="1" applyNumberFormat="1" applyFont="1" applyFill="1" applyBorder="1" applyAlignment="1">
      <alignment horizontal="center" vertical="center"/>
    </xf>
    <xf numFmtId="8" fontId="112" fillId="52" borderId="73" xfId="1" applyNumberFormat="1" applyFont="1" applyFill="1" applyBorder="1" applyAlignment="1">
      <alignment horizontal="center" vertical="center"/>
    </xf>
    <xf numFmtId="43" fontId="112" fillId="0" borderId="81" xfId="1" applyFont="1" applyBorder="1" applyAlignment="1">
      <alignment horizontal="center" vertical="center"/>
    </xf>
    <xf numFmtId="43" fontId="112" fillId="0" borderId="78" xfId="1" applyFont="1" applyBorder="1" applyAlignment="1">
      <alignment horizontal="center" vertical="center"/>
    </xf>
    <xf numFmtId="43" fontId="112" fillId="0" borderId="79" xfId="1" applyFont="1" applyBorder="1" applyAlignment="1">
      <alignment horizontal="center" vertical="center"/>
    </xf>
    <xf numFmtId="6" fontId="113" fillId="0" borderId="69" xfId="1" applyNumberFormat="1" applyFont="1" applyBorder="1" applyAlignment="1">
      <alignment horizontal="center" vertical="center"/>
    </xf>
    <xf numFmtId="6" fontId="113" fillId="0" borderId="62" xfId="1" applyNumberFormat="1" applyFont="1" applyBorder="1" applyAlignment="1">
      <alignment horizontal="center" vertical="center"/>
    </xf>
    <xf numFmtId="6" fontId="113" fillId="0" borderId="75" xfId="1" applyNumberFormat="1" applyFont="1" applyBorder="1" applyAlignment="1">
      <alignment horizontal="center" vertical="center"/>
    </xf>
    <xf numFmtId="8" fontId="113" fillId="0" borderId="69" xfId="1" applyNumberFormat="1" applyFont="1" applyBorder="1" applyAlignment="1">
      <alignment horizontal="center" vertical="center"/>
    </xf>
    <xf numFmtId="8" fontId="113" fillId="0" borderId="62" xfId="1" applyNumberFormat="1" applyFont="1" applyBorder="1" applyAlignment="1">
      <alignment horizontal="center" vertical="center"/>
    </xf>
    <xf numFmtId="8" fontId="113" fillId="0" borderId="75" xfId="1" applyNumberFormat="1" applyFont="1" applyBorder="1" applyAlignment="1">
      <alignment horizontal="center" vertical="center"/>
    </xf>
    <xf numFmtId="165" fontId="112" fillId="2" borderId="86" xfId="43" applyNumberFormat="1" applyFont="1" applyFill="1" applyBorder="1" applyAlignment="1">
      <alignment horizontal="center" vertical="center"/>
    </xf>
    <xf numFmtId="165" fontId="112" fillId="2" borderId="72" xfId="43" applyNumberFormat="1" applyFont="1" applyFill="1" applyBorder="1" applyAlignment="1">
      <alignment horizontal="center" vertical="center"/>
    </xf>
    <xf numFmtId="165" fontId="112" fillId="2" borderId="73" xfId="43" applyNumberFormat="1" applyFont="1" applyFill="1" applyBorder="1" applyAlignment="1">
      <alignment horizontal="center" vertical="center"/>
    </xf>
    <xf numFmtId="165" fontId="110" fillId="0" borderId="0" xfId="43" applyNumberFormat="1" applyFont="1" applyAlignment="1">
      <alignment horizontal="center"/>
    </xf>
    <xf numFmtId="0" fontId="112" fillId="50" borderId="71" xfId="0" applyFont="1" applyFill="1" applyBorder="1" applyAlignment="1">
      <alignment horizontal="right" vertical="center"/>
    </xf>
    <xf numFmtId="0" fontId="60" fillId="50" borderId="72" xfId="0" applyFont="1" applyFill="1" applyBorder="1" applyAlignment="1">
      <alignment horizontal="right" vertical="center"/>
    </xf>
    <xf numFmtId="6" fontId="112" fillId="50" borderId="86" xfId="1" applyNumberFormat="1" applyFont="1" applyFill="1" applyBorder="1" applyAlignment="1">
      <alignment horizontal="center" vertical="center"/>
    </xf>
    <xf numFmtId="6" fontId="112" fillId="50" borderId="72" xfId="1" applyNumberFormat="1" applyFont="1" applyFill="1" applyBorder="1" applyAlignment="1">
      <alignment horizontal="center" vertical="center"/>
    </xf>
    <xf numFmtId="6" fontId="112" fillId="50" borderId="73" xfId="1" applyNumberFormat="1" applyFont="1" applyFill="1" applyBorder="1" applyAlignment="1">
      <alignment horizontal="center" vertical="center"/>
    </xf>
    <xf numFmtId="8" fontId="112" fillId="50" borderId="86" xfId="1" applyNumberFormat="1" applyFont="1" applyFill="1" applyBorder="1" applyAlignment="1">
      <alignment horizontal="center" vertical="center"/>
    </xf>
    <xf numFmtId="8" fontId="112" fillId="50" borderId="72" xfId="1" applyNumberFormat="1" applyFont="1" applyFill="1" applyBorder="1" applyAlignment="1">
      <alignment horizontal="center" vertical="center"/>
    </xf>
    <xf numFmtId="8" fontId="112" fillId="50" borderId="73" xfId="1" applyNumberFormat="1" applyFont="1" applyFill="1" applyBorder="1" applyAlignment="1">
      <alignment horizontal="center" vertical="center"/>
    </xf>
    <xf numFmtId="8" fontId="113" fillId="50" borderId="82" xfId="1" applyNumberFormat="1" applyFont="1" applyFill="1" applyBorder="1" applyAlignment="1">
      <alignment horizontal="center" vertical="center"/>
    </xf>
    <xf numFmtId="165" fontId="110" fillId="0" borderId="73" xfId="83" applyNumberFormat="1" applyFont="1" applyBorder="1" applyAlignment="1">
      <alignment horizontal="center"/>
    </xf>
    <xf numFmtId="0" fontId="110" fillId="0" borderId="71" xfId="19741" applyFont="1" applyBorder="1"/>
    <xf numFmtId="165" fontId="110" fillId="0" borderId="72" xfId="83" applyNumberFormat="1" applyFont="1" applyBorder="1" applyAlignment="1">
      <alignment horizontal="center"/>
    </xf>
    <xf numFmtId="0" fontId="0" fillId="50" borderId="0" xfId="0" applyFill="1"/>
    <xf numFmtId="0" fontId="110" fillId="0" borderId="72" xfId="19741" applyFont="1" applyBorder="1"/>
    <xf numFmtId="165" fontId="110" fillId="0" borderId="0" xfId="83" applyNumberFormat="1" applyFont="1"/>
    <xf numFmtId="14" fontId="0" fillId="0" borderId="0" xfId="0" applyNumberFormat="1"/>
    <xf numFmtId="19" fontId="0" fillId="0" borderId="0" xfId="0" applyNumberFormat="1"/>
    <xf numFmtId="8" fontId="0" fillId="0" borderId="0" xfId="0" applyNumberFormat="1"/>
    <xf numFmtId="8" fontId="18" fillId="0" borderId="0" xfId="0" applyNumberFormat="1" applyFont="1"/>
    <xf numFmtId="0" fontId="18" fillId="0" borderId="0" xfId="0" applyFont="1"/>
    <xf numFmtId="165" fontId="43" fillId="0" borderId="0" xfId="43" applyNumberFormat="1" applyFont="1" applyAlignment="1">
      <alignment horizontal="right"/>
    </xf>
    <xf numFmtId="9" fontId="43" fillId="0" borderId="0" xfId="43" applyFont="1" applyAlignment="1">
      <alignment horizontal="right" vertical="top"/>
    </xf>
    <xf numFmtId="165" fontId="43" fillId="0" borderId="0" xfId="43" applyNumberFormat="1" applyFont="1" applyAlignment="1">
      <alignment horizontal="right" vertical="top"/>
    </xf>
    <xf numFmtId="165" fontId="53" fillId="39" borderId="0" xfId="43" applyNumberFormat="1" applyFont="1" applyFill="1"/>
    <xf numFmtId="165" fontId="53" fillId="0" borderId="0" xfId="43" applyNumberFormat="1" applyFont="1" applyAlignment="1">
      <alignment horizontal="right" vertical="top"/>
    </xf>
    <xf numFmtId="165" fontId="43" fillId="39" borderId="0" xfId="43" applyNumberFormat="1" applyFont="1" applyFill="1"/>
    <xf numFmtId="9" fontId="53" fillId="0" borderId="0" xfId="43" applyFont="1" applyAlignment="1">
      <alignment horizontal="right" vertical="top"/>
    </xf>
    <xf numFmtId="5" fontId="53" fillId="0" borderId="0" xfId="63" applyNumberFormat="1" applyFont="1" applyAlignment="1">
      <alignment horizontal="right" vertical="top"/>
    </xf>
    <xf numFmtId="165" fontId="93" fillId="0" borderId="0" xfId="43" applyNumberFormat="1" applyFont="1" applyAlignment="1">
      <alignment horizontal="center" vertical="center"/>
    </xf>
    <xf numFmtId="182" fontId="39" fillId="0" borderId="0" xfId="0" applyNumberFormat="1" applyFont="1" applyAlignment="1" applyProtection="1">
      <alignment horizontal="left" wrapText="1"/>
      <protection locked="0" hidden="1"/>
    </xf>
    <xf numFmtId="339" fontId="39" fillId="0" borderId="0" xfId="0" applyNumberFormat="1" applyFont="1" applyAlignment="1" applyProtection="1">
      <alignment horizontal="left" wrapText="1"/>
      <protection locked="0" hidden="1"/>
    </xf>
    <xf numFmtId="173" fontId="40" fillId="0" borderId="0" xfId="1" applyNumberFormat="1" applyFont="1" applyAlignment="1" applyProtection="1">
      <alignment horizontal="right" vertical="center"/>
      <protection locked="0" hidden="1"/>
    </xf>
    <xf numFmtId="9" fontId="39" fillId="0" borderId="0" xfId="43" applyFont="1" applyAlignment="1" applyProtection="1">
      <alignment horizontal="right" vertical="center"/>
      <protection locked="0" hidden="1"/>
    </xf>
    <xf numFmtId="173" fontId="39" fillId="0" borderId="0" xfId="0" applyNumberFormat="1" applyFont="1"/>
    <xf numFmtId="166" fontId="39" fillId="0" borderId="0" xfId="0" applyNumberFormat="1" applyFont="1"/>
    <xf numFmtId="268" fontId="93" fillId="0" borderId="0" xfId="71" applyNumberFormat="1" applyFont="1" applyAlignment="1">
      <alignment horizontal="center" vertical="center"/>
    </xf>
    <xf numFmtId="268" fontId="94" fillId="0" borderId="0" xfId="71" applyNumberFormat="1" applyFont="1" applyAlignment="1">
      <alignment horizontal="center" vertical="center"/>
    </xf>
    <xf numFmtId="268" fontId="93" fillId="0" borderId="0" xfId="71" applyNumberFormat="1" applyFont="1" applyAlignment="1">
      <alignment horizontal="center" vertical="top"/>
    </xf>
    <xf numFmtId="268" fontId="94" fillId="0" borderId="0" xfId="71" applyNumberFormat="1" applyFont="1" applyAlignment="1">
      <alignment horizontal="center" vertical="top"/>
    </xf>
    <xf numFmtId="268" fontId="30" fillId="0" borderId="0" xfId="71" applyNumberFormat="1" applyFont="1"/>
    <xf numFmtId="268" fontId="93" fillId="34" borderId="65" xfId="71" applyNumberFormat="1" applyFont="1" applyFill="1" applyBorder="1" applyAlignment="1">
      <alignment horizontal="center" vertical="center"/>
    </xf>
    <xf numFmtId="268" fontId="94" fillId="34" borderId="31" xfId="71" applyNumberFormat="1" applyFont="1" applyFill="1" applyBorder="1" applyAlignment="1">
      <alignment horizontal="center" vertical="center"/>
    </xf>
    <xf numFmtId="268" fontId="93" fillId="34" borderId="16" xfId="71" applyNumberFormat="1" applyFont="1" applyFill="1" applyBorder="1" applyAlignment="1">
      <alignment horizontal="center" vertical="center"/>
    </xf>
    <xf numFmtId="268" fontId="31" fillId="0" borderId="0" xfId="71" applyNumberFormat="1" applyFont="1" applyAlignment="1">
      <alignment horizontal="center"/>
    </xf>
    <xf numFmtId="268" fontId="73" fillId="0" borderId="0" xfId="71" applyNumberFormat="1" applyFont="1" applyAlignment="1">
      <alignment horizontal="center"/>
    </xf>
    <xf numFmtId="182" fontId="93" fillId="34" borderId="65" xfId="71" applyNumberFormat="1" applyFont="1" applyFill="1" applyBorder="1" applyAlignment="1">
      <alignment vertical="center"/>
    </xf>
    <xf numFmtId="268" fontId="94" fillId="34" borderId="65" xfId="71" applyNumberFormat="1" applyFont="1" applyFill="1" applyBorder="1" applyAlignment="1">
      <alignment horizontal="center" vertical="center"/>
    </xf>
    <xf numFmtId="44" fontId="93" fillId="34" borderId="16" xfId="71" applyNumberFormat="1" applyFont="1" applyFill="1" applyBorder="1" applyAlignment="1">
      <alignment horizontal="center" vertical="center"/>
    </xf>
    <xf numFmtId="44" fontId="93" fillId="34" borderId="65" xfId="71" applyNumberFormat="1" applyFont="1" applyFill="1" applyBorder="1" applyAlignment="1">
      <alignment horizontal="center" vertical="center"/>
    </xf>
    <xf numFmtId="176" fontId="53" fillId="37" borderId="62" xfId="63" applyNumberFormat="1" applyFont="1" applyFill="1" applyBorder="1" applyAlignment="1">
      <alignment horizontal="right"/>
    </xf>
    <xf numFmtId="176" fontId="53" fillId="37" borderId="78" xfId="63" applyNumberFormat="1" applyFont="1" applyFill="1" applyBorder="1" applyAlignment="1">
      <alignment horizontal="right"/>
    </xf>
    <xf numFmtId="174" fontId="53" fillId="37" borderId="62" xfId="47" applyNumberFormat="1" applyFont="1" applyFill="1" applyBorder="1" applyAlignment="1">
      <alignment horizontal="center"/>
    </xf>
    <xf numFmtId="166" fontId="39" fillId="37" borderId="75" xfId="63" applyNumberFormat="1" applyFont="1" applyFill="1" applyBorder="1" applyAlignment="1">
      <alignment horizontal="right" vertical="center" indent="1"/>
    </xf>
    <xf numFmtId="350" fontId="42" fillId="0" borderId="0" xfId="1" applyNumberFormat="1" applyFont="1"/>
    <xf numFmtId="43" fontId="93" fillId="0" borderId="63" xfId="45" applyFont="1" applyFill="1" applyBorder="1" applyAlignment="1">
      <alignment vertical="center"/>
    </xf>
    <xf numFmtId="182" fontId="93" fillId="0" borderId="63" xfId="71" applyNumberFormat="1" applyFont="1" applyFill="1" applyBorder="1" applyAlignment="1">
      <alignment vertical="center"/>
    </xf>
    <xf numFmtId="268" fontId="93" fillId="0" borderId="63" xfId="71" applyNumberFormat="1" applyFont="1" applyFill="1" applyBorder="1" applyAlignment="1">
      <alignment horizontal="center" vertical="center"/>
    </xf>
    <xf numFmtId="268" fontId="94" fillId="0" borderId="63" xfId="71" applyNumberFormat="1" applyFont="1" applyFill="1" applyBorder="1" applyAlignment="1">
      <alignment horizontal="center" vertical="center"/>
    </xf>
    <xf numFmtId="0" fontId="43" fillId="0" borderId="69" xfId="71" applyFont="1" applyBorder="1"/>
    <xf numFmtId="0" fontId="43" fillId="0" borderId="82" xfId="71" applyFont="1" applyBorder="1"/>
    <xf numFmtId="0" fontId="43" fillId="0" borderId="81" xfId="71" applyFont="1" applyBorder="1"/>
    <xf numFmtId="0" fontId="43" fillId="0" borderId="71" xfId="71" applyFont="1" applyBorder="1"/>
    <xf numFmtId="0" fontId="31" fillId="0" borderId="72" xfId="0" applyFont="1" applyBorder="1"/>
    <xf numFmtId="0" fontId="42" fillId="0" borderId="0" xfId="0" applyFont="1"/>
    <xf numFmtId="0" fontId="99" fillId="0" borderId="78" xfId="71" applyFont="1" applyBorder="1" applyAlignment="1">
      <alignment horizontal="left" vertical="center" indent="1"/>
    </xf>
    <xf numFmtId="268" fontId="286" fillId="0" borderId="78" xfId="71" applyNumberFormat="1" applyFont="1" applyBorder="1" applyAlignment="1">
      <alignment horizontal="center" vertical="center"/>
    </xf>
    <xf numFmtId="268" fontId="101" fillId="0" borderId="0" xfId="71" applyNumberFormat="1" applyFont="1" applyAlignment="1">
      <alignment horizontal="center"/>
    </xf>
    <xf numFmtId="275" fontId="43" fillId="0" borderId="0" xfId="0" applyNumberFormat="1" applyFont="1"/>
    <xf numFmtId="0" fontId="99" fillId="0" borderId="0" xfId="71" applyFont="1" applyBorder="1" applyAlignment="1">
      <alignment horizontal="left" vertical="center" indent="1"/>
    </xf>
    <xf numFmtId="9" fontId="287" fillId="0" borderId="0" xfId="43" applyFont="1" applyBorder="1" applyAlignment="1">
      <alignment horizontal="center" vertical="center"/>
    </xf>
    <xf numFmtId="9" fontId="99" fillId="0" borderId="0" xfId="43" applyFont="1" applyBorder="1" applyAlignment="1">
      <alignment horizontal="center" vertical="center"/>
    </xf>
    <xf numFmtId="268" fontId="93" fillId="0" borderId="0" xfId="71" applyNumberFormat="1" applyFont="1" applyBorder="1" applyAlignment="1">
      <alignment horizontal="center" vertical="center"/>
    </xf>
    <xf numFmtId="165" fontId="287" fillId="0" borderId="78" xfId="43" applyNumberFormat="1" applyFont="1" applyBorder="1" applyAlignment="1">
      <alignment horizontal="center" vertical="center"/>
    </xf>
    <xf numFmtId="165" fontId="99" fillId="0" borderId="78" xfId="43" applyNumberFormat="1" applyFont="1" applyBorder="1" applyAlignment="1">
      <alignment horizontal="center" vertical="center"/>
    </xf>
    <xf numFmtId="165" fontId="93" fillId="0" borderId="78" xfId="71" applyNumberFormat="1" applyFont="1" applyBorder="1" applyAlignment="1">
      <alignment horizontal="center" vertical="center"/>
    </xf>
    <xf numFmtId="0" fontId="43" fillId="0" borderId="0" xfId="71" applyFont="1" applyBorder="1"/>
    <xf numFmtId="268" fontId="73" fillId="0" borderId="37" xfId="71" applyNumberFormat="1" applyFont="1" applyBorder="1"/>
    <xf numFmtId="0" fontId="85" fillId="0" borderId="73" xfId="71" applyNumberFormat="1" applyFont="1" applyBorder="1"/>
    <xf numFmtId="0" fontId="86" fillId="0" borderId="73" xfId="71" applyNumberFormat="1" applyFont="1" applyBorder="1"/>
    <xf numFmtId="0" fontId="73" fillId="0" borderId="37" xfId="71" quotePrefix="1" applyFont="1" applyBorder="1"/>
    <xf numFmtId="0" fontId="39" fillId="0" borderId="0" xfId="0" applyFont="1" applyAlignment="1">
      <alignment horizontal="justify" vertical="top"/>
    </xf>
    <xf numFmtId="0" fontId="39" fillId="0" borderId="3" xfId="0" applyFont="1" applyBorder="1" applyAlignment="1">
      <alignment horizontal="center"/>
    </xf>
    <xf numFmtId="0" fontId="39" fillId="0" borderId="4" xfId="0" applyFont="1" applyBorder="1" applyAlignment="1">
      <alignment horizontal="center"/>
    </xf>
    <xf numFmtId="0" fontId="39" fillId="0" borderId="0" xfId="0" applyFont="1" applyAlignment="1" applyProtection="1">
      <alignment horizontal="justify" vertical="top" wrapText="1"/>
      <protection locked="0" hidden="1"/>
    </xf>
    <xf numFmtId="0" fontId="39" fillId="0" borderId="0" xfId="0" applyFont="1" applyAlignment="1" applyProtection="1">
      <alignment horizontal="left" vertical="top" wrapText="1"/>
      <protection locked="0" hidden="1"/>
    </xf>
    <xf numFmtId="0" fontId="52" fillId="37" borderId="3" xfId="61" applyFont="1" applyFill="1" applyBorder="1" applyAlignment="1">
      <alignment horizontal="center"/>
    </xf>
    <xf numFmtId="0" fontId="52" fillId="37" borderId="4" xfId="61" applyFont="1" applyFill="1" applyBorder="1" applyAlignment="1">
      <alignment horizontal="center"/>
    </xf>
    <xf numFmtId="0" fontId="52" fillId="37" borderId="5" xfId="61" applyFont="1" applyFill="1" applyBorder="1" applyAlignment="1">
      <alignment horizontal="center"/>
    </xf>
    <xf numFmtId="0" fontId="43" fillId="0" borderId="0" xfId="62" applyAlignment="1">
      <alignment horizontal="justify" vertical="top"/>
    </xf>
    <xf numFmtId="0" fontId="43" fillId="0" borderId="0" xfId="74" applyFont="1" applyAlignment="1">
      <alignment horizontal="justify" vertical="top" wrapText="1"/>
    </xf>
    <xf numFmtId="43" fontId="67" fillId="37" borderId="0" xfId="47" applyFont="1" applyFill="1"/>
    <xf numFmtId="0" fontId="39" fillId="0" borderId="0" xfId="64" applyFont="1" applyAlignment="1">
      <alignment horizontal="justify" vertical="top" wrapText="1"/>
    </xf>
    <xf numFmtId="0" fontId="39" fillId="0" borderId="0" xfId="0" applyFont="1" applyAlignment="1">
      <alignment horizontal="justify" vertical="top" wrapText="1"/>
    </xf>
    <xf numFmtId="0" fontId="43" fillId="0" borderId="0" xfId="64" applyFont="1" applyAlignment="1">
      <alignment horizontal="justify" vertical="top" wrapText="1"/>
    </xf>
    <xf numFmtId="0" fontId="43" fillId="0" borderId="0" xfId="0" applyFont="1" applyAlignment="1">
      <alignment horizontal="justify" vertical="top" wrapText="1"/>
    </xf>
    <xf numFmtId="0" fontId="43" fillId="0" borderId="0" xfId="61" quotePrefix="1" applyFont="1" applyAlignment="1">
      <alignment horizontal="justify" vertical="top" wrapText="1"/>
    </xf>
  </cellXfs>
  <cellStyles count="20043">
    <cellStyle name="-" xfId="89"/>
    <cellStyle name="------------------" xfId="90"/>
    <cellStyle name=" 1" xfId="91"/>
    <cellStyle name=" 1 2" xfId="92"/>
    <cellStyle name=" 1 3" xfId="93"/>
    <cellStyle name=" 1_Volatility" xfId="94"/>
    <cellStyle name=" 10" xfId="95"/>
    <cellStyle name=" 11" xfId="96"/>
    <cellStyle name=" 12" xfId="97"/>
    <cellStyle name=" 13" xfId="98"/>
    <cellStyle name=" 14" xfId="99"/>
    <cellStyle name=" 15" xfId="100"/>
    <cellStyle name=" 16" xfId="101"/>
    <cellStyle name=" 17" xfId="102"/>
    <cellStyle name=" 18" xfId="103"/>
    <cellStyle name=" 19" xfId="104"/>
    <cellStyle name=" 2" xfId="105"/>
    <cellStyle name=" 20" xfId="106"/>
    <cellStyle name=" 21" xfId="107"/>
    <cellStyle name=" 22" xfId="108"/>
    <cellStyle name=" 23" xfId="109"/>
    <cellStyle name=" 24" xfId="110"/>
    <cellStyle name=" 25" xfId="111"/>
    <cellStyle name=" 26" xfId="112"/>
    <cellStyle name=" 27" xfId="113"/>
    <cellStyle name=" 28" xfId="114"/>
    <cellStyle name=" 29" xfId="115"/>
    <cellStyle name=" 3" xfId="116"/>
    <cellStyle name=" 30" xfId="117"/>
    <cellStyle name=" 31" xfId="118"/>
    <cellStyle name=" 32" xfId="119"/>
    <cellStyle name=" 33" xfId="120"/>
    <cellStyle name=" 34" xfId="121"/>
    <cellStyle name=" 35" xfId="122"/>
    <cellStyle name=" 36" xfId="123"/>
    <cellStyle name=" 37" xfId="124"/>
    <cellStyle name=" 38" xfId="125"/>
    <cellStyle name=" 39" xfId="126"/>
    <cellStyle name=" 4" xfId="127"/>
    <cellStyle name=" 40" xfId="128"/>
    <cellStyle name=" 41" xfId="129"/>
    <cellStyle name=" 42" xfId="130"/>
    <cellStyle name=" 43" xfId="131"/>
    <cellStyle name=" 44" xfId="132"/>
    <cellStyle name=" 45" xfId="133"/>
    <cellStyle name=" 46" xfId="134"/>
    <cellStyle name=" 47" xfId="135"/>
    <cellStyle name=" 48" xfId="136"/>
    <cellStyle name=" 49" xfId="137"/>
    <cellStyle name=" 5" xfId="138"/>
    <cellStyle name=" 50" xfId="139"/>
    <cellStyle name=" 51" xfId="140"/>
    <cellStyle name=" 52" xfId="141"/>
    <cellStyle name=" 53" xfId="142"/>
    <cellStyle name=" 54" xfId="143"/>
    <cellStyle name=" 55" xfId="144"/>
    <cellStyle name=" 56" xfId="145"/>
    <cellStyle name=" 57" xfId="146"/>
    <cellStyle name=" 58" xfId="147"/>
    <cellStyle name=" 59" xfId="148"/>
    <cellStyle name=" 6" xfId="149"/>
    <cellStyle name=" 60" xfId="150"/>
    <cellStyle name=" 61" xfId="151"/>
    <cellStyle name=" 62" xfId="152"/>
    <cellStyle name=" 63" xfId="153"/>
    <cellStyle name=" 64" xfId="154"/>
    <cellStyle name=" 65" xfId="155"/>
    <cellStyle name=" 66" xfId="156"/>
    <cellStyle name=" 67" xfId="157"/>
    <cellStyle name=" 68" xfId="158"/>
    <cellStyle name=" 69" xfId="159"/>
    <cellStyle name=" 7" xfId="160"/>
    <cellStyle name=" 70" xfId="161"/>
    <cellStyle name=" 8" xfId="162"/>
    <cellStyle name=" 9" xfId="163"/>
    <cellStyle name="_x000a_386grabber=M" xfId="164"/>
    <cellStyle name="_x000a_386grabber=M 2" xfId="165"/>
    <cellStyle name="_x0007__x000b_" xfId="166"/>
    <cellStyle name=" ✀ⰀఀĀ" xfId="167"/>
    <cellStyle name="&quot;X&quot; MEN" xfId="168"/>
    <cellStyle name="&quot;X&quot; MEN 2" xfId="169"/>
    <cellStyle name="&quot;X&quot; MEN 2 2" xfId="170"/>
    <cellStyle name="&quot;X&quot; MEN 3" xfId="171"/>
    <cellStyle name="&quot;X&quot; MEN 4" xfId="172"/>
    <cellStyle name="&quot;X&quot; MEN 5" xfId="173"/>
    <cellStyle name="#" xfId="174"/>
    <cellStyle name="#-" xfId="175"/>
    <cellStyle name="#,##0" xfId="176"/>
    <cellStyle name="#,##0 3 spaces" xfId="177"/>
    <cellStyle name="#_Latam Comps_12.20.07" xfId="178"/>
    <cellStyle name="#_Latam Comps_12.20.07_Medley_Financial_Model_v5" xfId="179"/>
    <cellStyle name="#_Latam Comps_2.5.08_HC" xfId="180"/>
    <cellStyle name="#_Latam Comps_2.5.08_HC_Medley_Financial_Model_v5" xfId="181"/>
    <cellStyle name="#_Modelo Puerto 2007 Management Case DB 14-11 (DB) v20" xfId="182"/>
    <cellStyle name="$" xfId="183"/>
    <cellStyle name="$-" xfId="184"/>
    <cellStyle name="$ &amp; ¢" xfId="185"/>
    <cellStyle name="$ 0 decimal" xfId="186"/>
    <cellStyle name="$ 2" xfId="187"/>
    <cellStyle name="$ 2 decimals" xfId="188"/>
    <cellStyle name="$_12.20.04 Analysis v14" xfId="189"/>
    <cellStyle name="$_56 Centra FO 10.4.05" xfId="190"/>
    <cellStyle name="$_ANF Assignment 1.5" xfId="191"/>
    <cellStyle name="$_Cheddars_IPO Model_Final_v7" xfId="192"/>
    <cellStyle name="$_EPL LBO 5.16.05 - Mgmt IPO v6" xfId="193"/>
    <cellStyle name="$_IPO Model_v01.0" xfId="194"/>
    <cellStyle name="$_Model v14 (IPO)" xfId="195"/>
    <cellStyle name="$_Model v14 (IPO) brooke" xfId="196"/>
    <cellStyle name="$_Store Buildup v6" xfId="197"/>
    <cellStyle name="$_YRK_LBO" xfId="198"/>
    <cellStyle name="$0.0;($0.0)" xfId="199"/>
    <cellStyle name="$0.0;($0.0) 2" xfId="200"/>
    <cellStyle name="$000s1Place" xfId="201"/>
    <cellStyle name="$m" xfId="202"/>
    <cellStyle name="$MMs1Place" xfId="203"/>
    <cellStyle name="$MMs2Places" xfId="204"/>
    <cellStyle name="$q" xfId="205"/>
    <cellStyle name="$q*" xfId="206"/>
    <cellStyle name="$q_AVP" xfId="207"/>
    <cellStyle name="$qA" xfId="208"/>
    <cellStyle name="$qRange" xfId="209"/>
    <cellStyle name="$sign" xfId="210"/>
    <cellStyle name="%" xfId="211"/>
    <cellStyle name="%-" xfId="212"/>
    <cellStyle name="% [2]" xfId="213"/>
    <cellStyle name="% Input" xfId="214"/>
    <cellStyle name="% Input 2" xfId="215"/>
    <cellStyle name="% Presentation" xfId="216"/>
    <cellStyle name="% Presentation 2" xfId="217"/>
    <cellStyle name="% Presentation 2 2" xfId="218"/>
    <cellStyle name="% Presentation 3" xfId="219"/>
    <cellStyle name="% Presentation 4" xfId="220"/>
    <cellStyle name="% Presentation 5" xfId="221"/>
    <cellStyle name="%.00" xfId="222"/>
    <cellStyle name="%_Detailed Cap Table 6 9 08" xfId="223"/>
    <cellStyle name="%_V.C.3 2006 Forecast 4-19-06" xfId="224"/>
    <cellStyle name="%20 - Vurgu1" xfId="225"/>
    <cellStyle name="%20 - Vurgu2" xfId="226"/>
    <cellStyle name="%20 - Vurgu3" xfId="227"/>
    <cellStyle name="%20 - Vurgu4" xfId="228"/>
    <cellStyle name="%20 - Vurgu5" xfId="229"/>
    <cellStyle name="%20 - Vurgu6" xfId="230"/>
    <cellStyle name="%40 - Vurgu1" xfId="231"/>
    <cellStyle name="%40 - Vurgu2" xfId="232"/>
    <cellStyle name="%40 - Vurgu3" xfId="233"/>
    <cellStyle name="%40 - Vurgu4" xfId="234"/>
    <cellStyle name="%40 - Vurgu5" xfId="235"/>
    <cellStyle name="%40 - Vurgu6" xfId="236"/>
    <cellStyle name="%60 - Vurgu1" xfId="237"/>
    <cellStyle name="%60 - Vurgu2" xfId="238"/>
    <cellStyle name="%60 - Vurgu3" xfId="239"/>
    <cellStyle name="%60 - Vurgu4" xfId="240"/>
    <cellStyle name="%60 - Vurgu5" xfId="241"/>
    <cellStyle name="%60 - Vurgu6" xfId="242"/>
    <cellStyle name="&amp;U" xfId="243"/>
    <cellStyle name=")_מעגלים 12.95" xfId="244"/>
    <cellStyle name=")_מעגלים 12.95 2" xfId="245"/>
    <cellStyle name="******************************************" xfId="246"/>
    <cellStyle name="****************************************** 2" xfId="247"/>
    <cellStyle name="," xfId="248"/>
    <cellStyle name=";;;" xfId="249"/>
    <cellStyle name=";;; 2" xfId="250"/>
    <cellStyle name=";;; 2 2" xfId="251"/>
    <cellStyle name=";;; 3" xfId="252"/>
    <cellStyle name=";;; 4" xfId="253"/>
    <cellStyle name=";;; 5" xfId="254"/>
    <cellStyle name="?? [0]_??" xfId="255"/>
    <cellStyle name="???[0]_RESULTS" xfId="256"/>
    <cellStyle name="???_RESULTS" xfId="257"/>
    <cellStyle name="??_?.????" xfId="258"/>
    <cellStyle name="\" xfId="259"/>
    <cellStyle name="_$accounting" xfId="260"/>
    <cellStyle name="_$accounting 2" xfId="261"/>
    <cellStyle name="_%(SignOnly)" xfId="262"/>
    <cellStyle name="_%(SignOnly)_Model and Valuation - Aros 6 30 08" xfId="263"/>
    <cellStyle name="_%(SignSpaceOnly)" xfId="264"/>
    <cellStyle name="_%(SignSpaceOnly)_Model and Valuation - Aros 6 30 08" xfId="265"/>
    <cellStyle name="___æ_Ø_è [0.00]_Affiliate Fcst Inputs" xfId="266"/>
    <cellStyle name="___æ_Ø_è [0.00]_Affiliate Fcst Inputs 2" xfId="267"/>
    <cellStyle name="___æ_Ø_è [0.00]_Affiliate Fcst Inputs 2 2" xfId="268"/>
    <cellStyle name="___æ_Ø_è [0.00]_Affiliate Fcst Inputs 3" xfId="269"/>
    <cellStyle name="___æ_Ø_è [0.00]_Affiliate Fcst Inputs 4" xfId="270"/>
    <cellStyle name="___æ_Ø_è [0.00]_Affiliate Fcst Inputs 5" xfId="271"/>
    <cellStyle name="_~0910772" xfId="272"/>
    <cellStyle name="_~1072145" xfId="273"/>
    <cellStyle name="_~7037329" xfId="274"/>
    <cellStyle name="_03 Seahawk Status Report - 1.08.07" xfId="275"/>
    <cellStyle name="_2007 M06 On Hold On Watch Svcs Maint Jun  06-14-07" xfId="276"/>
    <cellStyle name="_56 Centra FO 10.4.05" xfId="277"/>
    <cellStyle name="_accounting" xfId="278"/>
    <cellStyle name="_accounting 2" xfId="279"/>
    <cellStyle name="_APT 141 101603 ver 51" xfId="280"/>
    <cellStyle name="_Backup for FY2005" xfId="281"/>
    <cellStyle name="_Balance Sheet to E&amp;Y - HH &amp; SP" xfId="282"/>
    <cellStyle name="_Balance Sheet to E&amp;Y - HH &amp; SP_Panasas Cap Table by Investor June and Dec 2008 - updated analysis" xfId="283"/>
    <cellStyle name="_Base Valuation3.xls Chart 69_4" xfId="284"/>
    <cellStyle name="_Base Valuation7-13" xfId="285"/>
    <cellStyle name="_Book1" xfId="286"/>
    <cellStyle name="-_Cash Flow" xfId="287"/>
    <cellStyle name="-_Cash Flow_EBITDA template v2" xfId="288"/>
    <cellStyle name="_Cheddars_IPO valuation v1" xfId="289"/>
    <cellStyle name="_Column1" xfId="290"/>
    <cellStyle name="_Column2" xfId="291"/>
    <cellStyle name="_Column3" xfId="292"/>
    <cellStyle name="_Column4" xfId="293"/>
    <cellStyle name="_Column5" xfId="294"/>
    <cellStyle name="_Column6" xfId="295"/>
    <cellStyle name="_Comma" xfId="296"/>
    <cellStyle name="_Comma__DCF Template" xfId="297"/>
    <cellStyle name="_Comma_04 Alaska Model 2002-05-31 GS" xfId="298"/>
    <cellStyle name="_Comma_Control" xfId="299"/>
    <cellStyle name="_Comma_Dividend Template" xfId="300"/>
    <cellStyle name="_Comma_Eric CapIQ unlinked v1" xfId="301"/>
    <cellStyle name="_Comma_H-G Holdings race car v5 (change dep)" xfId="302"/>
    <cellStyle name="_Comma_lbo_long_model" xfId="303"/>
    <cellStyle name="_Comma_lbo_long_model 2" xfId="304"/>
    <cellStyle name="_Comma_Medicis WACC" xfId="305"/>
    <cellStyle name="_Comma_Meggitt AirDynamics WACC" xfId="306"/>
    <cellStyle name="_Comma_Pro-Forma Financials" xfId="307"/>
    <cellStyle name="_Comma_Pro-Forma Spin-off" xfId="308"/>
    <cellStyle name="_Comma_Revised Basic Modelv2.4" xfId="309"/>
    <cellStyle name="_Comma_Rider Henning" xfId="310"/>
    <cellStyle name="_Comma_Updated Model - CapitalIQ6 -04.20.06" xfId="311"/>
    <cellStyle name="_Comma_WACCv2" xfId="312"/>
    <cellStyle name="_Copy of Culinary Concepts 9_30_08" xfId="313"/>
    <cellStyle name="_Currency" xfId="314"/>
    <cellStyle name="_Currency__DCF Template" xfId="315"/>
    <cellStyle name="_Currency_04 Alaska Model 2002-05-31 GS" xfId="316"/>
    <cellStyle name="_Currency_12.20.04 Analysis v14" xfId="317"/>
    <cellStyle name="_Currency_BASF" xfId="318"/>
    <cellStyle name="_Currency_Book1" xfId="319"/>
    <cellStyle name="_Currency_Book3" xfId="320"/>
    <cellStyle name="_Currency_com_sel_bro_Eagle" xfId="321"/>
    <cellStyle name="_Currency_Control" xfId="322"/>
    <cellStyle name="_Currency_Dividend Template" xfId="323"/>
    <cellStyle name="_Currency_Eagle Financial Model" xfId="324"/>
    <cellStyle name="_Currency_Eagle-NewCastle Model 20Mar2001" xfId="325"/>
    <cellStyle name="_Currency_Eric CapIQ unlinked v1" xfId="326"/>
    <cellStyle name="_Currency_H-G Holdings race car v5 (change dep)" xfId="327"/>
    <cellStyle name="_Currency_Hokuriku Financials" xfId="328"/>
    <cellStyle name="_Currency_Indicative Valuation Summary" xfId="329"/>
    <cellStyle name="_Currency_Indicative Valuation Summary DCF Valuation" xfId="330"/>
    <cellStyle name="_Currency_INTU Comps v2" xfId="331"/>
    <cellStyle name="_Currency_lbo_long_model" xfId="332"/>
    <cellStyle name="_Currency_lbo_long_model 2" xfId="333"/>
    <cellStyle name="_Currency_Medicis WACC" xfId="334"/>
    <cellStyle name="_Currency_Meggitt AirDynamics WACC" xfId="335"/>
    <cellStyle name="_Currency_Model 2000-09-04" xfId="336"/>
    <cellStyle name="_Currency_NK104 US Output" xfId="337"/>
    <cellStyle name="_Currency_Preliminary Valuation Summary of Seahawk" xfId="338"/>
    <cellStyle name="_Currency_Preliminary Valuation Summary of Seahawk b" xfId="339"/>
    <cellStyle name="_Currency_Pro-Forma Financials" xfId="340"/>
    <cellStyle name="_Currency_Pro-Forma Spin-off" xfId="341"/>
    <cellStyle name="_Currency_Proposed Cost Structure" xfId="342"/>
    <cellStyle name="_Currency_Revised Basic Modelv2.4" xfId="343"/>
    <cellStyle name="_Currency_Rider Henning" xfId="344"/>
    <cellStyle name="_Currency_Scaled Synergies Analysis - Mathematical Illustration - Gem as Target" xfId="345"/>
    <cellStyle name="_Currency_Scaled Synergies Analysis - Mathematical Illustration - Gem as Target_Value_Sharing" xfId="346"/>
    <cellStyle name="_Currency_Updated Model - CapitalIQ6 -04.20.06" xfId="347"/>
    <cellStyle name="_Currency_Valuation Overview" xfId="348"/>
    <cellStyle name="_Currency_valuation summary for ASP" xfId="349"/>
    <cellStyle name="_Currency_WACCv2" xfId="350"/>
    <cellStyle name="_CurrencySpace" xfId="351"/>
    <cellStyle name="_CurrencySpace__DCF Template" xfId="352"/>
    <cellStyle name="_CurrencySpace_04 Alaska Model 2002-05-31 GS" xfId="353"/>
    <cellStyle name="_CurrencySpace_Control" xfId="354"/>
    <cellStyle name="_CurrencySpace_Dividend Template" xfId="355"/>
    <cellStyle name="_CurrencySpace_Eric CapIQ unlinked v1" xfId="356"/>
    <cellStyle name="_CurrencySpace_H-G Holdings race car v5 (change dep)" xfId="357"/>
    <cellStyle name="_CurrencySpace_IPO Model_v01.0" xfId="358"/>
    <cellStyle name="_CurrencySpace_lbo_long_model" xfId="359"/>
    <cellStyle name="_CurrencySpace_lbo_long_model 2" xfId="360"/>
    <cellStyle name="_CurrencySpace_MA Kinko's Model v5.5" xfId="361"/>
    <cellStyle name="_CurrencySpace_Medicis WACC" xfId="362"/>
    <cellStyle name="_CurrencySpace_Meggitt AirDynamics WACC" xfId="363"/>
    <cellStyle name="_CurrencySpace_Pro-Forma Financials" xfId="364"/>
    <cellStyle name="_CurrencySpace_Pro-Forma Spin-off" xfId="365"/>
    <cellStyle name="_CurrencySpace_Revised Basic Modelv2.4" xfId="366"/>
    <cellStyle name="_CurrencySpace_Rider Henning" xfId="367"/>
    <cellStyle name="_CurrencySpace_RUBY DCF Model v42" xfId="368"/>
    <cellStyle name="_CurrencySpace_RUBY merger v64" xfId="369"/>
    <cellStyle name="_CurrencySpace_Updated Model - CapitalIQ6 -04.20.06" xfId="370"/>
    <cellStyle name="_CurrencySpace_valuation" xfId="371"/>
    <cellStyle name="_CurrencySpace_WACCv2" xfId="372"/>
    <cellStyle name="_Data" xfId="373"/>
    <cellStyle name="_date" xfId="374"/>
    <cellStyle name="_date 2" xfId="375"/>
    <cellStyle name="_DCF (G2)" xfId="376"/>
    <cellStyle name="_DCF (G2) 2" xfId="377"/>
    <cellStyle name="_DCF (G2) 3" xfId="378"/>
    <cellStyle name="_DTAs 2007 Post-Acq 3-19-08" xfId="379"/>
    <cellStyle name="_Epsilon IPO Model NEW v3" xfId="380"/>
    <cellStyle name="_Epsilon Model 3.21.05 v.4" xfId="381"/>
    <cellStyle name="_Epsilon Model 3.21.05 v.4_1" xfId="382"/>
    <cellStyle name="_Epsilon Model 3.21.05 v.4_2" xfId="383"/>
    <cellStyle name="_Epsilon Model 3.21.05 v.4_3" xfId="384"/>
    <cellStyle name="_Epsilon Model 3.30.05 v7" xfId="385"/>
    <cellStyle name="_Epsilon Model 3.30.05 v7_1" xfId="386"/>
    <cellStyle name="_Epsilon Model 3.30.05 v7_2" xfId="387"/>
    <cellStyle name="_Epsilon Model 3.30.05 v7_3" xfId="388"/>
    <cellStyle name="_Epsilon Model 3.30.05 v7_4" xfId="389"/>
    <cellStyle name="_Euro" xfId="390"/>
    <cellStyle name="_Euro 2" xfId="391"/>
    <cellStyle name="_Euro 2 2" xfId="392"/>
    <cellStyle name="_Euro 3" xfId="393"/>
    <cellStyle name="_Euro 4" xfId="394"/>
    <cellStyle name="_Euro 5" xfId="395"/>
    <cellStyle name="_Euro_Cable_Industry Overview5" xfId="396"/>
    <cellStyle name="_Euro_Cable_Industry Overview5 2" xfId="397"/>
    <cellStyle name="_Euro_Cable_Industry Overview5 2 2" xfId="398"/>
    <cellStyle name="_Euro_Cable_Industry Overview5 3" xfId="399"/>
    <cellStyle name="_Euro_Cable_Industry Overview5 4" xfId="400"/>
    <cellStyle name="_Euro_Cable_Industry Overview5 5" xfId="401"/>
    <cellStyle name="_Euro_Gelco Model" xfId="402"/>
    <cellStyle name="_Euro_Model and Valuation - Aros 6 30 08" xfId="403"/>
    <cellStyle name="_Euro_Summary" xfId="404"/>
    <cellStyle name="_G2 Comps v4" xfId="405"/>
    <cellStyle name="_GBP" xfId="406"/>
    <cellStyle name="_GBP 2" xfId="407"/>
    <cellStyle name="_Header" xfId="408"/>
    <cellStyle name="_HeaderBlue" xfId="409"/>
    <cellStyle name="_Heading" xfId="410"/>
    <cellStyle name="_Heading 2" xfId="411"/>
    <cellStyle name="_Heading_lbo_long_model" xfId="412"/>
    <cellStyle name="_Heading_lbo_long_model 2" xfId="413"/>
    <cellStyle name="_Heading_lbo_long_model 2 2" xfId="414"/>
    <cellStyle name="_Heading_lbo_long_model 3" xfId="415"/>
    <cellStyle name="_Heading_lbo_long_model 4" xfId="416"/>
    <cellStyle name="_Heading_lbo_long_model 5" xfId="417"/>
    <cellStyle name="_Heading_lbo_long_model_Anaphore 12 31 2008 Draft Analysis 02 19 2009" xfId="418"/>
    <cellStyle name="_Heading_lbo_long_model_Anaphore 12 31 2008 Draft Analysis 02 20 2009 - DM REVISED" xfId="419"/>
    <cellStyle name="_Heading_lbo_long_model_Book2" xfId="420"/>
    <cellStyle name="_Heading_lbo_long_model_Book2 2" xfId="421"/>
    <cellStyle name="_Heading_lbo_long_model_Boston Power VD 01 31 2008 Model 02 26 2008" xfId="422"/>
    <cellStyle name="_Heading_lbo_long_model_Boston Power VD 01 31 2008 Model 02 26 2008 2" xfId="423"/>
    <cellStyle name="_Heading_lbo_long_model_Boston Power VD 01 31 2008 Model 02 26 2008 2 2" xfId="424"/>
    <cellStyle name="_Heading_lbo_long_model_Boston Power VD 01 31 2008 Model 02 26 2008 3" xfId="425"/>
    <cellStyle name="_Heading_lbo_long_model_Boston Power VD 01 31 2008 Model 02 26 2008 4" xfId="426"/>
    <cellStyle name="_Heading_lbo_long_model_Boston Power VD 01 31 2008 Model 02 26 2008 5" xfId="427"/>
    <cellStyle name="_Heading_lbo_long_model_Boston Power VD 01 31 2008 Model 02 26 2008_CompanyABC Valuation Draft Model 04 21 2009" xfId="428"/>
    <cellStyle name="_Heading_lbo_long_model_Boston Power VD 01 31 2008 Model 02 26 2008_CompanyABC Valuation Draft Model 04 21 2009 2" xfId="429"/>
    <cellStyle name="_Heading_lbo_long_model_Boston Power VD 01 31 2008 Model 02 26 2008_DB" xfId="430"/>
    <cellStyle name="_Heading_lbo_long_model_Boston Power VD 01 31 2008 Model 02 26 2008_DB 2" xfId="431"/>
    <cellStyle name="_Heading_lbo_long_model_Boston Power VD 01 31 2008 Model 02 26 2008_DB 2 2" xfId="432"/>
    <cellStyle name="_Heading_lbo_long_model_Boston Power VD 01 31 2008 Model 02 26 2008_FAS 157 Model Template 04 26 2009" xfId="433"/>
    <cellStyle name="_Heading_lbo_long_model_Boston Power VD 01 31 2008 Model 02 26 2008_FAS 157 Model Template 04 26 2009 2" xfId="434"/>
    <cellStyle name="_Heading_lbo_long_model_Boston Power VD 01 31 2008 Model 02 26 2008_Miragen VD 05 31 2008 Model 05 22 2009" xfId="435"/>
    <cellStyle name="_Heading_lbo_long_model_Cap Table Inputs" xfId="436"/>
    <cellStyle name="_Heading_lbo_long_model_Cap Table Inputs 2" xfId="437"/>
    <cellStyle name="_Heading_lbo_long_model_Cap Table Inputs 2 2" xfId="438"/>
    <cellStyle name="_Heading_lbo_long_model_Cap Table Inputs 3" xfId="439"/>
    <cellStyle name="_Heading_lbo_long_model_Cap Table Inputs 4" xfId="440"/>
    <cellStyle name="_Heading_lbo_long_model_Cap Table Inputs 5" xfId="441"/>
    <cellStyle name="_Heading_lbo_long_model_Cap Table Inputs_CompanyABC Valuation Draft Model 04 21 2009" xfId="442"/>
    <cellStyle name="_Heading_lbo_long_model_Cap Table Inputs_CompanyABC Valuation Draft Model 04 21 2009 2" xfId="443"/>
    <cellStyle name="_Heading_lbo_long_model_Cap Table Inputs_DB" xfId="444"/>
    <cellStyle name="_Heading_lbo_long_model_Cap Table Inputs_DB 2" xfId="445"/>
    <cellStyle name="_Heading_lbo_long_model_Cap Table Inputs_DB 2 2" xfId="446"/>
    <cellStyle name="_Heading_lbo_long_model_Cap Table Inputs_FAS 157 Model Template 04 26 2009" xfId="447"/>
    <cellStyle name="_Heading_lbo_long_model_Cap Table Inputs_FAS 157 Model Template 04 26 2009 2" xfId="448"/>
    <cellStyle name="_Heading_lbo_long_model_Cap Table Inputs_Miragen VD 05 31 2008 Model 05 22 2009" xfId="449"/>
    <cellStyle name="_Heading_lbo_long_model_CardioSolutions 05 31 2007 Final Model 09 27 2007" xfId="450"/>
    <cellStyle name="_Heading_lbo_long_model_CardioSolutions 05 31 2007 Final Model 09 27 2007 2" xfId="451"/>
    <cellStyle name="_Heading_lbo_long_model_CardioSolutions 05 31 2007 Final Model 09 27 2007 2 2" xfId="452"/>
    <cellStyle name="_Heading_lbo_long_model_CardioSolutions 05 31 2007 Final Model 09 27 2007 3" xfId="453"/>
    <cellStyle name="_Heading_lbo_long_model_CardioSolutions 05 31 2007 Final Model 09 27 2007 4" xfId="454"/>
    <cellStyle name="_Heading_lbo_long_model_CardioSolutions 05 31 2007 Final Model 09 27 2007 5" xfId="455"/>
    <cellStyle name="_Heading_lbo_long_model_CardioSolutions 05 31 2007 Final Model 09 27 2007_CompanyABC Valuation Draft Model 04 21 2009" xfId="456"/>
    <cellStyle name="_Heading_lbo_long_model_CardioSolutions 05 31 2007 Final Model 09 27 2007_CompanyABC Valuation Draft Model 04 21 2009 2" xfId="457"/>
    <cellStyle name="_Heading_lbo_long_model_CardioSolutions 05 31 2007 Final Model 09 27 2007_DB" xfId="458"/>
    <cellStyle name="_Heading_lbo_long_model_CardioSolutions 05 31 2007 Final Model 09 27 2007_DB 2" xfId="459"/>
    <cellStyle name="_Heading_lbo_long_model_CardioSolutions 05 31 2007 Final Model 09 27 2007_DB 2 2" xfId="460"/>
    <cellStyle name="_Heading_lbo_long_model_CardioSolutions 05 31 2007 Final Model 09 27 2007_FAS 157 Model Template 04 26 2009" xfId="461"/>
    <cellStyle name="_Heading_lbo_long_model_CardioSolutions 05 31 2007 Final Model 09 27 2007_FAS 157 Model Template 04 26 2009 2" xfId="462"/>
    <cellStyle name="_Heading_lbo_long_model_CardioSolutions 05 31 2007 Final Model 09 27 2007_Miragen VD 05 31 2008 Model 05 22 2009" xfId="463"/>
    <cellStyle name="_Heading_lbo_long_model_CardioSolutions VD 05 31 08 Draft Model 07 15 2008" xfId="464"/>
    <cellStyle name="_Heading_lbo_long_model_CardioSolutions VD 05 31 08 Draft Model 07 15 2008 2" xfId="465"/>
    <cellStyle name="_Heading_lbo_long_model_CardioSolutions VD 05 31 08 Draft Model 08 06 08-u" xfId="466"/>
    <cellStyle name="_Heading_lbo_long_model_CardioSolutions VD 05 31 08 Draft Model 08 06 08-u 2" xfId="467"/>
    <cellStyle name="_Heading_lbo_long_model_CompanyABC Valuation Draft Model 04 21 2009" xfId="468"/>
    <cellStyle name="_Heading_lbo_long_model_CompanyABC Valuation Draft Model 04 21 2009 2" xfId="469"/>
    <cellStyle name="_Heading_lbo_long_model_CompanyABC Valuation Model Draft 07 07 2008" xfId="470"/>
    <cellStyle name="_Heading_lbo_long_model_CompanyABC Valuation Model Draft 07 07 2008 2" xfId="471"/>
    <cellStyle name="_Heading_lbo_long_model_CompanyABC Valuation Model Draft 08 07 2008" xfId="472"/>
    <cellStyle name="_Heading_lbo_long_model_CompanyABC Valuation Model Draft 08 07 2008 2" xfId="473"/>
    <cellStyle name="_Heading_lbo_long_model_CompanyABC Valuation Model Draft 08 25 2008" xfId="474"/>
    <cellStyle name="_Heading_lbo_long_model_CompanyABC Valuation Model Draft 08 25 2008 2" xfId="475"/>
    <cellStyle name="_Heading_lbo_long_model_CompanyABC Valuation Model Draft 09 25 2008-Team Liquidity" xfId="476"/>
    <cellStyle name="_Heading_lbo_long_model_CompanyABC Valuation Model Draft 09 25 2008-Team Liquidity 2" xfId="477"/>
    <cellStyle name="_Heading_lbo_long_model_CompanyABC Valuation Model Draft 10 01 2008" xfId="478"/>
    <cellStyle name="_Heading_lbo_long_model_CompanyABC Valuation Model Draft 10 01 2008 2" xfId="479"/>
    <cellStyle name="_Heading_lbo_long_model_CompanyABC Valuation Model Draft 10 27 2008" xfId="480"/>
    <cellStyle name="_Heading_lbo_long_model_CompanyABC Valuation Model Draft 10 27 2008 2" xfId="481"/>
    <cellStyle name="_Heading_lbo_long_model_DB" xfId="482"/>
    <cellStyle name="_Heading_lbo_long_model_DB 2" xfId="483"/>
    <cellStyle name="_Heading_lbo_long_model_EXAMPLE model C-5" xfId="484"/>
    <cellStyle name="_Heading_lbo_long_model_EXAMPLE model C-5 2" xfId="485"/>
    <cellStyle name="_Heading_lbo_long_model_FAS 157 Model Template 04 26 2009" xfId="486"/>
    <cellStyle name="_Heading_lbo_long_model_FAS 157 Model Template 04 26 2009 2" xfId="487"/>
    <cellStyle name="_Heading_lbo_long_model_Great Call VD 09 30 08 Draft Model 11 20 08" xfId="488"/>
    <cellStyle name="_Heading_lbo_long_model_Great Call VD 09 30 08 Draft Model 11 20 08 2" xfId="489"/>
    <cellStyle name="_Heading_lbo_long_model_Intermedia, Inc. VD 05 31 08 Draft Model 07 16 2008" xfId="490"/>
    <cellStyle name="_Heading_lbo_long_model_Intermedia, Inc. VD 05 31 08 Draft Model 07 16 2008 2" xfId="491"/>
    <cellStyle name="_Heading_lbo_long_model_Island Data Corporatin VD 06 30 08 Projections and Comparables 08 11 2008" xfId="492"/>
    <cellStyle name="_Heading_lbo_long_model_Island Data Corporatin VD 06 30 08 Projections and Comparables 08 11 2008 2" xfId="493"/>
    <cellStyle name="_Heading_lbo_long_model_Jentro Tech VD 03 31 2008 Model 04 10 2008" xfId="494"/>
    <cellStyle name="_Heading_lbo_long_model_Jentro Tech VD 03 31 2008 Model 04 10 2008 2" xfId="495"/>
    <cellStyle name="_Heading_lbo_long_model_Kythera Biopharmaceuticals VD 05 16 08 Draft Analysis 07 01 08" xfId="496"/>
    <cellStyle name="_Heading_lbo_long_model_Kythera Biopharmaceuticals VD 05 16 08 Draft Analysis 07 01 08 2" xfId="497"/>
    <cellStyle name="_Heading_lbo_long_model_Kythera Biopharmaceuticals VD 05 16 08 Final Model 07 20 08" xfId="498"/>
    <cellStyle name="_Heading_lbo_long_model_Kythera Biopharmaceuticals VD 05 16 08 Final Model 07 20 08 2" xfId="499"/>
    <cellStyle name="_Heading_lbo_long_model_Kythera Biopharmaceuticals, Inc. VD 5 16 2008 Draft 5 24 2008" xfId="500"/>
    <cellStyle name="_Heading_lbo_long_model_Kythera Biopharmaceuticals, Inc. VD 5 16 2008 Draft 5 24 2008 2" xfId="501"/>
    <cellStyle name="_Heading_lbo_long_model_Miragen VD 05 31 2008 Model 05 22 2009" xfId="502"/>
    <cellStyle name="_Heading_lbo_long_model_Notes" xfId="503"/>
    <cellStyle name="_Heading_lbo_long_model_Notes 2" xfId="504"/>
    <cellStyle name="_Heading_lbo_long_model_OMT VD 10 15 2008 Draft Analysis 12 17 2008.xls" xfId="505"/>
    <cellStyle name="_Heading_lbo_long_model_PubComps IPO -C-7" xfId="506"/>
    <cellStyle name="_Heading_lbo_long_model_PubComps IPO -C-7 2" xfId="507"/>
    <cellStyle name="_Heading_lbo_long_model_Tmax Soft VD 07 31 2008 Draft Model 08 20 2008" xfId="508"/>
    <cellStyle name="_Heading_lbo_long_model_Tmax Soft VD 07 31 2008 Draft Model 08 20 2008 2" xfId="509"/>
    <cellStyle name="_Heading_lbo_long_model_WACC -E-2" xfId="510"/>
    <cellStyle name="_Heading_lbo_long_model_WACC -E-2 2" xfId="511"/>
    <cellStyle name="_Heading_lbo_long_model_Xmos Limited VD 05 13 2008  Model 06 04 08" xfId="512"/>
    <cellStyle name="_Heading_lbo_long_model_Xmos Limited VD 05 13 2008  Model 06 04 08 2" xfId="513"/>
    <cellStyle name="_Heading_prestemp" xfId="514"/>
    <cellStyle name="_Heading_prestemp 2" xfId="515"/>
    <cellStyle name="_Heading_prestemp 2 2" xfId="516"/>
    <cellStyle name="_Heading_prestemp 3" xfId="517"/>
    <cellStyle name="_Heading_prestemp 4" xfId="518"/>
    <cellStyle name="_Heading_prestemp 5" xfId="519"/>
    <cellStyle name="_Heading_prestemp_Anaphore 12 31 2008 Draft Analysis 02 19 2009" xfId="520"/>
    <cellStyle name="_Heading_prestemp_Anaphore 12 31 2008 Draft Analysis 02 20 2009 - DM REVISED" xfId="521"/>
    <cellStyle name="_Heading_prestemp_Book2" xfId="522"/>
    <cellStyle name="_Heading_prestemp_Book2 2" xfId="523"/>
    <cellStyle name="_Heading_prestemp_Boston Power VD 01 31 2008 Model 02 26 2008" xfId="524"/>
    <cellStyle name="_Heading_prestemp_Boston Power VD 01 31 2008 Model 02 26 2008 2" xfId="525"/>
    <cellStyle name="_Heading_prestemp_Boston Power VD 01 31 2008 Model 02 26 2008 2 2" xfId="526"/>
    <cellStyle name="_Heading_prestemp_Boston Power VD 01 31 2008 Model 02 26 2008 3" xfId="527"/>
    <cellStyle name="_Heading_prestemp_Boston Power VD 01 31 2008 Model 02 26 2008 4" xfId="528"/>
    <cellStyle name="_Heading_prestemp_Boston Power VD 01 31 2008 Model 02 26 2008 5" xfId="529"/>
    <cellStyle name="_Heading_prestemp_Boston Power VD 01 31 2008 Model 02 26 2008_CompanyABC Valuation Draft Model 04 21 2009" xfId="530"/>
    <cellStyle name="_Heading_prestemp_Boston Power VD 01 31 2008 Model 02 26 2008_CompanyABC Valuation Draft Model 04 21 2009 2" xfId="531"/>
    <cellStyle name="_Heading_prestemp_Boston Power VD 01 31 2008 Model 02 26 2008_DB" xfId="532"/>
    <cellStyle name="_Heading_prestemp_Boston Power VD 01 31 2008 Model 02 26 2008_DB 2" xfId="533"/>
    <cellStyle name="_Heading_prestemp_Boston Power VD 01 31 2008 Model 02 26 2008_DB 2 2" xfId="534"/>
    <cellStyle name="_Heading_prestemp_Boston Power VD 01 31 2008 Model 02 26 2008_FAS 157 Model Template 04 26 2009" xfId="535"/>
    <cellStyle name="_Heading_prestemp_Boston Power VD 01 31 2008 Model 02 26 2008_FAS 157 Model Template 04 26 2009 2" xfId="536"/>
    <cellStyle name="_Heading_prestemp_Boston Power VD 01 31 2008 Model 02 26 2008_Miragen VD 05 31 2008 Model 05 22 2009" xfId="537"/>
    <cellStyle name="_Heading_prestemp_Cap Table Inputs" xfId="538"/>
    <cellStyle name="_Heading_prestemp_Cap Table Inputs 2" xfId="539"/>
    <cellStyle name="_Heading_prestemp_Cap Table Inputs 2 2" xfId="540"/>
    <cellStyle name="_Heading_prestemp_Cap Table Inputs 3" xfId="541"/>
    <cellStyle name="_Heading_prestemp_Cap Table Inputs 4" xfId="542"/>
    <cellStyle name="_Heading_prestemp_Cap Table Inputs 5" xfId="543"/>
    <cellStyle name="_Heading_prestemp_Cap Table Inputs_CompanyABC Valuation Draft Model 04 21 2009" xfId="544"/>
    <cellStyle name="_Heading_prestemp_Cap Table Inputs_CompanyABC Valuation Draft Model 04 21 2009 2" xfId="545"/>
    <cellStyle name="_Heading_prestemp_Cap Table Inputs_DB" xfId="546"/>
    <cellStyle name="_Heading_prestemp_Cap Table Inputs_DB 2" xfId="547"/>
    <cellStyle name="_Heading_prestemp_Cap Table Inputs_DB 2 2" xfId="548"/>
    <cellStyle name="_Heading_prestemp_Cap Table Inputs_FAS 157 Model Template 04 26 2009" xfId="549"/>
    <cellStyle name="_Heading_prestemp_Cap Table Inputs_FAS 157 Model Template 04 26 2009 2" xfId="550"/>
    <cellStyle name="_Heading_prestemp_Cap Table Inputs_Miragen VD 05 31 2008 Model 05 22 2009" xfId="551"/>
    <cellStyle name="_Heading_prestemp_CardioSolutions 05 31 2007 Final Model 09 27 2007" xfId="552"/>
    <cellStyle name="_Heading_prestemp_CardioSolutions 05 31 2007 Final Model 09 27 2007 2" xfId="553"/>
    <cellStyle name="_Heading_prestemp_CardioSolutions 05 31 2007 Final Model 09 27 2007 2 2" xfId="554"/>
    <cellStyle name="_Heading_prestemp_CardioSolutions 05 31 2007 Final Model 09 27 2007 3" xfId="555"/>
    <cellStyle name="_Heading_prestemp_CardioSolutions 05 31 2007 Final Model 09 27 2007 4" xfId="556"/>
    <cellStyle name="_Heading_prestemp_CardioSolutions 05 31 2007 Final Model 09 27 2007 5" xfId="557"/>
    <cellStyle name="_Heading_prestemp_CardioSolutions 05 31 2007 Final Model 09 27 2007_CompanyABC Valuation Draft Model 04 21 2009" xfId="558"/>
    <cellStyle name="_Heading_prestemp_CardioSolutions 05 31 2007 Final Model 09 27 2007_CompanyABC Valuation Draft Model 04 21 2009 2" xfId="559"/>
    <cellStyle name="_Heading_prestemp_CardioSolutions 05 31 2007 Final Model 09 27 2007_DB" xfId="560"/>
    <cellStyle name="_Heading_prestemp_CardioSolutions 05 31 2007 Final Model 09 27 2007_DB 2" xfId="561"/>
    <cellStyle name="_Heading_prestemp_CardioSolutions 05 31 2007 Final Model 09 27 2007_DB 2 2" xfId="562"/>
    <cellStyle name="_Heading_prestemp_CardioSolutions 05 31 2007 Final Model 09 27 2007_FAS 157 Model Template 04 26 2009" xfId="563"/>
    <cellStyle name="_Heading_prestemp_CardioSolutions 05 31 2007 Final Model 09 27 2007_FAS 157 Model Template 04 26 2009 2" xfId="564"/>
    <cellStyle name="_Heading_prestemp_CardioSolutions 05 31 2007 Final Model 09 27 2007_Miragen VD 05 31 2008 Model 05 22 2009" xfId="565"/>
    <cellStyle name="_Heading_prestemp_CardioSolutions VD 05 31 08 Draft Model 07 15 2008" xfId="566"/>
    <cellStyle name="_Heading_prestemp_CardioSolutions VD 05 31 08 Draft Model 07 15 2008 2" xfId="567"/>
    <cellStyle name="_Heading_prestemp_CardioSolutions VD 05 31 08 Draft Model 08 06 08-u" xfId="568"/>
    <cellStyle name="_Heading_prestemp_CardioSolutions VD 05 31 08 Draft Model 08 06 08-u 2" xfId="569"/>
    <cellStyle name="_Heading_prestemp_CompanyABC Valuation Draft Model 04 21 2009" xfId="570"/>
    <cellStyle name="_Heading_prestemp_CompanyABC Valuation Draft Model 04 21 2009 2" xfId="571"/>
    <cellStyle name="_Heading_prestemp_CompanyABC Valuation Model Draft 07 07 2008" xfId="572"/>
    <cellStyle name="_Heading_prestemp_CompanyABC Valuation Model Draft 07 07 2008 2" xfId="573"/>
    <cellStyle name="_Heading_prestemp_CompanyABC Valuation Model Draft 08 07 2008" xfId="574"/>
    <cellStyle name="_Heading_prestemp_CompanyABC Valuation Model Draft 08 07 2008 2" xfId="575"/>
    <cellStyle name="_Heading_prestemp_CompanyABC Valuation Model Draft 08 25 2008" xfId="576"/>
    <cellStyle name="_Heading_prestemp_CompanyABC Valuation Model Draft 08 25 2008 2" xfId="577"/>
    <cellStyle name="_Heading_prestemp_CompanyABC Valuation Model Draft 09 25 2008-Team Liquidity" xfId="578"/>
    <cellStyle name="_Heading_prestemp_CompanyABC Valuation Model Draft 09 25 2008-Team Liquidity 2" xfId="579"/>
    <cellStyle name="_Heading_prestemp_CompanyABC Valuation Model Draft 10 01 2008" xfId="580"/>
    <cellStyle name="_Heading_prestemp_CompanyABC Valuation Model Draft 10 01 2008 2" xfId="581"/>
    <cellStyle name="_Heading_prestemp_CompanyABC Valuation Model Draft 10 27 2008" xfId="582"/>
    <cellStyle name="_Heading_prestemp_CompanyABC Valuation Model Draft 10 27 2008 2" xfId="583"/>
    <cellStyle name="_Heading_prestemp_Cyrela - Goldzstein - Financial Model - v1" xfId="584"/>
    <cellStyle name="_Heading_prestemp_Cyrela - Goldzstein - Financial Model - v5" xfId="585"/>
    <cellStyle name="_Heading_prestemp_DB" xfId="586"/>
    <cellStyle name="_Heading_prestemp_DB 2" xfId="587"/>
    <cellStyle name="_Heading_prestemp_EXAMPLE model C-5" xfId="588"/>
    <cellStyle name="_Heading_prestemp_EXAMPLE model C-5 2" xfId="589"/>
    <cellStyle name="_Heading_prestemp_FAS 157 Model Template 04 26 2009" xfId="590"/>
    <cellStyle name="_Heading_prestemp_FAS 157 Model Template 04 26 2009 2" xfId="591"/>
    <cellStyle name="_Heading_prestemp_Gas Natural - Financial Model - April 18 2008 - v1" xfId="592"/>
    <cellStyle name="_Heading_prestemp_Gas Natural - Financial Model - April 18 2008 - v2" xfId="593"/>
    <cellStyle name="_Heading_prestemp_Gas Natural - Financial Model - May 20, 2009" xfId="594"/>
    <cellStyle name="_Heading_prestemp_Goldzstein Cyrela - Financial Model - v7" xfId="595"/>
    <cellStyle name="_Heading_prestemp_Great Call VD 09 30 08 Draft Model 11 20 08" xfId="596"/>
    <cellStyle name="_Heading_prestemp_Great Call VD 09 30 08 Draft Model 11 20 08 2" xfId="597"/>
    <cellStyle name="_Heading_prestemp_Grupo Ibmec - Financial Model - v2" xfId="598"/>
    <cellStyle name="_Heading_prestemp_Grupo Ibmec - Financial Model - v5" xfId="599"/>
    <cellStyle name="_Heading_prestemp_Independencia - Financial Model - Dec 02 2008 - v3" xfId="600"/>
    <cellStyle name="_Heading_prestemp_Independencia - Financial Model - Nov 24 2008" xfId="601"/>
    <cellStyle name="_Heading_prestemp_Intermedia, Inc. VD 05 31 08 Draft Model 07 16 2008" xfId="602"/>
    <cellStyle name="_Heading_prestemp_Intermedia, Inc. VD 05 31 08 Draft Model 07 16 2008 2" xfId="603"/>
    <cellStyle name="_Heading_prestemp_Island Data Corporatin VD 06 30 08 Projections and Comparables 08 11 2008" xfId="604"/>
    <cellStyle name="_Heading_prestemp_Island Data Corporatin VD 06 30 08 Projections and Comparables 08 11 2008 2" xfId="605"/>
    <cellStyle name="_Heading_prestemp_Jentro Tech VD 03 31 2008 Model 04 10 2008" xfId="606"/>
    <cellStyle name="_Heading_prestemp_Jentro Tech VD 03 31 2008 Model 04 10 2008 2" xfId="607"/>
    <cellStyle name="_Heading_prestemp_Kythera Biopharmaceuticals VD 05 16 08 Draft Analysis 07 01 08" xfId="608"/>
    <cellStyle name="_Heading_prestemp_Kythera Biopharmaceuticals VD 05 16 08 Draft Analysis 07 01 08 2" xfId="609"/>
    <cellStyle name="_Heading_prestemp_Kythera Biopharmaceuticals VD 05 16 08 Final Model 07 20 08" xfId="610"/>
    <cellStyle name="_Heading_prestemp_Kythera Biopharmaceuticals VD 05 16 08 Final Model 07 20 08 2" xfId="611"/>
    <cellStyle name="_Heading_prestemp_Kythera Biopharmaceuticals, Inc. VD 5 16 2008 Draft 5 24 2008" xfId="612"/>
    <cellStyle name="_Heading_prestemp_Kythera Biopharmaceuticals, Inc. VD 5 16 2008 Draft 5 24 2008 2" xfId="613"/>
    <cellStyle name="_Heading_prestemp_Medley_Financial_Model_v5" xfId="614"/>
    <cellStyle name="_Heading_prestemp_Medley_Financial_Model_v5_Ubiquiti Ownership Table" xfId="615"/>
    <cellStyle name="_Heading_prestemp_Miragen VD 05 31 2008 Model 05 22 2009" xfId="616"/>
    <cellStyle name="_Heading_prestemp_Notes" xfId="617"/>
    <cellStyle name="_Heading_prestemp_Notes 2" xfId="618"/>
    <cellStyle name="_Heading_prestemp_OMT VD 10 15 2008 Draft Analysis 12 17 2008.xls" xfId="619"/>
    <cellStyle name="_Heading_prestemp_Project Emet - Forecasts" xfId="620"/>
    <cellStyle name="_Heading_prestemp_PubComps IPO -C-7" xfId="621"/>
    <cellStyle name="_Heading_prestemp_PubComps IPO -C-7 2" xfId="622"/>
    <cellStyle name="_Heading_prestemp_Rumo_Financial_Model_05jun2009_v1" xfId="623"/>
    <cellStyle name="_Heading_prestemp_Rumo_Financial_Model_05jun2009_v4" xfId="624"/>
    <cellStyle name="_Heading_prestemp_Rumo_Financial_Model_05jun2009_v5" xfId="625"/>
    <cellStyle name="_Heading_prestemp_Rumo_Financial_Model_05jun2009_v6" xfId="626"/>
    <cellStyle name="_Heading_prestemp_SCPC_Financial_Model_10jun2009_v2" xfId="627"/>
    <cellStyle name="_Heading_prestemp_SCPC_Financial_Model_17jun2009_v5" xfId="628"/>
    <cellStyle name="_Heading_prestemp_Tmax Soft VD 07 31 2008 Draft Model 08 20 2008" xfId="629"/>
    <cellStyle name="_Heading_prestemp_Tmax Soft VD 07 31 2008 Draft Model 08 20 2008 2" xfId="630"/>
    <cellStyle name="_Heading_prestemp_WACC -E-2" xfId="631"/>
    <cellStyle name="_Heading_prestemp_WACC -E-2 2" xfId="632"/>
    <cellStyle name="_Heading_prestemp_Xmos Limited VD 05 13 2008  Model 06 04 08" xfId="633"/>
    <cellStyle name="_Heading_prestemp_Xmos Limited VD 05 13 2008  Model 06 04 08 2" xfId="634"/>
    <cellStyle name="_Headline" xfId="635"/>
    <cellStyle name="_Hea_x0010_line" xfId="636"/>
    <cellStyle name="_Highlight" xfId="637"/>
    <cellStyle name="_Highlight 2" xfId="638"/>
    <cellStyle name="_IPO Val 08.01.05 v1.1" xfId="639"/>
    <cellStyle name="_laroux_2000 Reforecast Summary 6-00" xfId="640"/>
    <cellStyle name="_laroux_April 2000 Review_Property Disclosure 2000 Reforecast 8-00" xfId="641"/>
    <cellStyle name="_LIBOR" xfId="642"/>
    <cellStyle name="_LIBOR 2" xfId="643"/>
    <cellStyle name="_LIBOR_IRR Model" xfId="644"/>
    <cellStyle name="_LIBOR_IRR Model 2" xfId="645"/>
    <cellStyle name="_LIBOR_Mesa_Irr Grid" xfId="646"/>
    <cellStyle name="_LIBOR_Mesa_Irr Grid 2" xfId="647"/>
    <cellStyle name="_Luxury Goods Comps latest" xfId="648"/>
    <cellStyle name="_Luxury Goods Comps latest_Medley_Financial_Model_v5" xfId="649"/>
    <cellStyle name="_Luxury Goods Comps latest_Medley_Financial_Model_v5_Ubiquiti Ownership Table" xfId="650"/>
    <cellStyle name="_MemoHead" xfId="651"/>
    <cellStyle name="_MemoHead 2" xfId="652"/>
    <cellStyle name="_MemoSubHead" xfId="653"/>
    <cellStyle name="_MemoSubHead 2" xfId="654"/>
    <cellStyle name="-_Merger Overview Paste-ins" xfId="655"/>
    <cellStyle name="-_Merger Overview Paste-ins_EBITDA template v2" xfId="656"/>
    <cellStyle name="-_Merger Overview Paste-ins_Ranpak Model (10-27-05) v1.1" xfId="657"/>
    <cellStyle name="-_Merger Overview Paste-ins_Ranpak Model (10-27-05) v1.1_EBITDA template v2" xfId="658"/>
    <cellStyle name="_Model and Valuation - Aros 6 30 08" xfId="659"/>
    <cellStyle name="_Modelo Puerto 2007 Management Case DB 14-11 (DB) v20" xfId="660"/>
    <cellStyle name="_Modelo Puerto 2007 Management Case DB 14-11 (DB) v20_Medley_Financial_Model_v5" xfId="661"/>
    <cellStyle name="_Multiple" xfId="662"/>
    <cellStyle name="_Multiple__DCF Template" xfId="663"/>
    <cellStyle name="_Multiple_04 Alaska Model 2002-05-31 GS" xfId="664"/>
    <cellStyle name="_Multiple_Cable_Industry Overview5" xfId="665"/>
    <cellStyle name="_Multiple_Control" xfId="666"/>
    <cellStyle name="_Multiple_Dividend Template" xfId="667"/>
    <cellStyle name="_Multiple_Eric CapIQ unlinked v1" xfId="668"/>
    <cellStyle name="_Multiple_Gelco Model" xfId="669"/>
    <cellStyle name="_Multiple_H-G Holdings race car v5 (change dep)" xfId="670"/>
    <cellStyle name="_Multiple_INTU Comps v2" xfId="671"/>
    <cellStyle name="_Multiple_lbo_long_model" xfId="672"/>
    <cellStyle name="_Multiple_lbo_long_model 2" xfId="673"/>
    <cellStyle name="_Multiple_Medicis WACC" xfId="674"/>
    <cellStyle name="_Multiple_Meggitt AirDynamics WACC" xfId="675"/>
    <cellStyle name="_Multiple_Pro-Forma Financials" xfId="676"/>
    <cellStyle name="_Multiple_Pro-Forma Spin-off" xfId="677"/>
    <cellStyle name="_Multiple_Revised Basic Modelv2.4" xfId="678"/>
    <cellStyle name="_Multiple_Rider Henning" xfId="679"/>
    <cellStyle name="_Multiple_Summary" xfId="680"/>
    <cellStyle name="_Multiple_Updated Model - CapitalIQ6 -04.20.06" xfId="681"/>
    <cellStyle name="_Multiple_WACCv2" xfId="682"/>
    <cellStyle name="_Multiple_Yield Tables" xfId="683"/>
    <cellStyle name="_MultipleSpace" xfId="684"/>
    <cellStyle name="_MultipleSpace__DCF Template" xfId="685"/>
    <cellStyle name="_MultipleSpace_04 Alaska Model 2002-05-31 GS" xfId="686"/>
    <cellStyle name="_MultipleSpace_Control" xfId="687"/>
    <cellStyle name="_MultipleSpace_Dividend Template" xfId="688"/>
    <cellStyle name="_MultipleSpace_EPL LBO 5.16.05 - Mgmt IPO v6" xfId="689"/>
    <cellStyle name="_MultipleSpace_Epsilon IPO Model NEW v3" xfId="690"/>
    <cellStyle name="_MultipleSpace_Epsilon Model 3.30.05 v7" xfId="691"/>
    <cellStyle name="_MultipleSpace_Eric CapIQ unlinked v1" xfId="692"/>
    <cellStyle name="_MultipleSpace_H-G Holdings race car v5 (change dep)" xfId="693"/>
    <cellStyle name="_MultipleSpace_Hist_Rev1" xfId="694"/>
    <cellStyle name="_MultipleSpace_lbo_long_model" xfId="695"/>
    <cellStyle name="_MultipleSpace_lbo_long_model 2" xfId="696"/>
    <cellStyle name="_MultipleSpace_Medicis WACC" xfId="697"/>
    <cellStyle name="_MultipleSpace_Meggitt AirDynamics WACC" xfId="698"/>
    <cellStyle name="_MultipleSpace_Pro-Forma Financials" xfId="699"/>
    <cellStyle name="_MultipleSpace_Pro-Forma Spin-off" xfId="700"/>
    <cellStyle name="_MultipleSpace_Revised Basic Modelv2.4" xfId="701"/>
    <cellStyle name="_MultipleSpace_Rider Henning" xfId="702"/>
    <cellStyle name="_MultipleSpace_RJB Long LBO LTM" xfId="703"/>
    <cellStyle name="_MultipleSpace_Updated Model - CapitalIQ6 -04.20.06" xfId="704"/>
    <cellStyle name="_MultipleSpace_WACCv2" xfId="705"/>
    <cellStyle name="_Nomos WACC" xfId="706"/>
    <cellStyle name="_Percent" xfId="707"/>
    <cellStyle name="_Percent_Control" xfId="708"/>
    <cellStyle name="_Percent_Rider Henning" xfId="709"/>
    <cellStyle name="_PercentReal" xfId="710"/>
    <cellStyle name="_PercentReal 2" xfId="711"/>
    <cellStyle name="_PercentReal_Gelco Model" xfId="712"/>
    <cellStyle name="_PercentReal_Gelco Model 2" xfId="713"/>
    <cellStyle name="_PercentReal_Gelco Overview_3-11-04" xfId="714"/>
    <cellStyle name="_PercentReal_Gelco Overview_3-11-04 2" xfId="715"/>
    <cellStyle name="_PercentReal_Indicative Term Sheet" xfId="716"/>
    <cellStyle name="_PercentReal_Indicative Term Sheet 2" xfId="717"/>
    <cellStyle name="_PercentReal_IRR Summary" xfId="718"/>
    <cellStyle name="_PercentReal_IRR Summary 2" xfId="719"/>
    <cellStyle name="_PercentReal_PADD" xfId="720"/>
    <cellStyle name="_PercentReal_PADD 2" xfId="721"/>
    <cellStyle name="_PercentSpace" xfId="722"/>
    <cellStyle name="_PercentSpace_Control" xfId="723"/>
    <cellStyle name="_PercentSpace_Rider Henning" xfId="724"/>
    <cellStyle name="_PMR_Val_v3" xfId="725"/>
    <cellStyle name="_PMR_Val_v4" xfId="726"/>
    <cellStyle name="_Projection IS  BS 2007-2010" xfId="727"/>
    <cellStyle name="_Public Equity Analysis - v1" xfId="728"/>
    <cellStyle name="_Public Equity Analysis - v1_Medley_Financial_Model_v5" xfId="729"/>
    <cellStyle name="_Pulpo 01.30.07 v.2" xfId="730"/>
    <cellStyle name="_RangeColumns" xfId="731"/>
    <cellStyle name="_RangeColumns_East Coast Bulk Caustic 2+10" xfId="732"/>
    <cellStyle name="_RangeColumns_East Coast Bulk Caustic 2+10 2" xfId="733"/>
    <cellStyle name="_RangeColumns_East Profit  Loss 1Q Review" xfId="734"/>
    <cellStyle name="_RangeColumns_East Profit  Loss 1Q Review 2" xfId="735"/>
    <cellStyle name="_RangeData" xfId="736"/>
    <cellStyle name="_RangeData 2" xfId="737"/>
    <cellStyle name="_RangeData_East Coast Bulk Caustic 2+10" xfId="738"/>
    <cellStyle name="_RangeData_East Coast Bulk Caustic 2+10 2" xfId="739"/>
    <cellStyle name="_RangeData_East Profit  Loss 1Q Review" xfId="740"/>
    <cellStyle name="_RangeData_East Profit  Loss 1Q Review 2" xfId="741"/>
    <cellStyle name="_RangeProperties" xfId="742"/>
    <cellStyle name="_RangeProperties 2" xfId="743"/>
    <cellStyle name="_RangePropertiesColumns" xfId="744"/>
    <cellStyle name="_RangePropertiesColumns 2" xfId="745"/>
    <cellStyle name="_RangeRows" xfId="746"/>
    <cellStyle name="_RangeRows_East Coast Bulk Caustic 2+10" xfId="747"/>
    <cellStyle name="_RangeRows_East Coast Bulk Caustic 2+10 2" xfId="748"/>
    <cellStyle name="_RangeRows_East Profit  Loss 1Q Review" xfId="749"/>
    <cellStyle name="_RangeRows_East Profit  Loss 1Q Review 2" xfId="750"/>
    <cellStyle name="_RangeSlicer" xfId="751"/>
    <cellStyle name="_Revised BP 2007-2010" xfId="752"/>
    <cellStyle name="_Roster with Salary and Bonus v2" xfId="753"/>
    <cellStyle name="_Store Buildup v6" xfId="754"/>
    <cellStyle name="_Store Buildup v6_1" xfId="755"/>
    <cellStyle name="_Store Buildup v6_2" xfId="756"/>
    <cellStyle name="_Store Buildup v6_3" xfId="757"/>
    <cellStyle name="_Store Buildup v6_4" xfId="758"/>
    <cellStyle name="_SubHeading" xfId="759"/>
    <cellStyle name="_SubHeading 2" xfId="760"/>
    <cellStyle name="_SubHeading_lbo_long_model" xfId="761"/>
    <cellStyle name="_SubHeading_lbo_long_model 2" xfId="762"/>
    <cellStyle name="_SubHeading_lbo_long_model 2 2" xfId="763"/>
    <cellStyle name="_SubHeading_lbo_long_model 3" xfId="764"/>
    <cellStyle name="_SubHeading_lbo_long_model 4" xfId="765"/>
    <cellStyle name="_SubHeading_lbo_long_model 5" xfId="766"/>
    <cellStyle name="_SubHeading_lbo_long_model_Anaphore 12 31 2008 Draft Analysis 02 19 2009" xfId="767"/>
    <cellStyle name="_SubHeading_lbo_long_model_Anaphore 12 31 2008 Draft Analysis 02 20 2009 - DM REVISED" xfId="768"/>
    <cellStyle name="_SubHeading_lbo_long_model_Book2" xfId="769"/>
    <cellStyle name="_SubHeading_lbo_long_model_Book2 2" xfId="770"/>
    <cellStyle name="_SubHeading_lbo_long_model_Boston Power VD 01 31 2008 Model 02 26 2008" xfId="771"/>
    <cellStyle name="_SubHeading_lbo_long_model_Boston Power VD 01 31 2008 Model 02 26 2008 2" xfId="772"/>
    <cellStyle name="_SubHeading_lbo_long_model_Boston Power VD 01 31 2008 Model 02 26 2008 2 2" xfId="773"/>
    <cellStyle name="_SubHeading_lbo_long_model_Boston Power VD 01 31 2008 Model 02 26 2008 3" xfId="774"/>
    <cellStyle name="_SubHeading_lbo_long_model_Boston Power VD 01 31 2008 Model 02 26 2008 4" xfId="775"/>
    <cellStyle name="_SubHeading_lbo_long_model_Boston Power VD 01 31 2008 Model 02 26 2008 5" xfId="776"/>
    <cellStyle name="_SubHeading_lbo_long_model_Boston Power VD 01 31 2008 Model 02 26 2008_CompanyABC Valuation Draft Model 04 21 2009" xfId="777"/>
    <cellStyle name="_SubHeading_lbo_long_model_Boston Power VD 01 31 2008 Model 02 26 2008_CompanyABC Valuation Draft Model 04 21 2009 2" xfId="778"/>
    <cellStyle name="_SubHeading_lbo_long_model_Boston Power VD 01 31 2008 Model 02 26 2008_DB" xfId="779"/>
    <cellStyle name="_SubHeading_lbo_long_model_Boston Power VD 01 31 2008 Model 02 26 2008_DB 2" xfId="780"/>
    <cellStyle name="_SubHeading_lbo_long_model_Boston Power VD 01 31 2008 Model 02 26 2008_DB 2 2" xfId="781"/>
    <cellStyle name="_SubHeading_lbo_long_model_Boston Power VD 01 31 2008 Model 02 26 2008_FAS 157 Model Template 04 26 2009" xfId="782"/>
    <cellStyle name="_SubHeading_lbo_long_model_Boston Power VD 01 31 2008 Model 02 26 2008_FAS 157 Model Template 04 26 2009 2" xfId="783"/>
    <cellStyle name="_SubHeading_lbo_long_model_Boston Power VD 01 31 2008 Model 02 26 2008_Miragen VD 05 31 2008 Model 05 22 2009" xfId="784"/>
    <cellStyle name="_SubHeading_lbo_long_model_Cap Table Inputs" xfId="785"/>
    <cellStyle name="_SubHeading_lbo_long_model_Cap Table Inputs 2" xfId="786"/>
    <cellStyle name="_SubHeading_lbo_long_model_Cap Table Inputs 2 2" xfId="787"/>
    <cellStyle name="_SubHeading_lbo_long_model_Cap Table Inputs 3" xfId="788"/>
    <cellStyle name="_SubHeading_lbo_long_model_Cap Table Inputs 4" xfId="789"/>
    <cellStyle name="_SubHeading_lbo_long_model_Cap Table Inputs 5" xfId="790"/>
    <cellStyle name="_SubHeading_lbo_long_model_Cap Table Inputs_CompanyABC Valuation Draft Model 04 21 2009" xfId="791"/>
    <cellStyle name="_SubHeading_lbo_long_model_Cap Table Inputs_CompanyABC Valuation Draft Model 04 21 2009 2" xfId="792"/>
    <cellStyle name="_SubHeading_lbo_long_model_Cap Table Inputs_DB" xfId="793"/>
    <cellStyle name="_SubHeading_lbo_long_model_Cap Table Inputs_DB 2" xfId="794"/>
    <cellStyle name="_SubHeading_lbo_long_model_Cap Table Inputs_DB 2 2" xfId="795"/>
    <cellStyle name="_SubHeading_lbo_long_model_Cap Table Inputs_FAS 157 Model Template 04 26 2009" xfId="796"/>
    <cellStyle name="_SubHeading_lbo_long_model_Cap Table Inputs_FAS 157 Model Template 04 26 2009 2" xfId="797"/>
    <cellStyle name="_SubHeading_lbo_long_model_Cap Table Inputs_Miragen VD 05 31 2008 Model 05 22 2009" xfId="798"/>
    <cellStyle name="_SubHeading_lbo_long_model_CardioSolutions 05 31 2007 Final Model 09 27 2007" xfId="799"/>
    <cellStyle name="_SubHeading_lbo_long_model_CardioSolutions 05 31 2007 Final Model 09 27 2007 2" xfId="800"/>
    <cellStyle name="_SubHeading_lbo_long_model_CardioSolutions 05 31 2007 Final Model 09 27 2007 2 2" xfId="801"/>
    <cellStyle name="_SubHeading_lbo_long_model_CardioSolutions 05 31 2007 Final Model 09 27 2007 3" xfId="802"/>
    <cellStyle name="_SubHeading_lbo_long_model_CardioSolutions 05 31 2007 Final Model 09 27 2007 4" xfId="803"/>
    <cellStyle name="_SubHeading_lbo_long_model_CardioSolutions 05 31 2007 Final Model 09 27 2007 5" xfId="804"/>
    <cellStyle name="_SubHeading_lbo_long_model_CardioSolutions 05 31 2007 Final Model 09 27 2007_CompanyABC Valuation Draft Model 04 21 2009" xfId="805"/>
    <cellStyle name="_SubHeading_lbo_long_model_CardioSolutions 05 31 2007 Final Model 09 27 2007_CompanyABC Valuation Draft Model 04 21 2009 2" xfId="806"/>
    <cellStyle name="_SubHeading_lbo_long_model_CardioSolutions 05 31 2007 Final Model 09 27 2007_DB" xfId="807"/>
    <cellStyle name="_SubHeading_lbo_long_model_CardioSolutions 05 31 2007 Final Model 09 27 2007_DB 2" xfId="808"/>
    <cellStyle name="_SubHeading_lbo_long_model_CardioSolutions 05 31 2007 Final Model 09 27 2007_DB 2 2" xfId="809"/>
    <cellStyle name="_SubHeading_lbo_long_model_CardioSolutions 05 31 2007 Final Model 09 27 2007_FAS 157 Model Template 04 26 2009" xfId="810"/>
    <cellStyle name="_SubHeading_lbo_long_model_CardioSolutions 05 31 2007 Final Model 09 27 2007_FAS 157 Model Template 04 26 2009 2" xfId="811"/>
    <cellStyle name="_SubHeading_lbo_long_model_CardioSolutions 05 31 2007 Final Model 09 27 2007_Miragen VD 05 31 2008 Model 05 22 2009" xfId="812"/>
    <cellStyle name="_SubHeading_lbo_long_model_CardioSolutions VD 05 31 08 Draft Model 07 15 2008" xfId="813"/>
    <cellStyle name="_SubHeading_lbo_long_model_CardioSolutions VD 05 31 08 Draft Model 07 15 2008 2" xfId="814"/>
    <cellStyle name="_SubHeading_lbo_long_model_CardioSolutions VD 05 31 08 Draft Model 08 06 08-u" xfId="815"/>
    <cellStyle name="_SubHeading_lbo_long_model_CardioSolutions VD 05 31 08 Draft Model 08 06 08-u 2" xfId="816"/>
    <cellStyle name="_SubHeading_lbo_long_model_CompanyABC Valuation Draft Model 04 21 2009" xfId="817"/>
    <cellStyle name="_SubHeading_lbo_long_model_CompanyABC Valuation Draft Model 04 21 2009 2" xfId="818"/>
    <cellStyle name="_SubHeading_lbo_long_model_CompanyABC Valuation Model Draft 07 07 2008" xfId="819"/>
    <cellStyle name="_SubHeading_lbo_long_model_CompanyABC Valuation Model Draft 07 07 2008 2" xfId="820"/>
    <cellStyle name="_SubHeading_lbo_long_model_CompanyABC Valuation Model Draft 08 07 2008" xfId="821"/>
    <cellStyle name="_SubHeading_lbo_long_model_CompanyABC Valuation Model Draft 08 07 2008 2" xfId="822"/>
    <cellStyle name="_SubHeading_lbo_long_model_CompanyABC Valuation Model Draft 08 25 2008" xfId="823"/>
    <cellStyle name="_SubHeading_lbo_long_model_CompanyABC Valuation Model Draft 08 25 2008 2" xfId="824"/>
    <cellStyle name="_SubHeading_lbo_long_model_CompanyABC Valuation Model Draft 09 25 2008-Team Liquidity" xfId="825"/>
    <cellStyle name="_SubHeading_lbo_long_model_CompanyABC Valuation Model Draft 09 25 2008-Team Liquidity 2" xfId="826"/>
    <cellStyle name="_SubHeading_lbo_long_model_CompanyABC Valuation Model Draft 10 01 2008" xfId="827"/>
    <cellStyle name="_SubHeading_lbo_long_model_CompanyABC Valuation Model Draft 10 01 2008 2" xfId="828"/>
    <cellStyle name="_SubHeading_lbo_long_model_CompanyABC Valuation Model Draft 10 27 2008" xfId="829"/>
    <cellStyle name="_SubHeading_lbo_long_model_CompanyABC Valuation Model Draft 10 27 2008 2" xfId="830"/>
    <cellStyle name="_SubHeading_lbo_long_model_DB" xfId="831"/>
    <cellStyle name="_SubHeading_lbo_long_model_DB 2" xfId="832"/>
    <cellStyle name="_SubHeading_lbo_long_model_EXAMPLE model C-5" xfId="833"/>
    <cellStyle name="_SubHeading_lbo_long_model_EXAMPLE model C-5 2" xfId="834"/>
    <cellStyle name="_SubHeading_lbo_long_model_FAS 157 Model Template 04 26 2009" xfId="835"/>
    <cellStyle name="_SubHeading_lbo_long_model_FAS 157 Model Template 04 26 2009 2" xfId="836"/>
    <cellStyle name="_SubHeading_lbo_long_model_Great Call VD 09 30 08 Draft Model 11 20 08" xfId="837"/>
    <cellStyle name="_SubHeading_lbo_long_model_Great Call VD 09 30 08 Draft Model 11 20 08 2" xfId="838"/>
    <cellStyle name="_SubHeading_lbo_long_model_Intermedia, Inc. VD 05 31 08 Draft Model 07 16 2008" xfId="839"/>
    <cellStyle name="_SubHeading_lbo_long_model_Intermedia, Inc. VD 05 31 08 Draft Model 07 16 2008 2" xfId="840"/>
    <cellStyle name="_SubHeading_lbo_long_model_Island Data Corporatin VD 06 30 08 Projections and Comparables 08 11 2008" xfId="841"/>
    <cellStyle name="_SubHeading_lbo_long_model_Island Data Corporatin VD 06 30 08 Projections and Comparables 08 11 2008 2" xfId="842"/>
    <cellStyle name="_SubHeading_lbo_long_model_Jentro Tech VD 03 31 2008 Model 04 10 2008" xfId="843"/>
    <cellStyle name="_SubHeading_lbo_long_model_Jentro Tech VD 03 31 2008 Model 04 10 2008 2" xfId="844"/>
    <cellStyle name="_SubHeading_lbo_long_model_Kythera Biopharmaceuticals VD 05 16 08 Draft Analysis 07 01 08" xfId="845"/>
    <cellStyle name="_SubHeading_lbo_long_model_Kythera Biopharmaceuticals VD 05 16 08 Draft Analysis 07 01 08 2" xfId="846"/>
    <cellStyle name="_SubHeading_lbo_long_model_Kythera Biopharmaceuticals VD 05 16 08 Final Model 07 20 08" xfId="847"/>
    <cellStyle name="_SubHeading_lbo_long_model_Kythera Biopharmaceuticals VD 05 16 08 Final Model 07 20 08 2" xfId="848"/>
    <cellStyle name="_SubHeading_lbo_long_model_Kythera Biopharmaceuticals, Inc. VD 5 16 2008 Draft 5 24 2008" xfId="849"/>
    <cellStyle name="_SubHeading_lbo_long_model_Kythera Biopharmaceuticals, Inc. VD 5 16 2008 Draft 5 24 2008 2" xfId="850"/>
    <cellStyle name="_SubHeading_lbo_long_model_Miragen VD 05 31 2008 Model 05 22 2009" xfId="851"/>
    <cellStyle name="_SubHeading_lbo_long_model_Notes" xfId="852"/>
    <cellStyle name="_SubHeading_lbo_long_model_Notes 2" xfId="853"/>
    <cellStyle name="_SubHeading_lbo_long_model_OMT VD 10 15 2008 Draft Analysis 12 17 2008.xls" xfId="854"/>
    <cellStyle name="_SubHeading_lbo_long_model_PubComps IPO -C-7" xfId="855"/>
    <cellStyle name="_SubHeading_lbo_long_model_PubComps IPO -C-7 2" xfId="856"/>
    <cellStyle name="_SubHeading_lbo_long_model_Tmax Soft VD 07 31 2008 Draft Model 08 20 2008" xfId="857"/>
    <cellStyle name="_SubHeading_lbo_long_model_Tmax Soft VD 07 31 2008 Draft Model 08 20 2008 2" xfId="858"/>
    <cellStyle name="_SubHeading_lbo_long_model_WACC -E-2" xfId="859"/>
    <cellStyle name="_SubHeading_lbo_long_model_WACC -E-2 2" xfId="860"/>
    <cellStyle name="_SubHeading_lbo_long_model_Xmos Limited VD 05 13 2008  Model 06 04 08" xfId="861"/>
    <cellStyle name="_SubHeading_lbo_long_model_Xmos Limited VD 05 13 2008  Model 06 04 08 2" xfId="862"/>
    <cellStyle name="_SubHeading_prestemp" xfId="863"/>
    <cellStyle name="_SubHeading_prestemp 2" xfId="864"/>
    <cellStyle name="_SubHeading_prestemp 2 2" xfId="865"/>
    <cellStyle name="_SubHeading_prestemp 3" xfId="866"/>
    <cellStyle name="_SubHeading_prestemp 4" xfId="867"/>
    <cellStyle name="_SubHeading_prestemp 5" xfId="868"/>
    <cellStyle name="_SubHeading_prestemp_1" xfId="869"/>
    <cellStyle name="_SubHeading_prestemp_1_Cyrela - Goldzstein - Financial Model - v1" xfId="870"/>
    <cellStyle name="_SubHeading_prestemp_1_Cyrela - Goldzstein - Financial Model - v5" xfId="871"/>
    <cellStyle name="_SubHeading_prestemp_1_Gas Natural - Financial Model - April 18 2008 - v1" xfId="872"/>
    <cellStyle name="_SubHeading_prestemp_1_Gas Natural - Financial Model - April 18 2008 - v2" xfId="873"/>
    <cellStyle name="_SubHeading_prestemp_1_Gas Natural - Financial Model - May 20, 2009" xfId="874"/>
    <cellStyle name="_SubHeading_prestemp_1_Goldzstein Cyrela - Financial Model - v7" xfId="875"/>
    <cellStyle name="_SubHeading_prestemp_1_Grupo Ibmec - Financial Model - v2" xfId="876"/>
    <cellStyle name="_SubHeading_prestemp_1_Grupo Ibmec - Financial Model - v5" xfId="877"/>
    <cellStyle name="_SubHeading_prestemp_1_Independencia - Financial Model - Dec 02 2008 - v3" xfId="878"/>
    <cellStyle name="_SubHeading_prestemp_1_Independencia - Financial Model - Nov 24 2008" xfId="879"/>
    <cellStyle name="_SubHeading_prestemp_1_Medley_Financial_Model_v5" xfId="880"/>
    <cellStyle name="_SubHeading_prestemp_1_Medley_Financial_Model_v5_Ubiquiti Ownership Table" xfId="881"/>
    <cellStyle name="_SubHeading_prestemp_1_Project Emet - Forecasts" xfId="882"/>
    <cellStyle name="_SubHeading_prestemp_1_Rumo_Financial_Model_05jun2009_v1" xfId="883"/>
    <cellStyle name="_SubHeading_prestemp_1_Rumo_Financial_Model_05jun2009_v4" xfId="884"/>
    <cellStyle name="_SubHeading_prestemp_1_Rumo_Financial_Model_05jun2009_v5" xfId="885"/>
    <cellStyle name="_SubHeading_prestemp_1_Rumo_Financial_Model_05jun2009_v6" xfId="886"/>
    <cellStyle name="_SubHeading_prestemp_1_SCPC_Financial_Model_10jun2009_v2" xfId="887"/>
    <cellStyle name="_SubHeading_prestemp_1_SCPC_Financial_Model_17jun2009_v5" xfId="888"/>
    <cellStyle name="_SubHeading_prestemp_Anaphore 12 31 2008 Draft Analysis 02 19 2009" xfId="889"/>
    <cellStyle name="_SubHeading_prestemp_Anaphore 12 31 2008 Draft Analysis 02 20 2009 - DM REVISED" xfId="890"/>
    <cellStyle name="_SubHeading_prestemp_Book2" xfId="891"/>
    <cellStyle name="_SubHeading_prestemp_Book2 2" xfId="892"/>
    <cellStyle name="_SubHeading_prestemp_Boston Power VD 01 31 2008 Model 02 26 2008" xfId="893"/>
    <cellStyle name="_SubHeading_prestemp_Boston Power VD 01 31 2008 Model 02 26 2008 2" xfId="894"/>
    <cellStyle name="_SubHeading_prestemp_Boston Power VD 01 31 2008 Model 02 26 2008 2 2" xfId="895"/>
    <cellStyle name="_SubHeading_prestemp_Boston Power VD 01 31 2008 Model 02 26 2008 3" xfId="896"/>
    <cellStyle name="_SubHeading_prestemp_Boston Power VD 01 31 2008 Model 02 26 2008 4" xfId="897"/>
    <cellStyle name="_SubHeading_prestemp_Boston Power VD 01 31 2008 Model 02 26 2008 5" xfId="898"/>
    <cellStyle name="_SubHeading_prestemp_Boston Power VD 01 31 2008 Model 02 26 2008_CompanyABC Valuation Draft Model 04 21 2009" xfId="899"/>
    <cellStyle name="_SubHeading_prestemp_Boston Power VD 01 31 2008 Model 02 26 2008_CompanyABC Valuation Draft Model 04 21 2009 2" xfId="900"/>
    <cellStyle name="_SubHeading_prestemp_Boston Power VD 01 31 2008 Model 02 26 2008_DB" xfId="901"/>
    <cellStyle name="_SubHeading_prestemp_Boston Power VD 01 31 2008 Model 02 26 2008_DB 2" xfId="902"/>
    <cellStyle name="_SubHeading_prestemp_Boston Power VD 01 31 2008 Model 02 26 2008_DB 2 2" xfId="903"/>
    <cellStyle name="_SubHeading_prestemp_Boston Power VD 01 31 2008 Model 02 26 2008_FAS 157 Model Template 04 26 2009" xfId="904"/>
    <cellStyle name="_SubHeading_prestemp_Boston Power VD 01 31 2008 Model 02 26 2008_FAS 157 Model Template 04 26 2009 2" xfId="905"/>
    <cellStyle name="_SubHeading_prestemp_Boston Power VD 01 31 2008 Model 02 26 2008_Miragen VD 05 31 2008 Model 05 22 2009" xfId="906"/>
    <cellStyle name="_SubHeading_prestemp_Cap Table Inputs" xfId="907"/>
    <cellStyle name="_SubHeading_prestemp_Cap Table Inputs 2" xfId="908"/>
    <cellStyle name="_SubHeading_prestemp_Cap Table Inputs 2 2" xfId="909"/>
    <cellStyle name="_SubHeading_prestemp_Cap Table Inputs 3" xfId="910"/>
    <cellStyle name="_SubHeading_prestemp_Cap Table Inputs 4" xfId="911"/>
    <cellStyle name="_SubHeading_prestemp_Cap Table Inputs 5" xfId="912"/>
    <cellStyle name="_SubHeading_prestemp_Cap Table Inputs_CompanyABC Valuation Draft Model 04 21 2009" xfId="913"/>
    <cellStyle name="_SubHeading_prestemp_Cap Table Inputs_CompanyABC Valuation Draft Model 04 21 2009 2" xfId="914"/>
    <cellStyle name="_SubHeading_prestemp_Cap Table Inputs_DB" xfId="915"/>
    <cellStyle name="_SubHeading_prestemp_Cap Table Inputs_DB 2" xfId="916"/>
    <cellStyle name="_SubHeading_prestemp_Cap Table Inputs_DB 2 2" xfId="917"/>
    <cellStyle name="_SubHeading_prestemp_Cap Table Inputs_FAS 157 Model Template 04 26 2009" xfId="918"/>
    <cellStyle name="_SubHeading_prestemp_Cap Table Inputs_FAS 157 Model Template 04 26 2009 2" xfId="919"/>
    <cellStyle name="_SubHeading_prestemp_Cap Table Inputs_Miragen VD 05 31 2008 Model 05 22 2009" xfId="920"/>
    <cellStyle name="_SubHeading_prestemp_CardioSolutions 05 31 2007 Final Model 09 27 2007" xfId="921"/>
    <cellStyle name="_SubHeading_prestemp_CardioSolutions 05 31 2007 Final Model 09 27 2007 2" xfId="922"/>
    <cellStyle name="_SubHeading_prestemp_CardioSolutions 05 31 2007 Final Model 09 27 2007 2 2" xfId="923"/>
    <cellStyle name="_SubHeading_prestemp_CardioSolutions 05 31 2007 Final Model 09 27 2007 3" xfId="924"/>
    <cellStyle name="_SubHeading_prestemp_CardioSolutions 05 31 2007 Final Model 09 27 2007 4" xfId="925"/>
    <cellStyle name="_SubHeading_prestemp_CardioSolutions 05 31 2007 Final Model 09 27 2007 5" xfId="926"/>
    <cellStyle name="_SubHeading_prestemp_CardioSolutions 05 31 2007 Final Model 09 27 2007_CompanyABC Valuation Draft Model 04 21 2009" xfId="927"/>
    <cellStyle name="_SubHeading_prestemp_CardioSolutions 05 31 2007 Final Model 09 27 2007_CompanyABC Valuation Draft Model 04 21 2009 2" xfId="928"/>
    <cellStyle name="_SubHeading_prestemp_CardioSolutions 05 31 2007 Final Model 09 27 2007_DB" xfId="929"/>
    <cellStyle name="_SubHeading_prestemp_CardioSolutions 05 31 2007 Final Model 09 27 2007_DB 2" xfId="930"/>
    <cellStyle name="_SubHeading_prestemp_CardioSolutions 05 31 2007 Final Model 09 27 2007_DB 2 2" xfId="931"/>
    <cellStyle name="_SubHeading_prestemp_CardioSolutions 05 31 2007 Final Model 09 27 2007_FAS 157 Model Template 04 26 2009" xfId="932"/>
    <cellStyle name="_SubHeading_prestemp_CardioSolutions 05 31 2007 Final Model 09 27 2007_FAS 157 Model Template 04 26 2009 2" xfId="933"/>
    <cellStyle name="_SubHeading_prestemp_CardioSolutions 05 31 2007 Final Model 09 27 2007_Miragen VD 05 31 2008 Model 05 22 2009" xfId="934"/>
    <cellStyle name="_SubHeading_prestemp_CardioSolutions VD 05 31 08 Draft Model 07 15 2008" xfId="935"/>
    <cellStyle name="_SubHeading_prestemp_CardioSolutions VD 05 31 08 Draft Model 07 15 2008 2" xfId="936"/>
    <cellStyle name="_SubHeading_prestemp_CardioSolutions VD 05 31 08 Draft Model 08 06 08-u" xfId="937"/>
    <cellStyle name="_SubHeading_prestemp_CardioSolutions VD 05 31 08 Draft Model 08 06 08-u 2" xfId="938"/>
    <cellStyle name="_SubHeading_prestemp_CompanyABC Valuation Draft Model 04 21 2009" xfId="939"/>
    <cellStyle name="_SubHeading_prestemp_CompanyABC Valuation Draft Model 04 21 2009 2" xfId="940"/>
    <cellStyle name="_SubHeading_prestemp_CompanyABC Valuation Model Draft 07 07 2008" xfId="941"/>
    <cellStyle name="_SubHeading_prestemp_CompanyABC Valuation Model Draft 07 07 2008 2" xfId="942"/>
    <cellStyle name="_SubHeading_prestemp_CompanyABC Valuation Model Draft 08 07 2008" xfId="943"/>
    <cellStyle name="_SubHeading_prestemp_CompanyABC Valuation Model Draft 08 07 2008 2" xfId="944"/>
    <cellStyle name="_SubHeading_prestemp_CompanyABC Valuation Model Draft 08 25 2008" xfId="945"/>
    <cellStyle name="_SubHeading_prestemp_CompanyABC Valuation Model Draft 08 25 2008 2" xfId="946"/>
    <cellStyle name="_SubHeading_prestemp_CompanyABC Valuation Model Draft 09 25 2008-Team Liquidity" xfId="947"/>
    <cellStyle name="_SubHeading_prestemp_CompanyABC Valuation Model Draft 09 25 2008-Team Liquidity 2" xfId="948"/>
    <cellStyle name="_SubHeading_prestemp_CompanyABC Valuation Model Draft 10 01 2008" xfId="949"/>
    <cellStyle name="_SubHeading_prestemp_CompanyABC Valuation Model Draft 10 01 2008 2" xfId="950"/>
    <cellStyle name="_SubHeading_prestemp_CompanyABC Valuation Model Draft 10 27 2008" xfId="951"/>
    <cellStyle name="_SubHeading_prestemp_CompanyABC Valuation Model Draft 10 27 2008 2" xfId="952"/>
    <cellStyle name="_SubHeading_prestemp_DB" xfId="953"/>
    <cellStyle name="_SubHeading_prestemp_DB 2" xfId="954"/>
    <cellStyle name="_SubHeading_prestemp_EXAMPLE model C-5" xfId="955"/>
    <cellStyle name="_SubHeading_prestemp_EXAMPLE model C-5 2" xfId="956"/>
    <cellStyle name="_SubHeading_prestemp_FAS 157 Model Template 04 26 2009" xfId="957"/>
    <cellStyle name="_SubHeading_prestemp_FAS 157 Model Template 04 26 2009 2" xfId="958"/>
    <cellStyle name="_SubHeading_prestemp_Great Call VD 09 30 08 Draft Model 11 20 08" xfId="959"/>
    <cellStyle name="_SubHeading_prestemp_Great Call VD 09 30 08 Draft Model 11 20 08 2" xfId="960"/>
    <cellStyle name="_SubHeading_prestemp_Intermedia, Inc. VD 05 31 08 Draft Model 07 16 2008" xfId="961"/>
    <cellStyle name="_SubHeading_prestemp_Intermedia, Inc. VD 05 31 08 Draft Model 07 16 2008 2" xfId="962"/>
    <cellStyle name="_SubHeading_prestemp_Island Data Corporatin VD 06 30 08 Projections and Comparables 08 11 2008" xfId="963"/>
    <cellStyle name="_SubHeading_prestemp_Island Data Corporatin VD 06 30 08 Projections and Comparables 08 11 2008 2" xfId="964"/>
    <cellStyle name="_SubHeading_prestemp_Jentro Tech VD 03 31 2008 Model 04 10 2008" xfId="965"/>
    <cellStyle name="_SubHeading_prestemp_Jentro Tech VD 03 31 2008 Model 04 10 2008 2" xfId="966"/>
    <cellStyle name="_SubHeading_prestemp_Kythera Biopharmaceuticals VD 05 16 08 Draft Analysis 07 01 08" xfId="967"/>
    <cellStyle name="_SubHeading_prestemp_Kythera Biopharmaceuticals VD 05 16 08 Draft Analysis 07 01 08 2" xfId="968"/>
    <cellStyle name="_SubHeading_prestemp_Kythera Biopharmaceuticals VD 05 16 08 Final Model 07 20 08" xfId="969"/>
    <cellStyle name="_SubHeading_prestemp_Kythera Biopharmaceuticals VD 05 16 08 Final Model 07 20 08 2" xfId="970"/>
    <cellStyle name="_SubHeading_prestemp_Kythera Biopharmaceuticals, Inc. VD 5 16 2008 Draft 5 24 2008" xfId="971"/>
    <cellStyle name="_SubHeading_prestemp_Kythera Biopharmaceuticals, Inc. VD 5 16 2008 Draft 5 24 2008 2" xfId="972"/>
    <cellStyle name="_SubHeading_prestemp_Miragen VD 05 31 2008 Model 05 22 2009" xfId="973"/>
    <cellStyle name="_SubHeading_prestemp_Notes" xfId="974"/>
    <cellStyle name="_SubHeading_prestemp_Notes 2" xfId="975"/>
    <cellStyle name="_SubHeading_prestemp_OMT VD 10 15 2008 Draft Analysis 12 17 2008.xls" xfId="976"/>
    <cellStyle name="_SubHeading_prestemp_PubComps IPO -C-7" xfId="977"/>
    <cellStyle name="_SubHeading_prestemp_PubComps IPO -C-7 2" xfId="978"/>
    <cellStyle name="_SubHeading_prestemp_Tmax Soft VD 07 31 2008 Draft Model 08 20 2008" xfId="979"/>
    <cellStyle name="_SubHeading_prestemp_Tmax Soft VD 07 31 2008 Draft Model 08 20 2008 2" xfId="980"/>
    <cellStyle name="_SubHeading_prestemp_WACC -E-2" xfId="981"/>
    <cellStyle name="_SubHeading_prestemp_WACC -E-2 2" xfId="982"/>
    <cellStyle name="_SubHeading_prestemp_Xmos Limited VD 05 13 2008  Model 06 04 08" xfId="983"/>
    <cellStyle name="_SubHeading_prestemp_Xmos Limited VD 05 13 2008  Model 06 04 08 2" xfId="984"/>
    <cellStyle name="_Table" xfId="985"/>
    <cellStyle name="_Table 2" xfId="986"/>
    <cellStyle name="_Table__DCF Template" xfId="987"/>
    <cellStyle name="_Table__DCF Template 2" xfId="988"/>
    <cellStyle name="_Table__DCF Template 2 2" xfId="989"/>
    <cellStyle name="_Table__DCF Template 3" xfId="990"/>
    <cellStyle name="_Table_04 Alaska Model 2002-05-31 GS" xfId="991"/>
    <cellStyle name="_Table_04 Alaska Model 2002-05-31 GS 2" xfId="992"/>
    <cellStyle name="_Table_04 Alaska Model 2002-05-31 GS 2 2" xfId="993"/>
    <cellStyle name="_Table_04 Alaska Model 2002-05-31 GS 3" xfId="994"/>
    <cellStyle name="_Table_Book3" xfId="995"/>
    <cellStyle name="_Table_Dividend Template" xfId="996"/>
    <cellStyle name="_Table_Pro-Forma Financials" xfId="997"/>
    <cellStyle name="_Table_Pro-Forma Spin-off" xfId="998"/>
    <cellStyle name="_TableHead" xfId="999"/>
    <cellStyle name="_TableHead 2" xfId="1000"/>
    <cellStyle name="_TableHead_Cable_Industry Overview5" xfId="1001"/>
    <cellStyle name="_TableHead_Cable_Industry Overview5 2" xfId="1002"/>
    <cellStyle name="_TableHead_Gelco Model" xfId="1003"/>
    <cellStyle name="_TableHead_Gelco Model 2" xfId="1004"/>
    <cellStyle name="_TableHead_Summary" xfId="1005"/>
    <cellStyle name="_TableHead_Summary 2" xfId="1006"/>
    <cellStyle name="_TableHead_Yield Tables" xfId="1007"/>
    <cellStyle name="_TableHead_Yield Tables 2" xfId="1008"/>
    <cellStyle name="_TableHeading" xfId="1009"/>
    <cellStyle name="_TableRowBorder" xfId="1010"/>
    <cellStyle name="_TableRowHead" xfId="1011"/>
    <cellStyle name="_TableRowHead 2" xfId="1012"/>
    <cellStyle name="_TableRowHead_Gelco Model" xfId="1013"/>
    <cellStyle name="_TableRowHead_Gelco Model 2" xfId="1014"/>
    <cellStyle name="_TableRowHead_Summary" xfId="1015"/>
    <cellStyle name="_TableRowHead_Summary 2" xfId="1016"/>
    <cellStyle name="_TableRowHeading" xfId="1017"/>
    <cellStyle name="_TableSuperHead" xfId="1018"/>
    <cellStyle name="_TableSuperHead 2" xfId="1019"/>
    <cellStyle name="_TableSuperHead__DCF Template" xfId="1020"/>
    <cellStyle name="_TableSuperHead_04 Alaska Model 2002-05-31 GS" xfId="1021"/>
    <cellStyle name="_TableSuperHead_Book3" xfId="1022"/>
    <cellStyle name="_TableSuperHead_Cable_Industry Overview5" xfId="1023"/>
    <cellStyle name="_TableSuperHead_Cable_Industry Overview5 2" xfId="1024"/>
    <cellStyle name="_TableSuperHead_Dividend Template" xfId="1025"/>
    <cellStyle name="_TableSuperHead_Gelco Model" xfId="1026"/>
    <cellStyle name="_TableSuperHead_Gelco Model 2" xfId="1027"/>
    <cellStyle name="_TableSuperHead_Pro-Forma Financials" xfId="1028"/>
    <cellStyle name="_TableSuperHead_Pro-Forma Spin-off" xfId="1029"/>
    <cellStyle name="_TableSuperHead_Summary" xfId="1030"/>
    <cellStyle name="_TableSuperHead_Summary 2" xfId="1031"/>
    <cellStyle name="_TableSuperHead_Yield Tables" xfId="1032"/>
    <cellStyle name="_TableSuperHead_Yield Tables 2" xfId="1033"/>
    <cellStyle name="_TableSuperHeading" xfId="1034"/>
    <cellStyle name="_TableText" xfId="1035"/>
    <cellStyle name="_Tax Provision 2-1-07 sent to KPMG" xfId="1036"/>
    <cellStyle name="_TDI1602 Non-Food Retail Historic Transactions 060428" xfId="1037"/>
    <cellStyle name="_TDI1602 Non-Food Retail Historic Transactions 060428_Medley_Financial_Model_v5" xfId="1038"/>
    <cellStyle name="_TDI2246 Chemical Comps 061019" xfId="1039"/>
    <cellStyle name="_TDI2246 Chemical Comps 061019_Medley_Financial_Model_v5" xfId="1040"/>
    <cellStyle name="_TDU757 Fintech Comps 070227" xfId="1041"/>
    <cellStyle name="_TDU757 Fintech Comps 070227_Cyrela - Goldzstein - Financial Model - v1" xfId="1042"/>
    <cellStyle name="_TDU757 Fintech Comps 070227_Cyrela - Goldzstein - Financial Model - v5" xfId="1043"/>
    <cellStyle name="_TDU757 Fintech Comps 070227_Gas Natural - Financial Model - April 18 2008 - v1" xfId="1044"/>
    <cellStyle name="_TDU757 Fintech Comps 070227_Gas Natural - Financial Model - April 18 2008 - v2" xfId="1045"/>
    <cellStyle name="_TDU757 Fintech Comps 070227_Gas Natural - Financial Model - May 20, 2009" xfId="1046"/>
    <cellStyle name="_TDU757 Fintech Comps 070227_Goldzstein Cyrela - Financial Model - v7" xfId="1047"/>
    <cellStyle name="_TDU757 Fintech Comps 070227_Grupo Ibmec - Financial Model - v2" xfId="1048"/>
    <cellStyle name="_TDU757 Fintech Comps 070227_Grupo Ibmec - Financial Model - v5" xfId="1049"/>
    <cellStyle name="_TDU757 Fintech Comps 070227_Independencia - Financial Model - Dec 02 2008 - v3" xfId="1050"/>
    <cellStyle name="_TDU757 Fintech Comps 070227_Independencia - Financial Model - Nov 24 2008" xfId="1051"/>
    <cellStyle name="_TDU757 Fintech Comps 070227_Medley_Financial_Model_v5" xfId="1052"/>
    <cellStyle name="_TDU757 Fintech Comps 070227_Project Emet - Forecasts" xfId="1053"/>
    <cellStyle name="_TDU757 Fintech Comps 070227_Rumo_Financial_Model_05jun2009_v1" xfId="1054"/>
    <cellStyle name="_TDU757 Fintech Comps 070227_Rumo_Financial_Model_05jun2009_v4" xfId="1055"/>
    <cellStyle name="_TDU757 Fintech Comps 070227_Rumo_Financial_Model_05jun2009_v5" xfId="1056"/>
    <cellStyle name="_TDU757 Fintech Comps 070227_Rumo_Financial_Model_05jun2009_v6" xfId="1057"/>
    <cellStyle name="_TDU757 Fintech Comps 070227_SCPC_Financial_Model_10jun2009_v2" xfId="1058"/>
    <cellStyle name="_TDU757 Fintech Comps 070227_SCPC_Financial_Model_17jun2009_v5" xfId="1059"/>
    <cellStyle name="_TDU769 Aluminium Comps Database 070303" xfId="1060"/>
    <cellStyle name="_TDU769 Aluminium Comps Database 070303_Medley_Financial_Model_v5" xfId="1061"/>
    <cellStyle name="_Veeco SFAS 142 &amp; 144 - Oct 2004 - v11" xfId="1062"/>
    <cellStyle name="_הלוואות" xfId="1063"/>
    <cellStyle name="_הלוואות 2" xfId="1064"/>
    <cellStyle name="_התחיבות שכ&quot;ד" xfId="1065"/>
    <cellStyle name="_התחיבות שכ&quot;ד 2" xfId="1066"/>
    <cellStyle name="_מדדים" xfId="1067"/>
    <cellStyle name="_מדדים 2" xfId="1068"/>
    <cellStyle name="£ BP" xfId="1069"/>
    <cellStyle name="£ BP 2" xfId="1070"/>
    <cellStyle name="£/GJ" xfId="1071"/>
    <cellStyle name="£/t" xfId="1072"/>
    <cellStyle name="£Currency [0]" xfId="1073"/>
    <cellStyle name="£Currency [0] 2" xfId="1074"/>
    <cellStyle name="£Currency [1]" xfId="1075"/>
    <cellStyle name="£Currency [1] 2" xfId="1076"/>
    <cellStyle name="£Currency [2]" xfId="1077"/>
    <cellStyle name="£Currency [2] 2" xfId="1078"/>
    <cellStyle name="£Currency [p]" xfId="1079"/>
    <cellStyle name="£Currency [p] 2" xfId="1080"/>
    <cellStyle name="£Currency [p2]" xfId="1081"/>
    <cellStyle name="£Currency [p2] 2" xfId="1082"/>
    <cellStyle name="£Pounds" xfId="1083"/>
    <cellStyle name="£Pounds 2" xfId="1084"/>
    <cellStyle name="¤@¯ë_P721-Spd" xfId="1085"/>
    <cellStyle name="¤d¤À¦ì[0]_P721-Spd" xfId="1086"/>
    <cellStyle name="¤d¤À¦ì_P721-Spd" xfId="1087"/>
    <cellStyle name="¥ JY" xfId="1088"/>
    <cellStyle name="¥ JY 2" xfId="1089"/>
    <cellStyle name="=C:\WINNT\SYSTEM32\COMMAND.COM" xfId="1090"/>
    <cellStyle name="=C:\WINNT35\SYSTEM32\COMMAND.COM" xfId="1091"/>
    <cellStyle name="°" xfId="1092"/>
    <cellStyle name="°_ENS Economic Model 070802 v4" xfId="1093"/>
    <cellStyle name="•W?_Sheet1" xfId="1094"/>
    <cellStyle name="•W€_Capital Structure" xfId="1095"/>
    <cellStyle name="•W_Sheet1" xfId="1096"/>
    <cellStyle name="\¦ÏÝÌnCp[N" xfId="1097"/>
    <cellStyle name="æØè [0.00]_Affiliate Fcst Inputs" xfId="1098"/>
    <cellStyle name="W_Sheet1" xfId="1099"/>
    <cellStyle name="0" xfId="1100"/>
    <cellStyle name="0 2" xfId="1101"/>
    <cellStyle name="0%" xfId="1102"/>
    <cellStyle name="0,0" xfId="1103"/>
    <cellStyle name="0,0 F" xfId="1104"/>
    <cellStyle name="0,0%" xfId="1105"/>
    <cellStyle name="0,0_Co&amp;Lo180800" xfId="1106"/>
    <cellStyle name="0,00x" xfId="1107"/>
    <cellStyle name="0,0x" xfId="1108"/>
    <cellStyle name="0.0" xfId="1109"/>
    <cellStyle name="0.0 NORMAL" xfId="1110"/>
    <cellStyle name="0.0 PERCENT" xfId="1111"/>
    <cellStyle name="0.0 x" xfId="1112"/>
    <cellStyle name="0.0%" xfId="1113"/>
    <cellStyle name="0.0_Crystal Model final" xfId="1114"/>
    <cellStyle name="0.00" xfId="1115"/>
    <cellStyle name="0.00%" xfId="1116"/>
    <cellStyle name="0.00_Medley_Financial_Model_v5" xfId="1117"/>
    <cellStyle name="0_APT 141 101603 ver 51" xfId="1118"/>
    <cellStyle name="0_APT 141 101603 ver 51 2" xfId="1119"/>
    <cellStyle name="0_Medley_Financial_Model_v5" xfId="1120"/>
    <cellStyle name="0_Medley_Financial_Model_v5_Ubiquiti Ownership Table" xfId="1121"/>
    <cellStyle name="0_Nomos WACC" xfId="1122"/>
    <cellStyle name="0_Nomos WACC 2" xfId="1123"/>
    <cellStyle name="0_Nomos WACC_Boston Power VD 01 31 2008 Model 02 26 2008" xfId="1124"/>
    <cellStyle name="0_Nomos WACC_Boston Power VD 01 31 2008 Model 02 26 2008 2" xfId="1125"/>
    <cellStyle name="0_Nomos WACC_Boston Power VD 01 31 2008 Model 02 26 2008 2 2" xfId="1126"/>
    <cellStyle name="0_Nomos WACC_Boston Power VD 01 31 2008 Model 02 26 2008 3" xfId="1127"/>
    <cellStyle name="0_Nomos WACC_Boston Power VD 01 31 2008 Model 02 26 2008 4" xfId="1128"/>
    <cellStyle name="0_Nomos WACC_Boston Power VD 01 31 2008 Model 02 26 2008 5" xfId="1129"/>
    <cellStyle name="0_Nomos WACC_Boston Power VD 01 31 2008 Model 02 26 2008_CompanyABC Valuation Draft Model 04 21 2009" xfId="1130"/>
    <cellStyle name="0_Nomos WACC_Boston Power VD 01 31 2008 Model 02 26 2008_CompanyABC Valuation Draft Model 04 21 2009 2" xfId="1131"/>
    <cellStyle name="0_Nomos WACC_Boston Power VD 01 31 2008 Model 02 26 2008_DB" xfId="1132"/>
    <cellStyle name="0_Nomos WACC_Boston Power VD 01 31 2008 Model 02 26 2008_DB 2" xfId="1133"/>
    <cellStyle name="0_Nomos WACC_Boston Power VD 01 31 2008 Model 02 26 2008_DB 2 2" xfId="1134"/>
    <cellStyle name="0_Nomos WACC_Boston Power VD 01 31 2008 Model 02 26 2008_FAS 157 Model Template 04 26 2009" xfId="1135"/>
    <cellStyle name="0_Nomos WACC_Boston Power VD 01 31 2008 Model 02 26 2008_FAS 157 Model Template 04 26 2009 2" xfId="1136"/>
    <cellStyle name="0_Nomos WACC_Boston Power VD 01 31 2008 Model 02 26 2008_Miragen VD 05 31 2008 Model 05 22 2009" xfId="1137"/>
    <cellStyle name="0_Nomos WACC_Cap Table Inputs" xfId="1138"/>
    <cellStyle name="0_Nomos WACC_Cap Table Inputs 2" xfId="1139"/>
    <cellStyle name="0_Nomos WACC_Cap Table Inputs 2 2" xfId="1140"/>
    <cellStyle name="0_Nomos WACC_Cap Table Inputs 3" xfId="1141"/>
    <cellStyle name="0_Nomos WACC_Cap Table Inputs 4" xfId="1142"/>
    <cellStyle name="0_Nomos WACC_Cap Table Inputs 5" xfId="1143"/>
    <cellStyle name="0_Nomos WACC_Cap Table Inputs_CompanyABC Valuation Draft Model 04 21 2009" xfId="1144"/>
    <cellStyle name="0_Nomos WACC_Cap Table Inputs_CompanyABC Valuation Draft Model 04 21 2009 2" xfId="1145"/>
    <cellStyle name="0_Nomos WACC_Cap Table Inputs_DB" xfId="1146"/>
    <cellStyle name="0_Nomos WACC_Cap Table Inputs_DB 2" xfId="1147"/>
    <cellStyle name="0_Nomos WACC_Cap Table Inputs_DB 2 2" xfId="1148"/>
    <cellStyle name="0_Nomos WACC_Cap Table Inputs_FAS 157 Model Template 04 26 2009" xfId="1149"/>
    <cellStyle name="0_Nomos WACC_Cap Table Inputs_FAS 157 Model Template 04 26 2009 2" xfId="1150"/>
    <cellStyle name="0_Nomos WACC_Cap Table Inputs_Miragen VD 05 31 2008 Model 05 22 2009" xfId="1151"/>
    <cellStyle name="0_Nomos WACC_CardioSolutions 05 31 2007 Final Model 09 27 2007" xfId="1152"/>
    <cellStyle name="0_Nomos WACC_CardioSolutions 05 31 2007 Final Model 09 27 2007 2" xfId="1153"/>
    <cellStyle name="0_Nomos WACC_CardioSolutions 05 31 2007 Final Model 09 27 2007 2 2" xfId="1154"/>
    <cellStyle name="0_Nomos WACC_CardioSolutions 05 31 2007 Final Model 09 27 2007 3" xfId="1155"/>
    <cellStyle name="0_Nomos WACC_CardioSolutions 05 31 2007 Final Model 09 27 2007 4" xfId="1156"/>
    <cellStyle name="0_Nomos WACC_CardioSolutions 05 31 2007 Final Model 09 27 2007 5" xfId="1157"/>
    <cellStyle name="0_Nomos WACC_CardioSolutions 05 31 2007 Final Model 09 27 2007_CompanyABC Valuation Draft Model 04 21 2009" xfId="1158"/>
    <cellStyle name="0_Nomos WACC_CardioSolutions 05 31 2007 Final Model 09 27 2007_CompanyABC Valuation Draft Model 04 21 2009 2" xfId="1159"/>
    <cellStyle name="0_Nomos WACC_CardioSolutions 05 31 2007 Final Model 09 27 2007_DB" xfId="1160"/>
    <cellStyle name="0_Nomos WACC_CardioSolutions 05 31 2007 Final Model 09 27 2007_DB 2" xfId="1161"/>
    <cellStyle name="0_Nomos WACC_CardioSolutions 05 31 2007 Final Model 09 27 2007_DB 2 2" xfId="1162"/>
    <cellStyle name="0_Nomos WACC_CardioSolutions 05 31 2007 Final Model 09 27 2007_FAS 157 Model Template 04 26 2009" xfId="1163"/>
    <cellStyle name="0_Nomos WACC_CardioSolutions 05 31 2007 Final Model 09 27 2007_FAS 157 Model Template 04 26 2009 2" xfId="1164"/>
    <cellStyle name="0_Nomos WACC_CardioSolutions 05 31 2007 Final Model 09 27 2007_Miragen VD 05 31 2008 Model 05 22 2009" xfId="1165"/>
    <cellStyle name="0_Veeco SFAS 142 &amp; 144 - Oct 2004 - v11" xfId="1166"/>
    <cellStyle name="0_Veeco SFAS 142 &amp; 144 - Oct 2004 - v11 2" xfId="1167"/>
    <cellStyle name="0_Veeco SFAS 142 &amp; 144 - Oct 2004 - v11_Boston Power VD 01 31 2008 Model 02 26 2008" xfId="1168"/>
    <cellStyle name="0_Veeco SFAS 142 &amp; 144 - Oct 2004 - v11_Boston Power VD 01 31 2008 Model 02 26 2008 2" xfId="1169"/>
    <cellStyle name="0_Veeco SFAS 142 &amp; 144 - Oct 2004 - v11_Boston Power VD 01 31 2008 Model 02 26 2008 2 2" xfId="1170"/>
    <cellStyle name="0_Veeco SFAS 142 &amp; 144 - Oct 2004 - v11_Boston Power VD 01 31 2008 Model 02 26 2008 3" xfId="1171"/>
    <cellStyle name="0_Veeco SFAS 142 &amp; 144 - Oct 2004 - v11_Boston Power VD 01 31 2008 Model 02 26 2008 4" xfId="1172"/>
    <cellStyle name="0_Veeco SFAS 142 &amp; 144 - Oct 2004 - v11_Boston Power VD 01 31 2008 Model 02 26 2008 5" xfId="1173"/>
    <cellStyle name="0_Veeco SFAS 142 &amp; 144 - Oct 2004 - v11_Boston Power VD 01 31 2008 Model 02 26 2008_CompanyABC Valuation Draft Model 04 21 2009" xfId="1174"/>
    <cellStyle name="0_Veeco SFAS 142 &amp; 144 - Oct 2004 - v11_Boston Power VD 01 31 2008 Model 02 26 2008_CompanyABC Valuation Draft Model 04 21 2009 2" xfId="1175"/>
    <cellStyle name="0_Veeco SFAS 142 &amp; 144 - Oct 2004 - v11_Boston Power VD 01 31 2008 Model 02 26 2008_DB" xfId="1176"/>
    <cellStyle name="0_Veeco SFAS 142 &amp; 144 - Oct 2004 - v11_Boston Power VD 01 31 2008 Model 02 26 2008_DB 2" xfId="1177"/>
    <cellStyle name="0_Veeco SFAS 142 &amp; 144 - Oct 2004 - v11_Boston Power VD 01 31 2008 Model 02 26 2008_DB 2 2" xfId="1178"/>
    <cellStyle name="0_Veeco SFAS 142 &amp; 144 - Oct 2004 - v11_Boston Power VD 01 31 2008 Model 02 26 2008_FAS 157 Model Template 04 26 2009" xfId="1179"/>
    <cellStyle name="0_Veeco SFAS 142 &amp; 144 - Oct 2004 - v11_Boston Power VD 01 31 2008 Model 02 26 2008_FAS 157 Model Template 04 26 2009 2" xfId="1180"/>
    <cellStyle name="0_Veeco SFAS 142 &amp; 144 - Oct 2004 - v11_Boston Power VD 01 31 2008 Model 02 26 2008_Miragen VD 05 31 2008 Model 05 22 2009" xfId="1181"/>
    <cellStyle name="0_Veeco SFAS 142 &amp; 144 - Oct 2004 - v11_Cap Table Inputs" xfId="1182"/>
    <cellStyle name="0_Veeco SFAS 142 &amp; 144 - Oct 2004 - v11_Cap Table Inputs 2" xfId="1183"/>
    <cellStyle name="0_Veeco SFAS 142 &amp; 144 - Oct 2004 - v11_Cap Table Inputs 2 2" xfId="1184"/>
    <cellStyle name="0_Veeco SFAS 142 &amp; 144 - Oct 2004 - v11_Cap Table Inputs 3" xfId="1185"/>
    <cellStyle name="0_Veeco SFAS 142 &amp; 144 - Oct 2004 - v11_Cap Table Inputs 4" xfId="1186"/>
    <cellStyle name="0_Veeco SFAS 142 &amp; 144 - Oct 2004 - v11_Cap Table Inputs 5" xfId="1187"/>
    <cellStyle name="0_Veeco SFAS 142 &amp; 144 - Oct 2004 - v11_Cap Table Inputs_CompanyABC Valuation Draft Model 04 21 2009" xfId="1188"/>
    <cellStyle name="0_Veeco SFAS 142 &amp; 144 - Oct 2004 - v11_Cap Table Inputs_CompanyABC Valuation Draft Model 04 21 2009 2" xfId="1189"/>
    <cellStyle name="0_Veeco SFAS 142 &amp; 144 - Oct 2004 - v11_Cap Table Inputs_DB" xfId="1190"/>
    <cellStyle name="0_Veeco SFAS 142 &amp; 144 - Oct 2004 - v11_Cap Table Inputs_DB 2" xfId="1191"/>
    <cellStyle name="0_Veeco SFAS 142 &amp; 144 - Oct 2004 - v11_Cap Table Inputs_DB 2 2" xfId="1192"/>
    <cellStyle name="0_Veeco SFAS 142 &amp; 144 - Oct 2004 - v11_Cap Table Inputs_FAS 157 Model Template 04 26 2009" xfId="1193"/>
    <cellStyle name="0_Veeco SFAS 142 &amp; 144 - Oct 2004 - v11_Cap Table Inputs_FAS 157 Model Template 04 26 2009 2" xfId="1194"/>
    <cellStyle name="0_Veeco SFAS 142 &amp; 144 - Oct 2004 - v11_Cap Table Inputs_Miragen VD 05 31 2008 Model 05 22 2009" xfId="1195"/>
    <cellStyle name="0_Veeco SFAS 142 &amp; 144 - Oct 2004 - v11_CardioSolutions 05 31 2007 Final Model 09 27 2007" xfId="1196"/>
    <cellStyle name="0_Veeco SFAS 142 &amp; 144 - Oct 2004 - v11_CardioSolutions 05 31 2007 Final Model 09 27 2007 2" xfId="1197"/>
    <cellStyle name="0_Veeco SFAS 142 &amp; 144 - Oct 2004 - v11_CardioSolutions 05 31 2007 Final Model 09 27 2007 2 2" xfId="1198"/>
    <cellStyle name="0_Veeco SFAS 142 &amp; 144 - Oct 2004 - v11_CardioSolutions 05 31 2007 Final Model 09 27 2007 3" xfId="1199"/>
    <cellStyle name="0_Veeco SFAS 142 &amp; 144 - Oct 2004 - v11_CardioSolutions 05 31 2007 Final Model 09 27 2007 4" xfId="1200"/>
    <cellStyle name="0_Veeco SFAS 142 &amp; 144 - Oct 2004 - v11_CardioSolutions 05 31 2007 Final Model 09 27 2007 5" xfId="1201"/>
    <cellStyle name="0_Veeco SFAS 142 &amp; 144 - Oct 2004 - v11_CardioSolutions 05 31 2007 Final Model 09 27 2007_CompanyABC Valuation Draft Model 04 21 2009" xfId="1202"/>
    <cellStyle name="0_Veeco SFAS 142 &amp; 144 - Oct 2004 - v11_CardioSolutions 05 31 2007 Final Model 09 27 2007_CompanyABC Valuation Draft Model 04 21 2009 2" xfId="1203"/>
    <cellStyle name="0_Veeco SFAS 142 &amp; 144 - Oct 2004 - v11_CardioSolutions 05 31 2007 Final Model 09 27 2007_DB" xfId="1204"/>
    <cellStyle name="0_Veeco SFAS 142 &amp; 144 - Oct 2004 - v11_CardioSolutions 05 31 2007 Final Model 09 27 2007_DB 2" xfId="1205"/>
    <cellStyle name="0_Veeco SFAS 142 &amp; 144 - Oct 2004 - v11_CardioSolutions 05 31 2007 Final Model 09 27 2007_DB 2 2" xfId="1206"/>
    <cellStyle name="0_Veeco SFAS 142 &amp; 144 - Oct 2004 - v11_CardioSolutions 05 31 2007 Final Model 09 27 2007_FAS 157 Model Template 04 26 2009" xfId="1207"/>
    <cellStyle name="0_Veeco SFAS 142 &amp; 144 - Oct 2004 - v11_CardioSolutions 05 31 2007 Final Model 09 27 2007_FAS 157 Model Template 04 26 2009 2" xfId="1208"/>
    <cellStyle name="0_Veeco SFAS 142 &amp; 144 - Oct 2004 - v11_CardioSolutions 05 31 2007 Final Model 09 27 2007_Miragen VD 05 31 2008 Model 05 22 2009" xfId="1209"/>
    <cellStyle name="000" xfId="1210"/>
    <cellStyle name="000 MF" xfId="1211"/>
    <cellStyle name="000,0" xfId="1212"/>
    <cellStyle name="000_Halloween version SPV" xfId="1213"/>
    <cellStyle name="0000" xfId="1214"/>
    <cellStyle name="000000" xfId="1215"/>
    <cellStyle name="1,comma" xfId="1216"/>
    <cellStyle name="1.0 TITLE" xfId="1217"/>
    <cellStyle name="1.1 TITLE" xfId="1218"/>
    <cellStyle name="1000s1Place" xfId="1219"/>
    <cellStyle name="18.xls]Mgmt" xfId="1220"/>
    <cellStyle name="1Decimal" xfId="1221"/>
    <cellStyle name="1Decimal 2" xfId="1222"/>
    <cellStyle name="1Decimal 2 2" xfId="1223"/>
    <cellStyle name="1Decimal 3" xfId="1224"/>
    <cellStyle name="1Decimal 4" xfId="1225"/>
    <cellStyle name="1Decimal 5" xfId="1226"/>
    <cellStyle name="¹éºÐÀ²_±âÅ¸" xfId="1227"/>
    <cellStyle name="1MMs1Place" xfId="1228"/>
    <cellStyle name="1MMs2Places" xfId="1229"/>
    <cellStyle name="1Normal" xfId="1230"/>
    <cellStyle name="1place" xfId="1231"/>
    <cellStyle name="2" xfId="1232"/>
    <cellStyle name="2 Decimal Places" xfId="1233"/>
    <cellStyle name="20% - Accent1" xfId="20" builtinId="30" customBuiltin="1"/>
    <cellStyle name="20% - Accent1 10" xfId="1234"/>
    <cellStyle name="20% - Accent1 10 10" xfId="1235"/>
    <cellStyle name="20% - Accent1 10 2" xfId="1236"/>
    <cellStyle name="20% - Accent1 10 2 2" xfId="1237"/>
    <cellStyle name="20% - Accent1 10 2 2 2" xfId="1238"/>
    <cellStyle name="20% - Accent1 10 2 2 2 2" xfId="1239"/>
    <cellStyle name="20% - Accent1 10 2 2 2 3" xfId="1240"/>
    <cellStyle name="20% - Accent1 10 2 2 3" xfId="1241"/>
    <cellStyle name="20% - Accent1 10 2 2 3 2" xfId="1242"/>
    <cellStyle name="20% - Accent1 10 2 2 3 3" xfId="1243"/>
    <cellStyle name="20% - Accent1 10 2 2 4" xfId="1244"/>
    <cellStyle name="20% - Accent1 10 2 2 5" xfId="1245"/>
    <cellStyle name="20% - Accent1 10 2 3" xfId="1246"/>
    <cellStyle name="20% - Accent1 10 2 3 2" xfId="1247"/>
    <cellStyle name="20% - Accent1 10 2 3 2 2" xfId="1248"/>
    <cellStyle name="20% - Accent1 10 2 3 2 3" xfId="1249"/>
    <cellStyle name="20% - Accent1 10 2 3 3" xfId="1250"/>
    <cellStyle name="20% - Accent1 10 2 3 3 2" xfId="1251"/>
    <cellStyle name="20% - Accent1 10 2 3 3 3" xfId="1252"/>
    <cellStyle name="20% - Accent1 10 2 3 4" xfId="1253"/>
    <cellStyle name="20% - Accent1 10 2 3 5" xfId="1254"/>
    <cellStyle name="20% - Accent1 10 2 4" xfId="1255"/>
    <cellStyle name="20% - Accent1 10 2 4 2" xfId="1256"/>
    <cellStyle name="20% - Accent1 10 2 4 2 2" xfId="1257"/>
    <cellStyle name="20% - Accent1 10 2 4 2 3" xfId="1258"/>
    <cellStyle name="20% - Accent1 10 2 4 3" xfId="1259"/>
    <cellStyle name="20% - Accent1 10 2 4 3 2" xfId="1260"/>
    <cellStyle name="20% - Accent1 10 2 4 3 3" xfId="1261"/>
    <cellStyle name="20% - Accent1 10 2 4 4" xfId="1262"/>
    <cellStyle name="20% - Accent1 10 2 4 5" xfId="1263"/>
    <cellStyle name="20% - Accent1 10 2 5" xfId="1264"/>
    <cellStyle name="20% - Accent1 10 2 5 2" xfId="1265"/>
    <cellStyle name="20% - Accent1 10 2 5 3" xfId="1266"/>
    <cellStyle name="20% - Accent1 10 2 6" xfId="1267"/>
    <cellStyle name="20% - Accent1 10 2 6 2" xfId="1268"/>
    <cellStyle name="20% - Accent1 10 2 6 3" xfId="1269"/>
    <cellStyle name="20% - Accent1 10 2 7" xfId="1270"/>
    <cellStyle name="20% - Accent1 10 2 8" xfId="1271"/>
    <cellStyle name="20% - Accent1 10 2_Volatility" xfId="1272"/>
    <cellStyle name="20% - Accent1 10 3" xfId="1273"/>
    <cellStyle name="20% - Accent1 10 3 2" xfId="1274"/>
    <cellStyle name="20% - Accent1 10 3 2 2" xfId="1275"/>
    <cellStyle name="20% - Accent1 10 3 2 2 2" xfId="1276"/>
    <cellStyle name="20% - Accent1 10 3 2 2 3" xfId="1277"/>
    <cellStyle name="20% - Accent1 10 3 2 3" xfId="1278"/>
    <cellStyle name="20% - Accent1 10 3 2 3 2" xfId="1279"/>
    <cellStyle name="20% - Accent1 10 3 2 3 3" xfId="1280"/>
    <cellStyle name="20% - Accent1 10 3 2 4" xfId="1281"/>
    <cellStyle name="20% - Accent1 10 3 2 5" xfId="1282"/>
    <cellStyle name="20% - Accent1 10 3 3" xfId="1283"/>
    <cellStyle name="20% - Accent1 10 3 3 2" xfId="1284"/>
    <cellStyle name="20% - Accent1 10 3 3 2 2" xfId="1285"/>
    <cellStyle name="20% - Accent1 10 3 3 2 3" xfId="1286"/>
    <cellStyle name="20% - Accent1 10 3 3 3" xfId="1287"/>
    <cellStyle name="20% - Accent1 10 3 3 3 2" xfId="1288"/>
    <cellStyle name="20% - Accent1 10 3 3 3 3" xfId="1289"/>
    <cellStyle name="20% - Accent1 10 3 3 4" xfId="1290"/>
    <cellStyle name="20% - Accent1 10 3 3 5" xfId="1291"/>
    <cellStyle name="20% - Accent1 10 3 4" xfId="1292"/>
    <cellStyle name="20% - Accent1 10 3 4 2" xfId="1293"/>
    <cellStyle name="20% - Accent1 10 3 4 3" xfId="1294"/>
    <cellStyle name="20% - Accent1 10 3 5" xfId="1295"/>
    <cellStyle name="20% - Accent1 10 3 5 2" xfId="1296"/>
    <cellStyle name="20% - Accent1 10 3 5 3" xfId="1297"/>
    <cellStyle name="20% - Accent1 10 3 6" xfId="1298"/>
    <cellStyle name="20% - Accent1 10 3 7" xfId="1299"/>
    <cellStyle name="20% - Accent1 10 3_Volatility" xfId="1300"/>
    <cellStyle name="20% - Accent1 10 4" xfId="1301"/>
    <cellStyle name="20% - Accent1 10 4 2" xfId="1302"/>
    <cellStyle name="20% - Accent1 10 4 2 2" xfId="1303"/>
    <cellStyle name="20% - Accent1 10 4 2 3" xfId="1304"/>
    <cellStyle name="20% - Accent1 10 4 3" xfId="1305"/>
    <cellStyle name="20% - Accent1 10 4 3 2" xfId="1306"/>
    <cellStyle name="20% - Accent1 10 4 3 3" xfId="1307"/>
    <cellStyle name="20% - Accent1 10 4 4" xfId="1308"/>
    <cellStyle name="20% - Accent1 10 4 5" xfId="1309"/>
    <cellStyle name="20% - Accent1 10 5" xfId="1310"/>
    <cellStyle name="20% - Accent1 10 5 2" xfId="1311"/>
    <cellStyle name="20% - Accent1 10 5 2 2" xfId="1312"/>
    <cellStyle name="20% - Accent1 10 5 2 3" xfId="1313"/>
    <cellStyle name="20% - Accent1 10 5 3" xfId="1314"/>
    <cellStyle name="20% - Accent1 10 5 3 2" xfId="1315"/>
    <cellStyle name="20% - Accent1 10 5 3 3" xfId="1316"/>
    <cellStyle name="20% - Accent1 10 5 4" xfId="1317"/>
    <cellStyle name="20% - Accent1 10 5 5" xfId="1318"/>
    <cellStyle name="20% - Accent1 10 6" xfId="1319"/>
    <cellStyle name="20% - Accent1 10 6 2" xfId="1320"/>
    <cellStyle name="20% - Accent1 10 6 2 2" xfId="1321"/>
    <cellStyle name="20% - Accent1 10 6 2 3" xfId="1322"/>
    <cellStyle name="20% - Accent1 10 6 3" xfId="1323"/>
    <cellStyle name="20% - Accent1 10 6 3 2" xfId="1324"/>
    <cellStyle name="20% - Accent1 10 6 3 3" xfId="1325"/>
    <cellStyle name="20% - Accent1 10 6 4" xfId="1326"/>
    <cellStyle name="20% - Accent1 10 6 5" xfId="1327"/>
    <cellStyle name="20% - Accent1 10 7" xfId="1328"/>
    <cellStyle name="20% - Accent1 10 7 2" xfId="1329"/>
    <cellStyle name="20% - Accent1 10 7 3" xfId="1330"/>
    <cellStyle name="20% - Accent1 10 8" xfId="1331"/>
    <cellStyle name="20% - Accent1 10 8 2" xfId="1332"/>
    <cellStyle name="20% - Accent1 10 8 3" xfId="1333"/>
    <cellStyle name="20% - Accent1 10 9" xfId="1334"/>
    <cellStyle name="20% - Accent1 10_Volatility" xfId="1335"/>
    <cellStyle name="20% - Accent1 11" xfId="1336"/>
    <cellStyle name="20% - Accent1 11 10" xfId="1337"/>
    <cellStyle name="20% - Accent1 11 2" xfId="1338"/>
    <cellStyle name="20% - Accent1 11 2 2" xfId="1339"/>
    <cellStyle name="20% - Accent1 11 2 2 2" xfId="1340"/>
    <cellStyle name="20% - Accent1 11 2 2 2 2" xfId="1341"/>
    <cellStyle name="20% - Accent1 11 2 2 2 3" xfId="1342"/>
    <cellStyle name="20% - Accent1 11 2 2 3" xfId="1343"/>
    <cellStyle name="20% - Accent1 11 2 2 3 2" xfId="1344"/>
    <cellStyle name="20% - Accent1 11 2 2 3 3" xfId="1345"/>
    <cellStyle name="20% - Accent1 11 2 2 4" xfId="1346"/>
    <cellStyle name="20% - Accent1 11 2 2 5" xfId="1347"/>
    <cellStyle name="20% - Accent1 11 2 3" xfId="1348"/>
    <cellStyle name="20% - Accent1 11 2 3 2" xfId="1349"/>
    <cellStyle name="20% - Accent1 11 2 3 2 2" xfId="1350"/>
    <cellStyle name="20% - Accent1 11 2 3 2 3" xfId="1351"/>
    <cellStyle name="20% - Accent1 11 2 3 3" xfId="1352"/>
    <cellStyle name="20% - Accent1 11 2 3 3 2" xfId="1353"/>
    <cellStyle name="20% - Accent1 11 2 3 3 3" xfId="1354"/>
    <cellStyle name="20% - Accent1 11 2 3 4" xfId="1355"/>
    <cellStyle name="20% - Accent1 11 2 3 5" xfId="1356"/>
    <cellStyle name="20% - Accent1 11 2 4" xfId="1357"/>
    <cellStyle name="20% - Accent1 11 2 4 2" xfId="1358"/>
    <cellStyle name="20% - Accent1 11 2 4 2 2" xfId="1359"/>
    <cellStyle name="20% - Accent1 11 2 4 2 3" xfId="1360"/>
    <cellStyle name="20% - Accent1 11 2 4 3" xfId="1361"/>
    <cellStyle name="20% - Accent1 11 2 4 3 2" xfId="1362"/>
    <cellStyle name="20% - Accent1 11 2 4 3 3" xfId="1363"/>
    <cellStyle name="20% - Accent1 11 2 4 4" xfId="1364"/>
    <cellStyle name="20% - Accent1 11 2 4 5" xfId="1365"/>
    <cellStyle name="20% - Accent1 11 2 5" xfId="1366"/>
    <cellStyle name="20% - Accent1 11 2 5 2" xfId="1367"/>
    <cellStyle name="20% - Accent1 11 2 5 3" xfId="1368"/>
    <cellStyle name="20% - Accent1 11 2 6" xfId="1369"/>
    <cellStyle name="20% - Accent1 11 2 6 2" xfId="1370"/>
    <cellStyle name="20% - Accent1 11 2 6 3" xfId="1371"/>
    <cellStyle name="20% - Accent1 11 2 7" xfId="1372"/>
    <cellStyle name="20% - Accent1 11 2 8" xfId="1373"/>
    <cellStyle name="20% - Accent1 11 2_Volatility" xfId="1374"/>
    <cellStyle name="20% - Accent1 11 3" xfId="1375"/>
    <cellStyle name="20% - Accent1 11 3 2" xfId="1376"/>
    <cellStyle name="20% - Accent1 11 3 2 2" xfId="1377"/>
    <cellStyle name="20% - Accent1 11 3 2 2 2" xfId="1378"/>
    <cellStyle name="20% - Accent1 11 3 2 2 3" xfId="1379"/>
    <cellStyle name="20% - Accent1 11 3 2 3" xfId="1380"/>
    <cellStyle name="20% - Accent1 11 3 2 3 2" xfId="1381"/>
    <cellStyle name="20% - Accent1 11 3 2 3 3" xfId="1382"/>
    <cellStyle name="20% - Accent1 11 3 2 4" xfId="1383"/>
    <cellStyle name="20% - Accent1 11 3 2 5" xfId="1384"/>
    <cellStyle name="20% - Accent1 11 3 3" xfId="1385"/>
    <cellStyle name="20% - Accent1 11 3 3 2" xfId="1386"/>
    <cellStyle name="20% - Accent1 11 3 3 2 2" xfId="1387"/>
    <cellStyle name="20% - Accent1 11 3 3 2 3" xfId="1388"/>
    <cellStyle name="20% - Accent1 11 3 3 3" xfId="1389"/>
    <cellStyle name="20% - Accent1 11 3 3 3 2" xfId="1390"/>
    <cellStyle name="20% - Accent1 11 3 3 3 3" xfId="1391"/>
    <cellStyle name="20% - Accent1 11 3 3 4" xfId="1392"/>
    <cellStyle name="20% - Accent1 11 3 3 5" xfId="1393"/>
    <cellStyle name="20% - Accent1 11 3 4" xfId="1394"/>
    <cellStyle name="20% - Accent1 11 3 4 2" xfId="1395"/>
    <cellStyle name="20% - Accent1 11 3 4 3" xfId="1396"/>
    <cellStyle name="20% - Accent1 11 3 5" xfId="1397"/>
    <cellStyle name="20% - Accent1 11 3 5 2" xfId="1398"/>
    <cellStyle name="20% - Accent1 11 3 5 3" xfId="1399"/>
    <cellStyle name="20% - Accent1 11 3 6" xfId="1400"/>
    <cellStyle name="20% - Accent1 11 3 7" xfId="1401"/>
    <cellStyle name="20% - Accent1 11 3_Volatility" xfId="1402"/>
    <cellStyle name="20% - Accent1 11 4" xfId="1403"/>
    <cellStyle name="20% - Accent1 11 4 2" xfId="1404"/>
    <cellStyle name="20% - Accent1 11 4 2 2" xfId="1405"/>
    <cellStyle name="20% - Accent1 11 4 2 3" xfId="1406"/>
    <cellStyle name="20% - Accent1 11 4 3" xfId="1407"/>
    <cellStyle name="20% - Accent1 11 4 3 2" xfId="1408"/>
    <cellStyle name="20% - Accent1 11 4 3 3" xfId="1409"/>
    <cellStyle name="20% - Accent1 11 4 4" xfId="1410"/>
    <cellStyle name="20% - Accent1 11 4 5" xfId="1411"/>
    <cellStyle name="20% - Accent1 11 5" xfId="1412"/>
    <cellStyle name="20% - Accent1 11 5 2" xfId="1413"/>
    <cellStyle name="20% - Accent1 11 5 2 2" xfId="1414"/>
    <cellStyle name="20% - Accent1 11 5 2 3" xfId="1415"/>
    <cellStyle name="20% - Accent1 11 5 3" xfId="1416"/>
    <cellStyle name="20% - Accent1 11 5 3 2" xfId="1417"/>
    <cellStyle name="20% - Accent1 11 5 3 3" xfId="1418"/>
    <cellStyle name="20% - Accent1 11 5 4" xfId="1419"/>
    <cellStyle name="20% - Accent1 11 5 5" xfId="1420"/>
    <cellStyle name="20% - Accent1 11 6" xfId="1421"/>
    <cellStyle name="20% - Accent1 11 6 2" xfId="1422"/>
    <cellStyle name="20% - Accent1 11 6 2 2" xfId="1423"/>
    <cellStyle name="20% - Accent1 11 6 2 3" xfId="1424"/>
    <cellStyle name="20% - Accent1 11 6 3" xfId="1425"/>
    <cellStyle name="20% - Accent1 11 6 3 2" xfId="1426"/>
    <cellStyle name="20% - Accent1 11 6 3 3" xfId="1427"/>
    <cellStyle name="20% - Accent1 11 6 4" xfId="1428"/>
    <cellStyle name="20% - Accent1 11 6 5" xfId="1429"/>
    <cellStyle name="20% - Accent1 11 7" xfId="1430"/>
    <cellStyle name="20% - Accent1 11 7 2" xfId="1431"/>
    <cellStyle name="20% - Accent1 11 7 3" xfId="1432"/>
    <cellStyle name="20% - Accent1 11 8" xfId="1433"/>
    <cellStyle name="20% - Accent1 11 8 2" xfId="1434"/>
    <cellStyle name="20% - Accent1 11 8 3" xfId="1435"/>
    <cellStyle name="20% - Accent1 11 9" xfId="1436"/>
    <cellStyle name="20% - Accent1 11_Volatility" xfId="1437"/>
    <cellStyle name="20% - Accent1 12" xfId="1438"/>
    <cellStyle name="20% - Accent1 12 10" xfId="1439"/>
    <cellStyle name="20% - Accent1 12 2" xfId="1440"/>
    <cellStyle name="20% - Accent1 12 2 2" xfId="1441"/>
    <cellStyle name="20% - Accent1 12 2 2 2" xfId="1442"/>
    <cellStyle name="20% - Accent1 12 2 2 2 2" xfId="1443"/>
    <cellStyle name="20% - Accent1 12 2 2 2 3" xfId="1444"/>
    <cellStyle name="20% - Accent1 12 2 2 3" xfId="1445"/>
    <cellStyle name="20% - Accent1 12 2 2 3 2" xfId="1446"/>
    <cellStyle name="20% - Accent1 12 2 2 3 3" xfId="1447"/>
    <cellStyle name="20% - Accent1 12 2 2 4" xfId="1448"/>
    <cellStyle name="20% - Accent1 12 2 2 5" xfId="1449"/>
    <cellStyle name="20% - Accent1 12 2 3" xfId="1450"/>
    <cellStyle name="20% - Accent1 12 2 3 2" xfId="1451"/>
    <cellStyle name="20% - Accent1 12 2 3 2 2" xfId="1452"/>
    <cellStyle name="20% - Accent1 12 2 3 2 3" xfId="1453"/>
    <cellStyle name="20% - Accent1 12 2 3 3" xfId="1454"/>
    <cellStyle name="20% - Accent1 12 2 3 3 2" xfId="1455"/>
    <cellStyle name="20% - Accent1 12 2 3 3 3" xfId="1456"/>
    <cellStyle name="20% - Accent1 12 2 3 4" xfId="1457"/>
    <cellStyle name="20% - Accent1 12 2 3 5" xfId="1458"/>
    <cellStyle name="20% - Accent1 12 2 4" xfId="1459"/>
    <cellStyle name="20% - Accent1 12 2 4 2" xfId="1460"/>
    <cellStyle name="20% - Accent1 12 2 4 2 2" xfId="1461"/>
    <cellStyle name="20% - Accent1 12 2 4 2 3" xfId="1462"/>
    <cellStyle name="20% - Accent1 12 2 4 3" xfId="1463"/>
    <cellStyle name="20% - Accent1 12 2 4 3 2" xfId="1464"/>
    <cellStyle name="20% - Accent1 12 2 4 3 3" xfId="1465"/>
    <cellStyle name="20% - Accent1 12 2 4 4" xfId="1466"/>
    <cellStyle name="20% - Accent1 12 2 4 5" xfId="1467"/>
    <cellStyle name="20% - Accent1 12 2 5" xfId="1468"/>
    <cellStyle name="20% - Accent1 12 2 5 2" xfId="1469"/>
    <cellStyle name="20% - Accent1 12 2 5 3" xfId="1470"/>
    <cellStyle name="20% - Accent1 12 2 6" xfId="1471"/>
    <cellStyle name="20% - Accent1 12 2 6 2" xfId="1472"/>
    <cellStyle name="20% - Accent1 12 2 6 3" xfId="1473"/>
    <cellStyle name="20% - Accent1 12 2 7" xfId="1474"/>
    <cellStyle name="20% - Accent1 12 2 8" xfId="1475"/>
    <cellStyle name="20% - Accent1 12 2_Volatility" xfId="1476"/>
    <cellStyle name="20% - Accent1 12 3" xfId="1477"/>
    <cellStyle name="20% - Accent1 12 3 2" xfId="1478"/>
    <cellStyle name="20% - Accent1 12 3 2 2" xfId="1479"/>
    <cellStyle name="20% - Accent1 12 3 2 2 2" xfId="1480"/>
    <cellStyle name="20% - Accent1 12 3 2 2 3" xfId="1481"/>
    <cellStyle name="20% - Accent1 12 3 2 3" xfId="1482"/>
    <cellStyle name="20% - Accent1 12 3 2 3 2" xfId="1483"/>
    <cellStyle name="20% - Accent1 12 3 2 3 3" xfId="1484"/>
    <cellStyle name="20% - Accent1 12 3 2 4" xfId="1485"/>
    <cellStyle name="20% - Accent1 12 3 2 5" xfId="1486"/>
    <cellStyle name="20% - Accent1 12 3 3" xfId="1487"/>
    <cellStyle name="20% - Accent1 12 3 3 2" xfId="1488"/>
    <cellStyle name="20% - Accent1 12 3 3 2 2" xfId="1489"/>
    <cellStyle name="20% - Accent1 12 3 3 2 3" xfId="1490"/>
    <cellStyle name="20% - Accent1 12 3 3 3" xfId="1491"/>
    <cellStyle name="20% - Accent1 12 3 3 3 2" xfId="1492"/>
    <cellStyle name="20% - Accent1 12 3 3 3 3" xfId="1493"/>
    <cellStyle name="20% - Accent1 12 3 3 4" xfId="1494"/>
    <cellStyle name="20% - Accent1 12 3 3 5" xfId="1495"/>
    <cellStyle name="20% - Accent1 12 3 4" xfId="1496"/>
    <cellStyle name="20% - Accent1 12 3 4 2" xfId="1497"/>
    <cellStyle name="20% - Accent1 12 3 4 3" xfId="1498"/>
    <cellStyle name="20% - Accent1 12 3 5" xfId="1499"/>
    <cellStyle name="20% - Accent1 12 3 5 2" xfId="1500"/>
    <cellStyle name="20% - Accent1 12 3 5 3" xfId="1501"/>
    <cellStyle name="20% - Accent1 12 3 6" xfId="1502"/>
    <cellStyle name="20% - Accent1 12 3 7" xfId="1503"/>
    <cellStyle name="20% - Accent1 12 3_Volatility" xfId="1504"/>
    <cellStyle name="20% - Accent1 12 4" xfId="1505"/>
    <cellStyle name="20% - Accent1 12 4 2" xfId="1506"/>
    <cellStyle name="20% - Accent1 12 4 2 2" xfId="1507"/>
    <cellStyle name="20% - Accent1 12 4 2 3" xfId="1508"/>
    <cellStyle name="20% - Accent1 12 4 3" xfId="1509"/>
    <cellStyle name="20% - Accent1 12 4 3 2" xfId="1510"/>
    <cellStyle name="20% - Accent1 12 4 3 3" xfId="1511"/>
    <cellStyle name="20% - Accent1 12 4 4" xfId="1512"/>
    <cellStyle name="20% - Accent1 12 4 5" xfId="1513"/>
    <cellStyle name="20% - Accent1 12 5" xfId="1514"/>
    <cellStyle name="20% - Accent1 12 5 2" xfId="1515"/>
    <cellStyle name="20% - Accent1 12 5 2 2" xfId="1516"/>
    <cellStyle name="20% - Accent1 12 5 2 3" xfId="1517"/>
    <cellStyle name="20% - Accent1 12 5 3" xfId="1518"/>
    <cellStyle name="20% - Accent1 12 5 3 2" xfId="1519"/>
    <cellStyle name="20% - Accent1 12 5 3 3" xfId="1520"/>
    <cellStyle name="20% - Accent1 12 5 4" xfId="1521"/>
    <cellStyle name="20% - Accent1 12 5 5" xfId="1522"/>
    <cellStyle name="20% - Accent1 12 6" xfId="1523"/>
    <cellStyle name="20% - Accent1 12 6 2" xfId="1524"/>
    <cellStyle name="20% - Accent1 12 6 2 2" xfId="1525"/>
    <cellStyle name="20% - Accent1 12 6 2 3" xfId="1526"/>
    <cellStyle name="20% - Accent1 12 6 3" xfId="1527"/>
    <cellStyle name="20% - Accent1 12 6 3 2" xfId="1528"/>
    <cellStyle name="20% - Accent1 12 6 3 3" xfId="1529"/>
    <cellStyle name="20% - Accent1 12 6 4" xfId="1530"/>
    <cellStyle name="20% - Accent1 12 6 5" xfId="1531"/>
    <cellStyle name="20% - Accent1 12 7" xfId="1532"/>
    <cellStyle name="20% - Accent1 12 7 2" xfId="1533"/>
    <cellStyle name="20% - Accent1 12 7 3" xfId="1534"/>
    <cellStyle name="20% - Accent1 12 8" xfId="1535"/>
    <cellStyle name="20% - Accent1 12 8 2" xfId="1536"/>
    <cellStyle name="20% - Accent1 12 8 3" xfId="1537"/>
    <cellStyle name="20% - Accent1 12 9" xfId="1538"/>
    <cellStyle name="20% - Accent1 12_Volatility" xfId="1539"/>
    <cellStyle name="20% - Accent1 13" xfId="1540"/>
    <cellStyle name="20% - Accent1 13 10" xfId="1541"/>
    <cellStyle name="20% - Accent1 13 2" xfId="1542"/>
    <cellStyle name="20% - Accent1 13 2 2" xfId="1543"/>
    <cellStyle name="20% - Accent1 13 2 2 2" xfId="1544"/>
    <cellStyle name="20% - Accent1 13 2 2 2 2" xfId="1545"/>
    <cellStyle name="20% - Accent1 13 2 2 2 3" xfId="1546"/>
    <cellStyle name="20% - Accent1 13 2 2 3" xfId="1547"/>
    <cellStyle name="20% - Accent1 13 2 2 3 2" xfId="1548"/>
    <cellStyle name="20% - Accent1 13 2 2 3 3" xfId="1549"/>
    <cellStyle name="20% - Accent1 13 2 2 4" xfId="1550"/>
    <cellStyle name="20% - Accent1 13 2 2 5" xfId="1551"/>
    <cellStyle name="20% - Accent1 13 2 3" xfId="1552"/>
    <cellStyle name="20% - Accent1 13 2 3 2" xfId="1553"/>
    <cellStyle name="20% - Accent1 13 2 3 2 2" xfId="1554"/>
    <cellStyle name="20% - Accent1 13 2 3 2 3" xfId="1555"/>
    <cellStyle name="20% - Accent1 13 2 3 3" xfId="1556"/>
    <cellStyle name="20% - Accent1 13 2 3 3 2" xfId="1557"/>
    <cellStyle name="20% - Accent1 13 2 3 3 3" xfId="1558"/>
    <cellStyle name="20% - Accent1 13 2 3 4" xfId="1559"/>
    <cellStyle name="20% - Accent1 13 2 3 5" xfId="1560"/>
    <cellStyle name="20% - Accent1 13 2 4" xfId="1561"/>
    <cellStyle name="20% - Accent1 13 2 4 2" xfId="1562"/>
    <cellStyle name="20% - Accent1 13 2 4 2 2" xfId="1563"/>
    <cellStyle name="20% - Accent1 13 2 4 2 3" xfId="1564"/>
    <cellStyle name="20% - Accent1 13 2 4 3" xfId="1565"/>
    <cellStyle name="20% - Accent1 13 2 4 3 2" xfId="1566"/>
    <cellStyle name="20% - Accent1 13 2 4 3 3" xfId="1567"/>
    <cellStyle name="20% - Accent1 13 2 4 4" xfId="1568"/>
    <cellStyle name="20% - Accent1 13 2 4 5" xfId="1569"/>
    <cellStyle name="20% - Accent1 13 2 5" xfId="1570"/>
    <cellStyle name="20% - Accent1 13 2 5 2" xfId="1571"/>
    <cellStyle name="20% - Accent1 13 2 5 3" xfId="1572"/>
    <cellStyle name="20% - Accent1 13 2 6" xfId="1573"/>
    <cellStyle name="20% - Accent1 13 2 6 2" xfId="1574"/>
    <cellStyle name="20% - Accent1 13 2 6 3" xfId="1575"/>
    <cellStyle name="20% - Accent1 13 2 7" xfId="1576"/>
    <cellStyle name="20% - Accent1 13 2 8" xfId="1577"/>
    <cellStyle name="20% - Accent1 13 2_Volatility" xfId="1578"/>
    <cellStyle name="20% - Accent1 13 3" xfId="1579"/>
    <cellStyle name="20% - Accent1 13 3 2" xfId="1580"/>
    <cellStyle name="20% - Accent1 13 3 2 2" xfId="1581"/>
    <cellStyle name="20% - Accent1 13 3 2 2 2" xfId="1582"/>
    <cellStyle name="20% - Accent1 13 3 2 2 3" xfId="1583"/>
    <cellStyle name="20% - Accent1 13 3 2 3" xfId="1584"/>
    <cellStyle name="20% - Accent1 13 3 2 3 2" xfId="1585"/>
    <cellStyle name="20% - Accent1 13 3 2 3 3" xfId="1586"/>
    <cellStyle name="20% - Accent1 13 3 2 4" xfId="1587"/>
    <cellStyle name="20% - Accent1 13 3 2 5" xfId="1588"/>
    <cellStyle name="20% - Accent1 13 3 3" xfId="1589"/>
    <cellStyle name="20% - Accent1 13 3 3 2" xfId="1590"/>
    <cellStyle name="20% - Accent1 13 3 3 2 2" xfId="1591"/>
    <cellStyle name="20% - Accent1 13 3 3 2 3" xfId="1592"/>
    <cellStyle name="20% - Accent1 13 3 3 3" xfId="1593"/>
    <cellStyle name="20% - Accent1 13 3 3 3 2" xfId="1594"/>
    <cellStyle name="20% - Accent1 13 3 3 3 3" xfId="1595"/>
    <cellStyle name="20% - Accent1 13 3 3 4" xfId="1596"/>
    <cellStyle name="20% - Accent1 13 3 3 5" xfId="1597"/>
    <cellStyle name="20% - Accent1 13 3 4" xfId="1598"/>
    <cellStyle name="20% - Accent1 13 3 4 2" xfId="1599"/>
    <cellStyle name="20% - Accent1 13 3 4 3" xfId="1600"/>
    <cellStyle name="20% - Accent1 13 3 5" xfId="1601"/>
    <cellStyle name="20% - Accent1 13 3 5 2" xfId="1602"/>
    <cellStyle name="20% - Accent1 13 3 5 3" xfId="1603"/>
    <cellStyle name="20% - Accent1 13 3 6" xfId="1604"/>
    <cellStyle name="20% - Accent1 13 3 7" xfId="1605"/>
    <cellStyle name="20% - Accent1 13 3_Volatility" xfId="1606"/>
    <cellStyle name="20% - Accent1 13 4" xfId="1607"/>
    <cellStyle name="20% - Accent1 13 4 2" xfId="1608"/>
    <cellStyle name="20% - Accent1 13 4 2 2" xfId="1609"/>
    <cellStyle name="20% - Accent1 13 4 2 3" xfId="1610"/>
    <cellStyle name="20% - Accent1 13 4 3" xfId="1611"/>
    <cellStyle name="20% - Accent1 13 4 3 2" xfId="1612"/>
    <cellStyle name="20% - Accent1 13 4 3 3" xfId="1613"/>
    <cellStyle name="20% - Accent1 13 4 4" xfId="1614"/>
    <cellStyle name="20% - Accent1 13 4 5" xfId="1615"/>
    <cellStyle name="20% - Accent1 13 5" xfId="1616"/>
    <cellStyle name="20% - Accent1 13 5 2" xfId="1617"/>
    <cellStyle name="20% - Accent1 13 5 2 2" xfId="1618"/>
    <cellStyle name="20% - Accent1 13 5 2 3" xfId="1619"/>
    <cellStyle name="20% - Accent1 13 5 3" xfId="1620"/>
    <cellStyle name="20% - Accent1 13 5 3 2" xfId="1621"/>
    <cellStyle name="20% - Accent1 13 5 3 3" xfId="1622"/>
    <cellStyle name="20% - Accent1 13 5 4" xfId="1623"/>
    <cellStyle name="20% - Accent1 13 5 5" xfId="1624"/>
    <cellStyle name="20% - Accent1 13 6" xfId="1625"/>
    <cellStyle name="20% - Accent1 13 6 2" xfId="1626"/>
    <cellStyle name="20% - Accent1 13 6 2 2" xfId="1627"/>
    <cellStyle name="20% - Accent1 13 6 2 3" xfId="1628"/>
    <cellStyle name="20% - Accent1 13 6 3" xfId="1629"/>
    <cellStyle name="20% - Accent1 13 6 3 2" xfId="1630"/>
    <cellStyle name="20% - Accent1 13 6 3 3" xfId="1631"/>
    <cellStyle name="20% - Accent1 13 6 4" xfId="1632"/>
    <cellStyle name="20% - Accent1 13 6 5" xfId="1633"/>
    <cellStyle name="20% - Accent1 13 7" xfId="1634"/>
    <cellStyle name="20% - Accent1 13 7 2" xfId="1635"/>
    <cellStyle name="20% - Accent1 13 7 3" xfId="1636"/>
    <cellStyle name="20% - Accent1 13 8" xfId="1637"/>
    <cellStyle name="20% - Accent1 13 8 2" xfId="1638"/>
    <cellStyle name="20% - Accent1 13 8 3" xfId="1639"/>
    <cellStyle name="20% - Accent1 13 9" xfId="1640"/>
    <cellStyle name="20% - Accent1 13_Volatility" xfId="1641"/>
    <cellStyle name="20% - Accent1 14" xfId="1642"/>
    <cellStyle name="20% - Accent1 14 10" xfId="1643"/>
    <cellStyle name="20% - Accent1 14 2" xfId="1644"/>
    <cellStyle name="20% - Accent1 14 2 2" xfId="1645"/>
    <cellStyle name="20% - Accent1 14 2 2 2" xfId="1646"/>
    <cellStyle name="20% - Accent1 14 2 2 2 2" xfId="1647"/>
    <cellStyle name="20% - Accent1 14 2 2 2 3" xfId="1648"/>
    <cellStyle name="20% - Accent1 14 2 2 3" xfId="1649"/>
    <cellStyle name="20% - Accent1 14 2 2 3 2" xfId="1650"/>
    <cellStyle name="20% - Accent1 14 2 2 3 3" xfId="1651"/>
    <cellStyle name="20% - Accent1 14 2 2 4" xfId="1652"/>
    <cellStyle name="20% - Accent1 14 2 2 5" xfId="1653"/>
    <cellStyle name="20% - Accent1 14 2 3" xfId="1654"/>
    <cellStyle name="20% - Accent1 14 2 3 2" xfId="1655"/>
    <cellStyle name="20% - Accent1 14 2 3 2 2" xfId="1656"/>
    <cellStyle name="20% - Accent1 14 2 3 2 3" xfId="1657"/>
    <cellStyle name="20% - Accent1 14 2 3 3" xfId="1658"/>
    <cellStyle name="20% - Accent1 14 2 3 3 2" xfId="1659"/>
    <cellStyle name="20% - Accent1 14 2 3 3 3" xfId="1660"/>
    <cellStyle name="20% - Accent1 14 2 3 4" xfId="1661"/>
    <cellStyle name="20% - Accent1 14 2 3 5" xfId="1662"/>
    <cellStyle name="20% - Accent1 14 2 4" xfId="1663"/>
    <cellStyle name="20% - Accent1 14 2 4 2" xfId="1664"/>
    <cellStyle name="20% - Accent1 14 2 4 2 2" xfId="1665"/>
    <cellStyle name="20% - Accent1 14 2 4 2 3" xfId="1666"/>
    <cellStyle name="20% - Accent1 14 2 4 3" xfId="1667"/>
    <cellStyle name="20% - Accent1 14 2 4 3 2" xfId="1668"/>
    <cellStyle name="20% - Accent1 14 2 4 3 3" xfId="1669"/>
    <cellStyle name="20% - Accent1 14 2 4 4" xfId="1670"/>
    <cellStyle name="20% - Accent1 14 2 4 5" xfId="1671"/>
    <cellStyle name="20% - Accent1 14 2 5" xfId="1672"/>
    <cellStyle name="20% - Accent1 14 2 5 2" xfId="1673"/>
    <cellStyle name="20% - Accent1 14 2 5 3" xfId="1674"/>
    <cellStyle name="20% - Accent1 14 2 6" xfId="1675"/>
    <cellStyle name="20% - Accent1 14 2 6 2" xfId="1676"/>
    <cellStyle name="20% - Accent1 14 2 6 3" xfId="1677"/>
    <cellStyle name="20% - Accent1 14 2 7" xfId="1678"/>
    <cellStyle name="20% - Accent1 14 2 8" xfId="1679"/>
    <cellStyle name="20% - Accent1 14 2_Volatility" xfId="1680"/>
    <cellStyle name="20% - Accent1 14 3" xfId="1681"/>
    <cellStyle name="20% - Accent1 14 3 2" xfId="1682"/>
    <cellStyle name="20% - Accent1 14 3 2 2" xfId="1683"/>
    <cellStyle name="20% - Accent1 14 3 2 2 2" xfId="1684"/>
    <cellStyle name="20% - Accent1 14 3 2 2 3" xfId="1685"/>
    <cellStyle name="20% - Accent1 14 3 2 3" xfId="1686"/>
    <cellStyle name="20% - Accent1 14 3 2 3 2" xfId="1687"/>
    <cellStyle name="20% - Accent1 14 3 2 3 3" xfId="1688"/>
    <cellStyle name="20% - Accent1 14 3 2 4" xfId="1689"/>
    <cellStyle name="20% - Accent1 14 3 2 5" xfId="1690"/>
    <cellStyle name="20% - Accent1 14 3 3" xfId="1691"/>
    <cellStyle name="20% - Accent1 14 3 3 2" xfId="1692"/>
    <cellStyle name="20% - Accent1 14 3 3 2 2" xfId="1693"/>
    <cellStyle name="20% - Accent1 14 3 3 2 3" xfId="1694"/>
    <cellStyle name="20% - Accent1 14 3 3 3" xfId="1695"/>
    <cellStyle name="20% - Accent1 14 3 3 3 2" xfId="1696"/>
    <cellStyle name="20% - Accent1 14 3 3 3 3" xfId="1697"/>
    <cellStyle name="20% - Accent1 14 3 3 4" xfId="1698"/>
    <cellStyle name="20% - Accent1 14 3 3 5" xfId="1699"/>
    <cellStyle name="20% - Accent1 14 3 4" xfId="1700"/>
    <cellStyle name="20% - Accent1 14 3 4 2" xfId="1701"/>
    <cellStyle name="20% - Accent1 14 3 4 3" xfId="1702"/>
    <cellStyle name="20% - Accent1 14 3 5" xfId="1703"/>
    <cellStyle name="20% - Accent1 14 3 5 2" xfId="1704"/>
    <cellStyle name="20% - Accent1 14 3 5 3" xfId="1705"/>
    <cellStyle name="20% - Accent1 14 3 6" xfId="1706"/>
    <cellStyle name="20% - Accent1 14 3 7" xfId="1707"/>
    <cellStyle name="20% - Accent1 14 3_Volatility" xfId="1708"/>
    <cellStyle name="20% - Accent1 14 4" xfId="1709"/>
    <cellStyle name="20% - Accent1 14 4 2" xfId="1710"/>
    <cellStyle name="20% - Accent1 14 4 2 2" xfId="1711"/>
    <cellStyle name="20% - Accent1 14 4 2 3" xfId="1712"/>
    <cellStyle name="20% - Accent1 14 4 3" xfId="1713"/>
    <cellStyle name="20% - Accent1 14 4 3 2" xfId="1714"/>
    <cellStyle name="20% - Accent1 14 4 3 3" xfId="1715"/>
    <cellStyle name="20% - Accent1 14 4 4" xfId="1716"/>
    <cellStyle name="20% - Accent1 14 4 5" xfId="1717"/>
    <cellStyle name="20% - Accent1 14 5" xfId="1718"/>
    <cellStyle name="20% - Accent1 14 5 2" xfId="1719"/>
    <cellStyle name="20% - Accent1 14 5 2 2" xfId="1720"/>
    <cellStyle name="20% - Accent1 14 5 2 3" xfId="1721"/>
    <cellStyle name="20% - Accent1 14 5 3" xfId="1722"/>
    <cellStyle name="20% - Accent1 14 5 3 2" xfId="1723"/>
    <cellStyle name="20% - Accent1 14 5 3 3" xfId="1724"/>
    <cellStyle name="20% - Accent1 14 5 4" xfId="1725"/>
    <cellStyle name="20% - Accent1 14 5 5" xfId="1726"/>
    <cellStyle name="20% - Accent1 14 6" xfId="1727"/>
    <cellStyle name="20% - Accent1 14 6 2" xfId="1728"/>
    <cellStyle name="20% - Accent1 14 6 2 2" xfId="1729"/>
    <cellStyle name="20% - Accent1 14 6 2 3" xfId="1730"/>
    <cellStyle name="20% - Accent1 14 6 3" xfId="1731"/>
    <cellStyle name="20% - Accent1 14 6 3 2" xfId="1732"/>
    <cellStyle name="20% - Accent1 14 6 3 3" xfId="1733"/>
    <cellStyle name="20% - Accent1 14 6 4" xfId="1734"/>
    <cellStyle name="20% - Accent1 14 6 5" xfId="1735"/>
    <cellStyle name="20% - Accent1 14 7" xfId="1736"/>
    <cellStyle name="20% - Accent1 14 7 2" xfId="1737"/>
    <cellStyle name="20% - Accent1 14 7 3" xfId="1738"/>
    <cellStyle name="20% - Accent1 14 8" xfId="1739"/>
    <cellStyle name="20% - Accent1 14 8 2" xfId="1740"/>
    <cellStyle name="20% - Accent1 14 8 3" xfId="1741"/>
    <cellStyle name="20% - Accent1 14 9" xfId="1742"/>
    <cellStyle name="20% - Accent1 14_Volatility" xfId="1743"/>
    <cellStyle name="20% - Accent1 15" xfId="1744"/>
    <cellStyle name="20% - Accent1 15 10" xfId="1745"/>
    <cellStyle name="20% - Accent1 15 2" xfId="1746"/>
    <cellStyle name="20% - Accent1 15 2 2" xfId="1747"/>
    <cellStyle name="20% - Accent1 15 2 2 2" xfId="1748"/>
    <cellStyle name="20% - Accent1 15 2 2 2 2" xfId="1749"/>
    <cellStyle name="20% - Accent1 15 2 2 2 3" xfId="1750"/>
    <cellStyle name="20% - Accent1 15 2 2 3" xfId="1751"/>
    <cellStyle name="20% - Accent1 15 2 2 3 2" xfId="1752"/>
    <cellStyle name="20% - Accent1 15 2 2 3 3" xfId="1753"/>
    <cellStyle name="20% - Accent1 15 2 2 4" xfId="1754"/>
    <cellStyle name="20% - Accent1 15 2 2 5" xfId="1755"/>
    <cellStyle name="20% - Accent1 15 2 3" xfId="1756"/>
    <cellStyle name="20% - Accent1 15 2 3 2" xfId="1757"/>
    <cellStyle name="20% - Accent1 15 2 3 2 2" xfId="1758"/>
    <cellStyle name="20% - Accent1 15 2 3 2 3" xfId="1759"/>
    <cellStyle name="20% - Accent1 15 2 3 3" xfId="1760"/>
    <cellStyle name="20% - Accent1 15 2 3 3 2" xfId="1761"/>
    <cellStyle name="20% - Accent1 15 2 3 3 3" xfId="1762"/>
    <cellStyle name="20% - Accent1 15 2 3 4" xfId="1763"/>
    <cellStyle name="20% - Accent1 15 2 3 5" xfId="1764"/>
    <cellStyle name="20% - Accent1 15 2 4" xfId="1765"/>
    <cellStyle name="20% - Accent1 15 2 4 2" xfId="1766"/>
    <cellStyle name="20% - Accent1 15 2 4 2 2" xfId="1767"/>
    <cellStyle name="20% - Accent1 15 2 4 2 3" xfId="1768"/>
    <cellStyle name="20% - Accent1 15 2 4 3" xfId="1769"/>
    <cellStyle name="20% - Accent1 15 2 4 3 2" xfId="1770"/>
    <cellStyle name="20% - Accent1 15 2 4 3 3" xfId="1771"/>
    <cellStyle name="20% - Accent1 15 2 4 4" xfId="1772"/>
    <cellStyle name="20% - Accent1 15 2 4 5" xfId="1773"/>
    <cellStyle name="20% - Accent1 15 2 5" xfId="1774"/>
    <cellStyle name="20% - Accent1 15 2 5 2" xfId="1775"/>
    <cellStyle name="20% - Accent1 15 2 5 3" xfId="1776"/>
    <cellStyle name="20% - Accent1 15 2 6" xfId="1777"/>
    <cellStyle name="20% - Accent1 15 2 6 2" xfId="1778"/>
    <cellStyle name="20% - Accent1 15 2 6 3" xfId="1779"/>
    <cellStyle name="20% - Accent1 15 2 7" xfId="1780"/>
    <cellStyle name="20% - Accent1 15 2 8" xfId="1781"/>
    <cellStyle name="20% - Accent1 15 2_Volatility" xfId="1782"/>
    <cellStyle name="20% - Accent1 15 3" xfId="1783"/>
    <cellStyle name="20% - Accent1 15 3 2" xfId="1784"/>
    <cellStyle name="20% - Accent1 15 3 2 2" xfId="1785"/>
    <cellStyle name="20% - Accent1 15 3 2 2 2" xfId="1786"/>
    <cellStyle name="20% - Accent1 15 3 2 2 3" xfId="1787"/>
    <cellStyle name="20% - Accent1 15 3 2 3" xfId="1788"/>
    <cellStyle name="20% - Accent1 15 3 2 3 2" xfId="1789"/>
    <cellStyle name="20% - Accent1 15 3 2 3 3" xfId="1790"/>
    <cellStyle name="20% - Accent1 15 3 2 4" xfId="1791"/>
    <cellStyle name="20% - Accent1 15 3 2 5" xfId="1792"/>
    <cellStyle name="20% - Accent1 15 3 3" xfId="1793"/>
    <cellStyle name="20% - Accent1 15 3 3 2" xfId="1794"/>
    <cellStyle name="20% - Accent1 15 3 3 2 2" xfId="1795"/>
    <cellStyle name="20% - Accent1 15 3 3 2 3" xfId="1796"/>
    <cellStyle name="20% - Accent1 15 3 3 3" xfId="1797"/>
    <cellStyle name="20% - Accent1 15 3 3 3 2" xfId="1798"/>
    <cellStyle name="20% - Accent1 15 3 3 3 3" xfId="1799"/>
    <cellStyle name="20% - Accent1 15 3 3 4" xfId="1800"/>
    <cellStyle name="20% - Accent1 15 3 3 5" xfId="1801"/>
    <cellStyle name="20% - Accent1 15 3 4" xfId="1802"/>
    <cellStyle name="20% - Accent1 15 3 4 2" xfId="1803"/>
    <cellStyle name="20% - Accent1 15 3 4 3" xfId="1804"/>
    <cellStyle name="20% - Accent1 15 3 5" xfId="1805"/>
    <cellStyle name="20% - Accent1 15 3 5 2" xfId="1806"/>
    <cellStyle name="20% - Accent1 15 3 5 3" xfId="1807"/>
    <cellStyle name="20% - Accent1 15 3 6" xfId="1808"/>
    <cellStyle name="20% - Accent1 15 3 7" xfId="1809"/>
    <cellStyle name="20% - Accent1 15 3_Volatility" xfId="1810"/>
    <cellStyle name="20% - Accent1 15 4" xfId="1811"/>
    <cellStyle name="20% - Accent1 15 4 2" xfId="1812"/>
    <cellStyle name="20% - Accent1 15 4 2 2" xfId="1813"/>
    <cellStyle name="20% - Accent1 15 4 2 3" xfId="1814"/>
    <cellStyle name="20% - Accent1 15 4 3" xfId="1815"/>
    <cellStyle name="20% - Accent1 15 4 3 2" xfId="1816"/>
    <cellStyle name="20% - Accent1 15 4 3 3" xfId="1817"/>
    <cellStyle name="20% - Accent1 15 4 4" xfId="1818"/>
    <cellStyle name="20% - Accent1 15 4 5" xfId="1819"/>
    <cellStyle name="20% - Accent1 15 5" xfId="1820"/>
    <cellStyle name="20% - Accent1 15 5 2" xfId="1821"/>
    <cellStyle name="20% - Accent1 15 5 2 2" xfId="1822"/>
    <cellStyle name="20% - Accent1 15 5 2 3" xfId="1823"/>
    <cellStyle name="20% - Accent1 15 5 3" xfId="1824"/>
    <cellStyle name="20% - Accent1 15 5 3 2" xfId="1825"/>
    <cellStyle name="20% - Accent1 15 5 3 3" xfId="1826"/>
    <cellStyle name="20% - Accent1 15 5 4" xfId="1827"/>
    <cellStyle name="20% - Accent1 15 5 5" xfId="1828"/>
    <cellStyle name="20% - Accent1 15 6" xfId="1829"/>
    <cellStyle name="20% - Accent1 15 6 2" xfId="1830"/>
    <cellStyle name="20% - Accent1 15 6 2 2" xfId="1831"/>
    <cellStyle name="20% - Accent1 15 6 2 3" xfId="1832"/>
    <cellStyle name="20% - Accent1 15 6 3" xfId="1833"/>
    <cellStyle name="20% - Accent1 15 6 3 2" xfId="1834"/>
    <cellStyle name="20% - Accent1 15 6 3 3" xfId="1835"/>
    <cellStyle name="20% - Accent1 15 6 4" xfId="1836"/>
    <cellStyle name="20% - Accent1 15 6 5" xfId="1837"/>
    <cellStyle name="20% - Accent1 15 7" xfId="1838"/>
    <cellStyle name="20% - Accent1 15 7 2" xfId="1839"/>
    <cellStyle name="20% - Accent1 15 7 3" xfId="1840"/>
    <cellStyle name="20% - Accent1 15 8" xfId="1841"/>
    <cellStyle name="20% - Accent1 15 8 2" xfId="1842"/>
    <cellStyle name="20% - Accent1 15 8 3" xfId="1843"/>
    <cellStyle name="20% - Accent1 15 9" xfId="1844"/>
    <cellStyle name="20% - Accent1 15_Volatility" xfId="1845"/>
    <cellStyle name="20% - Accent1 16" xfId="1846"/>
    <cellStyle name="20% - Accent1 16 2" xfId="1847"/>
    <cellStyle name="20% - Accent1 16 3" xfId="1848"/>
    <cellStyle name="20% - Accent1 17" xfId="1849"/>
    <cellStyle name="20% - Accent1 17 2" xfId="1850"/>
    <cellStyle name="20% - Accent1 17 3" xfId="1851"/>
    <cellStyle name="20% - Accent1 18" xfId="1852"/>
    <cellStyle name="20% - Accent1 18 2" xfId="1853"/>
    <cellStyle name="20% - Accent1 18 3" xfId="1854"/>
    <cellStyle name="20% - Accent1 19" xfId="1855"/>
    <cellStyle name="20% - Accent1 19 2" xfId="1856"/>
    <cellStyle name="20% - Accent1 19 3" xfId="1857"/>
    <cellStyle name="20% - Accent1 2" xfId="1858"/>
    <cellStyle name="20% - Accent1 2 10" xfId="1859"/>
    <cellStyle name="20% - Accent1 2 2" xfId="1860"/>
    <cellStyle name="20% - Accent1 2 2 2" xfId="1861"/>
    <cellStyle name="20% - Accent1 2 2 2 2" xfId="1862"/>
    <cellStyle name="20% - Accent1 2 2 2 2 2" xfId="1863"/>
    <cellStyle name="20% - Accent1 2 2 2 2 3" xfId="1864"/>
    <cellStyle name="20% - Accent1 2 2 2 3" xfId="1865"/>
    <cellStyle name="20% - Accent1 2 2 2 3 2" xfId="1866"/>
    <cellStyle name="20% - Accent1 2 2 2 3 3" xfId="1867"/>
    <cellStyle name="20% - Accent1 2 2 2 4" xfId="1868"/>
    <cellStyle name="20% - Accent1 2 2 2 5" xfId="1869"/>
    <cellStyle name="20% - Accent1 2 2 3" xfId="1870"/>
    <cellStyle name="20% - Accent1 2 2 3 2" xfId="1871"/>
    <cellStyle name="20% - Accent1 2 2 3 2 2" xfId="1872"/>
    <cellStyle name="20% - Accent1 2 2 3 2 3" xfId="1873"/>
    <cellStyle name="20% - Accent1 2 2 3 3" xfId="1874"/>
    <cellStyle name="20% - Accent1 2 2 3 3 2" xfId="1875"/>
    <cellStyle name="20% - Accent1 2 2 3 3 3" xfId="1876"/>
    <cellStyle name="20% - Accent1 2 2 3 4" xfId="1877"/>
    <cellStyle name="20% - Accent1 2 2 3 5" xfId="1878"/>
    <cellStyle name="20% - Accent1 2 2 4" xfId="1879"/>
    <cellStyle name="20% - Accent1 2 2 4 2" xfId="1880"/>
    <cellStyle name="20% - Accent1 2 2 4 2 2" xfId="1881"/>
    <cellStyle name="20% - Accent1 2 2 4 2 3" xfId="1882"/>
    <cellStyle name="20% - Accent1 2 2 4 3" xfId="1883"/>
    <cellStyle name="20% - Accent1 2 2 4 3 2" xfId="1884"/>
    <cellStyle name="20% - Accent1 2 2 4 3 3" xfId="1885"/>
    <cellStyle name="20% - Accent1 2 2 4 4" xfId="1886"/>
    <cellStyle name="20% - Accent1 2 2 4 5" xfId="1887"/>
    <cellStyle name="20% - Accent1 2 2 5" xfId="1888"/>
    <cellStyle name="20% - Accent1 2 2 5 2" xfId="1889"/>
    <cellStyle name="20% - Accent1 2 2 5 3" xfId="1890"/>
    <cellStyle name="20% - Accent1 2 2 6" xfId="1891"/>
    <cellStyle name="20% - Accent1 2 2 6 2" xfId="1892"/>
    <cellStyle name="20% - Accent1 2 2 6 3" xfId="1893"/>
    <cellStyle name="20% - Accent1 2 2 7" xfId="1894"/>
    <cellStyle name="20% - Accent1 2 2 8" xfId="1895"/>
    <cellStyle name="20% - Accent1 2 2_Volatility" xfId="1896"/>
    <cellStyle name="20% - Accent1 2 3" xfId="1897"/>
    <cellStyle name="20% - Accent1 2 3 2" xfId="1898"/>
    <cellStyle name="20% - Accent1 2 3 2 2" xfId="1899"/>
    <cellStyle name="20% - Accent1 2 3 2 2 2" xfId="1900"/>
    <cellStyle name="20% - Accent1 2 3 2 2 3" xfId="1901"/>
    <cellStyle name="20% - Accent1 2 3 2 3" xfId="1902"/>
    <cellStyle name="20% - Accent1 2 3 2 3 2" xfId="1903"/>
    <cellStyle name="20% - Accent1 2 3 2 3 3" xfId="1904"/>
    <cellStyle name="20% - Accent1 2 3 2 4" xfId="1905"/>
    <cellStyle name="20% - Accent1 2 3 2 5" xfId="1906"/>
    <cellStyle name="20% - Accent1 2 3 3" xfId="1907"/>
    <cellStyle name="20% - Accent1 2 3 3 2" xfId="1908"/>
    <cellStyle name="20% - Accent1 2 3 3 2 2" xfId="1909"/>
    <cellStyle name="20% - Accent1 2 3 3 2 3" xfId="1910"/>
    <cellStyle name="20% - Accent1 2 3 3 3" xfId="1911"/>
    <cellStyle name="20% - Accent1 2 3 3 3 2" xfId="1912"/>
    <cellStyle name="20% - Accent1 2 3 3 3 3" xfId="1913"/>
    <cellStyle name="20% - Accent1 2 3 3 4" xfId="1914"/>
    <cellStyle name="20% - Accent1 2 3 3 5" xfId="1915"/>
    <cellStyle name="20% - Accent1 2 3 4" xfId="1916"/>
    <cellStyle name="20% - Accent1 2 3 4 2" xfId="1917"/>
    <cellStyle name="20% - Accent1 2 3 4 3" xfId="1918"/>
    <cellStyle name="20% - Accent1 2 3 5" xfId="1919"/>
    <cellStyle name="20% - Accent1 2 3 5 2" xfId="1920"/>
    <cellStyle name="20% - Accent1 2 3 5 3" xfId="1921"/>
    <cellStyle name="20% - Accent1 2 3 6" xfId="1922"/>
    <cellStyle name="20% - Accent1 2 3 7" xfId="1923"/>
    <cellStyle name="20% - Accent1 2 3_Volatility" xfId="1924"/>
    <cellStyle name="20% - Accent1 2 4" xfId="1925"/>
    <cellStyle name="20% - Accent1 2 4 2" xfId="1926"/>
    <cellStyle name="20% - Accent1 2 4 2 2" xfId="1927"/>
    <cellStyle name="20% - Accent1 2 4 2 3" xfId="1928"/>
    <cellStyle name="20% - Accent1 2 4 3" xfId="1929"/>
    <cellStyle name="20% - Accent1 2 4 3 2" xfId="1930"/>
    <cellStyle name="20% - Accent1 2 4 3 3" xfId="1931"/>
    <cellStyle name="20% - Accent1 2 4 4" xfId="1932"/>
    <cellStyle name="20% - Accent1 2 4 5" xfId="1933"/>
    <cellStyle name="20% - Accent1 2 5" xfId="1934"/>
    <cellStyle name="20% - Accent1 2 5 2" xfId="1935"/>
    <cellStyle name="20% - Accent1 2 5 2 2" xfId="1936"/>
    <cellStyle name="20% - Accent1 2 5 2 3" xfId="1937"/>
    <cellStyle name="20% - Accent1 2 5 3" xfId="1938"/>
    <cellStyle name="20% - Accent1 2 5 3 2" xfId="1939"/>
    <cellStyle name="20% - Accent1 2 5 3 3" xfId="1940"/>
    <cellStyle name="20% - Accent1 2 5 4" xfId="1941"/>
    <cellStyle name="20% - Accent1 2 5 5" xfId="1942"/>
    <cellStyle name="20% - Accent1 2 6" xfId="1943"/>
    <cellStyle name="20% - Accent1 2 6 2" xfId="1944"/>
    <cellStyle name="20% - Accent1 2 6 2 2" xfId="1945"/>
    <cellStyle name="20% - Accent1 2 6 2 3" xfId="1946"/>
    <cellStyle name="20% - Accent1 2 6 3" xfId="1947"/>
    <cellStyle name="20% - Accent1 2 6 3 2" xfId="1948"/>
    <cellStyle name="20% - Accent1 2 6 3 3" xfId="1949"/>
    <cellStyle name="20% - Accent1 2 6 4" xfId="1950"/>
    <cellStyle name="20% - Accent1 2 6 5" xfId="1951"/>
    <cellStyle name="20% - Accent1 2 7" xfId="1952"/>
    <cellStyle name="20% - Accent1 2 7 2" xfId="1953"/>
    <cellStyle name="20% - Accent1 2 7 3" xfId="1954"/>
    <cellStyle name="20% - Accent1 2 8" xfId="1955"/>
    <cellStyle name="20% - Accent1 2 8 2" xfId="1956"/>
    <cellStyle name="20% - Accent1 2 8 3" xfId="1957"/>
    <cellStyle name="20% - Accent1 2 9" xfId="1958"/>
    <cellStyle name="20% - Accent1 2_Volatility" xfId="1959"/>
    <cellStyle name="20% - Accent1 3" xfId="1960"/>
    <cellStyle name="20% - Accent1 3 10" xfId="1961"/>
    <cellStyle name="20% - Accent1 3 2" xfId="1962"/>
    <cellStyle name="20% - Accent1 3 2 2" xfId="1963"/>
    <cellStyle name="20% - Accent1 3 2 2 2" xfId="1964"/>
    <cellStyle name="20% - Accent1 3 2 2 2 2" xfId="1965"/>
    <cellStyle name="20% - Accent1 3 2 2 2 3" xfId="1966"/>
    <cellStyle name="20% - Accent1 3 2 2 3" xfId="1967"/>
    <cellStyle name="20% - Accent1 3 2 2 3 2" xfId="1968"/>
    <cellStyle name="20% - Accent1 3 2 2 3 3" xfId="1969"/>
    <cellStyle name="20% - Accent1 3 2 2 4" xfId="1970"/>
    <cellStyle name="20% - Accent1 3 2 2 5" xfId="1971"/>
    <cellStyle name="20% - Accent1 3 2 3" xfId="1972"/>
    <cellStyle name="20% - Accent1 3 2 3 2" xfId="1973"/>
    <cellStyle name="20% - Accent1 3 2 3 2 2" xfId="1974"/>
    <cellStyle name="20% - Accent1 3 2 3 2 3" xfId="1975"/>
    <cellStyle name="20% - Accent1 3 2 3 3" xfId="1976"/>
    <cellStyle name="20% - Accent1 3 2 3 3 2" xfId="1977"/>
    <cellStyle name="20% - Accent1 3 2 3 3 3" xfId="1978"/>
    <cellStyle name="20% - Accent1 3 2 3 4" xfId="1979"/>
    <cellStyle name="20% - Accent1 3 2 3 5" xfId="1980"/>
    <cellStyle name="20% - Accent1 3 2 4" xfId="1981"/>
    <cellStyle name="20% - Accent1 3 2 4 2" xfId="1982"/>
    <cellStyle name="20% - Accent1 3 2 4 2 2" xfId="1983"/>
    <cellStyle name="20% - Accent1 3 2 4 2 3" xfId="1984"/>
    <cellStyle name="20% - Accent1 3 2 4 3" xfId="1985"/>
    <cellStyle name="20% - Accent1 3 2 4 3 2" xfId="1986"/>
    <cellStyle name="20% - Accent1 3 2 4 3 3" xfId="1987"/>
    <cellStyle name="20% - Accent1 3 2 4 4" xfId="1988"/>
    <cellStyle name="20% - Accent1 3 2 4 5" xfId="1989"/>
    <cellStyle name="20% - Accent1 3 2 5" xfId="1990"/>
    <cellStyle name="20% - Accent1 3 2 5 2" xfId="1991"/>
    <cellStyle name="20% - Accent1 3 2 5 3" xfId="1992"/>
    <cellStyle name="20% - Accent1 3 2 6" xfId="1993"/>
    <cellStyle name="20% - Accent1 3 2 6 2" xfId="1994"/>
    <cellStyle name="20% - Accent1 3 2 6 3" xfId="1995"/>
    <cellStyle name="20% - Accent1 3 2 7" xfId="1996"/>
    <cellStyle name="20% - Accent1 3 2 8" xfId="1997"/>
    <cellStyle name="20% - Accent1 3 2_Volatility" xfId="1998"/>
    <cellStyle name="20% - Accent1 3 3" xfId="1999"/>
    <cellStyle name="20% - Accent1 3 3 2" xfId="2000"/>
    <cellStyle name="20% - Accent1 3 3 2 2" xfId="2001"/>
    <cellStyle name="20% - Accent1 3 3 2 2 2" xfId="2002"/>
    <cellStyle name="20% - Accent1 3 3 2 2 3" xfId="2003"/>
    <cellStyle name="20% - Accent1 3 3 2 3" xfId="2004"/>
    <cellStyle name="20% - Accent1 3 3 2 3 2" xfId="2005"/>
    <cellStyle name="20% - Accent1 3 3 2 3 3" xfId="2006"/>
    <cellStyle name="20% - Accent1 3 3 2 4" xfId="2007"/>
    <cellStyle name="20% - Accent1 3 3 2 5" xfId="2008"/>
    <cellStyle name="20% - Accent1 3 3 3" xfId="2009"/>
    <cellStyle name="20% - Accent1 3 3 3 2" xfId="2010"/>
    <cellStyle name="20% - Accent1 3 3 3 2 2" xfId="2011"/>
    <cellStyle name="20% - Accent1 3 3 3 2 3" xfId="2012"/>
    <cellStyle name="20% - Accent1 3 3 3 3" xfId="2013"/>
    <cellStyle name="20% - Accent1 3 3 3 3 2" xfId="2014"/>
    <cellStyle name="20% - Accent1 3 3 3 3 3" xfId="2015"/>
    <cellStyle name="20% - Accent1 3 3 3 4" xfId="2016"/>
    <cellStyle name="20% - Accent1 3 3 3 5" xfId="2017"/>
    <cellStyle name="20% - Accent1 3 3 4" xfId="2018"/>
    <cellStyle name="20% - Accent1 3 3 4 2" xfId="2019"/>
    <cellStyle name="20% - Accent1 3 3 4 3" xfId="2020"/>
    <cellStyle name="20% - Accent1 3 3 5" xfId="2021"/>
    <cellStyle name="20% - Accent1 3 3 5 2" xfId="2022"/>
    <cellStyle name="20% - Accent1 3 3 5 3" xfId="2023"/>
    <cellStyle name="20% - Accent1 3 3 6" xfId="2024"/>
    <cellStyle name="20% - Accent1 3 3 7" xfId="2025"/>
    <cellStyle name="20% - Accent1 3 3_Volatility" xfId="2026"/>
    <cellStyle name="20% - Accent1 3 4" xfId="2027"/>
    <cellStyle name="20% - Accent1 3 4 2" xfId="2028"/>
    <cellStyle name="20% - Accent1 3 4 2 2" xfId="2029"/>
    <cellStyle name="20% - Accent1 3 4 2 3" xfId="2030"/>
    <cellStyle name="20% - Accent1 3 4 3" xfId="2031"/>
    <cellStyle name="20% - Accent1 3 4 3 2" xfId="2032"/>
    <cellStyle name="20% - Accent1 3 4 3 3" xfId="2033"/>
    <cellStyle name="20% - Accent1 3 4 4" xfId="2034"/>
    <cellStyle name="20% - Accent1 3 4 5" xfId="2035"/>
    <cellStyle name="20% - Accent1 3 5" xfId="2036"/>
    <cellStyle name="20% - Accent1 3 5 2" xfId="2037"/>
    <cellStyle name="20% - Accent1 3 5 2 2" xfId="2038"/>
    <cellStyle name="20% - Accent1 3 5 2 3" xfId="2039"/>
    <cellStyle name="20% - Accent1 3 5 3" xfId="2040"/>
    <cellStyle name="20% - Accent1 3 5 3 2" xfId="2041"/>
    <cellStyle name="20% - Accent1 3 5 3 3" xfId="2042"/>
    <cellStyle name="20% - Accent1 3 5 4" xfId="2043"/>
    <cellStyle name="20% - Accent1 3 5 5" xfId="2044"/>
    <cellStyle name="20% - Accent1 3 6" xfId="2045"/>
    <cellStyle name="20% - Accent1 3 6 2" xfId="2046"/>
    <cellStyle name="20% - Accent1 3 6 2 2" xfId="2047"/>
    <cellStyle name="20% - Accent1 3 6 2 3" xfId="2048"/>
    <cellStyle name="20% - Accent1 3 6 3" xfId="2049"/>
    <cellStyle name="20% - Accent1 3 6 3 2" xfId="2050"/>
    <cellStyle name="20% - Accent1 3 6 3 3" xfId="2051"/>
    <cellStyle name="20% - Accent1 3 6 4" xfId="2052"/>
    <cellStyle name="20% - Accent1 3 6 5" xfId="2053"/>
    <cellStyle name="20% - Accent1 3 7" xfId="2054"/>
    <cellStyle name="20% - Accent1 3 7 2" xfId="2055"/>
    <cellStyle name="20% - Accent1 3 7 3" xfId="2056"/>
    <cellStyle name="20% - Accent1 3 8" xfId="2057"/>
    <cellStyle name="20% - Accent1 3 8 2" xfId="2058"/>
    <cellStyle name="20% - Accent1 3 8 3" xfId="2059"/>
    <cellStyle name="20% - Accent1 3 9" xfId="2060"/>
    <cellStyle name="20% - Accent1 3_Volatility" xfId="2061"/>
    <cellStyle name="20% - Accent1 4" xfId="2062"/>
    <cellStyle name="20% - Accent1 4 10" xfId="2063"/>
    <cellStyle name="20% - Accent1 4 2" xfId="2064"/>
    <cellStyle name="20% - Accent1 4 2 2" xfId="2065"/>
    <cellStyle name="20% - Accent1 4 2 2 2" xfId="2066"/>
    <cellStyle name="20% - Accent1 4 2 2 2 2" xfId="2067"/>
    <cellStyle name="20% - Accent1 4 2 2 2 3" xfId="2068"/>
    <cellStyle name="20% - Accent1 4 2 2 3" xfId="2069"/>
    <cellStyle name="20% - Accent1 4 2 2 3 2" xfId="2070"/>
    <cellStyle name="20% - Accent1 4 2 2 3 3" xfId="2071"/>
    <cellStyle name="20% - Accent1 4 2 2 4" xfId="2072"/>
    <cellStyle name="20% - Accent1 4 2 2 5" xfId="2073"/>
    <cellStyle name="20% - Accent1 4 2 3" xfId="2074"/>
    <cellStyle name="20% - Accent1 4 2 3 2" xfId="2075"/>
    <cellStyle name="20% - Accent1 4 2 3 2 2" xfId="2076"/>
    <cellStyle name="20% - Accent1 4 2 3 2 3" xfId="2077"/>
    <cellStyle name="20% - Accent1 4 2 3 3" xfId="2078"/>
    <cellStyle name="20% - Accent1 4 2 3 3 2" xfId="2079"/>
    <cellStyle name="20% - Accent1 4 2 3 3 3" xfId="2080"/>
    <cellStyle name="20% - Accent1 4 2 3 4" xfId="2081"/>
    <cellStyle name="20% - Accent1 4 2 3 5" xfId="2082"/>
    <cellStyle name="20% - Accent1 4 2 4" xfId="2083"/>
    <cellStyle name="20% - Accent1 4 2 4 2" xfId="2084"/>
    <cellStyle name="20% - Accent1 4 2 4 2 2" xfId="2085"/>
    <cellStyle name="20% - Accent1 4 2 4 2 3" xfId="2086"/>
    <cellStyle name="20% - Accent1 4 2 4 3" xfId="2087"/>
    <cellStyle name="20% - Accent1 4 2 4 3 2" xfId="2088"/>
    <cellStyle name="20% - Accent1 4 2 4 3 3" xfId="2089"/>
    <cellStyle name="20% - Accent1 4 2 4 4" xfId="2090"/>
    <cellStyle name="20% - Accent1 4 2 4 5" xfId="2091"/>
    <cellStyle name="20% - Accent1 4 2 5" xfId="2092"/>
    <cellStyle name="20% - Accent1 4 2 5 2" xfId="2093"/>
    <cellStyle name="20% - Accent1 4 2 5 3" xfId="2094"/>
    <cellStyle name="20% - Accent1 4 2 6" xfId="2095"/>
    <cellStyle name="20% - Accent1 4 2 6 2" xfId="2096"/>
    <cellStyle name="20% - Accent1 4 2 6 3" xfId="2097"/>
    <cellStyle name="20% - Accent1 4 2 7" xfId="2098"/>
    <cellStyle name="20% - Accent1 4 2 8" xfId="2099"/>
    <cellStyle name="20% - Accent1 4 2_Volatility" xfId="2100"/>
    <cellStyle name="20% - Accent1 4 3" xfId="2101"/>
    <cellStyle name="20% - Accent1 4 3 2" xfId="2102"/>
    <cellStyle name="20% - Accent1 4 3 2 2" xfId="2103"/>
    <cellStyle name="20% - Accent1 4 3 2 2 2" xfId="2104"/>
    <cellStyle name="20% - Accent1 4 3 2 2 3" xfId="2105"/>
    <cellStyle name="20% - Accent1 4 3 2 3" xfId="2106"/>
    <cellStyle name="20% - Accent1 4 3 2 3 2" xfId="2107"/>
    <cellStyle name="20% - Accent1 4 3 2 3 3" xfId="2108"/>
    <cellStyle name="20% - Accent1 4 3 2 4" xfId="2109"/>
    <cellStyle name="20% - Accent1 4 3 2 5" xfId="2110"/>
    <cellStyle name="20% - Accent1 4 3 3" xfId="2111"/>
    <cellStyle name="20% - Accent1 4 3 3 2" xfId="2112"/>
    <cellStyle name="20% - Accent1 4 3 3 2 2" xfId="2113"/>
    <cellStyle name="20% - Accent1 4 3 3 2 3" xfId="2114"/>
    <cellStyle name="20% - Accent1 4 3 3 3" xfId="2115"/>
    <cellStyle name="20% - Accent1 4 3 3 3 2" xfId="2116"/>
    <cellStyle name="20% - Accent1 4 3 3 3 3" xfId="2117"/>
    <cellStyle name="20% - Accent1 4 3 3 4" xfId="2118"/>
    <cellStyle name="20% - Accent1 4 3 3 5" xfId="2119"/>
    <cellStyle name="20% - Accent1 4 3 4" xfId="2120"/>
    <cellStyle name="20% - Accent1 4 3 4 2" xfId="2121"/>
    <cellStyle name="20% - Accent1 4 3 4 3" xfId="2122"/>
    <cellStyle name="20% - Accent1 4 3 5" xfId="2123"/>
    <cellStyle name="20% - Accent1 4 3 5 2" xfId="2124"/>
    <cellStyle name="20% - Accent1 4 3 5 3" xfId="2125"/>
    <cellStyle name="20% - Accent1 4 3 6" xfId="2126"/>
    <cellStyle name="20% - Accent1 4 3 7" xfId="2127"/>
    <cellStyle name="20% - Accent1 4 3_Volatility" xfId="2128"/>
    <cellStyle name="20% - Accent1 4 4" xfId="2129"/>
    <cellStyle name="20% - Accent1 4 4 2" xfId="2130"/>
    <cellStyle name="20% - Accent1 4 4 2 2" xfId="2131"/>
    <cellStyle name="20% - Accent1 4 4 2 3" xfId="2132"/>
    <cellStyle name="20% - Accent1 4 4 3" xfId="2133"/>
    <cellStyle name="20% - Accent1 4 4 3 2" xfId="2134"/>
    <cellStyle name="20% - Accent1 4 4 3 3" xfId="2135"/>
    <cellStyle name="20% - Accent1 4 4 4" xfId="2136"/>
    <cellStyle name="20% - Accent1 4 4 5" xfId="2137"/>
    <cellStyle name="20% - Accent1 4 5" xfId="2138"/>
    <cellStyle name="20% - Accent1 4 5 2" xfId="2139"/>
    <cellStyle name="20% - Accent1 4 5 2 2" xfId="2140"/>
    <cellStyle name="20% - Accent1 4 5 2 3" xfId="2141"/>
    <cellStyle name="20% - Accent1 4 5 3" xfId="2142"/>
    <cellStyle name="20% - Accent1 4 5 3 2" xfId="2143"/>
    <cellStyle name="20% - Accent1 4 5 3 3" xfId="2144"/>
    <cellStyle name="20% - Accent1 4 5 4" xfId="2145"/>
    <cellStyle name="20% - Accent1 4 5 5" xfId="2146"/>
    <cellStyle name="20% - Accent1 4 6" xfId="2147"/>
    <cellStyle name="20% - Accent1 4 6 2" xfId="2148"/>
    <cellStyle name="20% - Accent1 4 6 2 2" xfId="2149"/>
    <cellStyle name="20% - Accent1 4 6 2 3" xfId="2150"/>
    <cellStyle name="20% - Accent1 4 6 3" xfId="2151"/>
    <cellStyle name="20% - Accent1 4 6 3 2" xfId="2152"/>
    <cellStyle name="20% - Accent1 4 6 3 3" xfId="2153"/>
    <cellStyle name="20% - Accent1 4 6 4" xfId="2154"/>
    <cellStyle name="20% - Accent1 4 6 5" xfId="2155"/>
    <cellStyle name="20% - Accent1 4 7" xfId="2156"/>
    <cellStyle name="20% - Accent1 4 7 2" xfId="2157"/>
    <cellStyle name="20% - Accent1 4 7 3" xfId="2158"/>
    <cellStyle name="20% - Accent1 4 8" xfId="2159"/>
    <cellStyle name="20% - Accent1 4 8 2" xfId="2160"/>
    <cellStyle name="20% - Accent1 4 8 3" xfId="2161"/>
    <cellStyle name="20% - Accent1 4 9" xfId="2162"/>
    <cellStyle name="20% - Accent1 4_Volatility" xfId="2163"/>
    <cellStyle name="20% - Accent1 5" xfId="2164"/>
    <cellStyle name="20% - Accent1 5 10" xfId="2165"/>
    <cellStyle name="20% - Accent1 5 2" xfId="2166"/>
    <cellStyle name="20% - Accent1 5 2 2" xfId="2167"/>
    <cellStyle name="20% - Accent1 5 2 2 2" xfId="2168"/>
    <cellStyle name="20% - Accent1 5 2 2 2 2" xfId="2169"/>
    <cellStyle name="20% - Accent1 5 2 2 2 3" xfId="2170"/>
    <cellStyle name="20% - Accent1 5 2 2 3" xfId="2171"/>
    <cellStyle name="20% - Accent1 5 2 2 3 2" xfId="2172"/>
    <cellStyle name="20% - Accent1 5 2 2 3 3" xfId="2173"/>
    <cellStyle name="20% - Accent1 5 2 2 4" xfId="2174"/>
    <cellStyle name="20% - Accent1 5 2 2 5" xfId="2175"/>
    <cellStyle name="20% - Accent1 5 2 3" xfId="2176"/>
    <cellStyle name="20% - Accent1 5 2 3 2" xfId="2177"/>
    <cellStyle name="20% - Accent1 5 2 3 2 2" xfId="2178"/>
    <cellStyle name="20% - Accent1 5 2 3 2 3" xfId="2179"/>
    <cellStyle name="20% - Accent1 5 2 3 3" xfId="2180"/>
    <cellStyle name="20% - Accent1 5 2 3 3 2" xfId="2181"/>
    <cellStyle name="20% - Accent1 5 2 3 3 3" xfId="2182"/>
    <cellStyle name="20% - Accent1 5 2 3 4" xfId="2183"/>
    <cellStyle name="20% - Accent1 5 2 3 5" xfId="2184"/>
    <cellStyle name="20% - Accent1 5 2 4" xfId="2185"/>
    <cellStyle name="20% - Accent1 5 2 4 2" xfId="2186"/>
    <cellStyle name="20% - Accent1 5 2 4 2 2" xfId="2187"/>
    <cellStyle name="20% - Accent1 5 2 4 2 3" xfId="2188"/>
    <cellStyle name="20% - Accent1 5 2 4 3" xfId="2189"/>
    <cellStyle name="20% - Accent1 5 2 4 3 2" xfId="2190"/>
    <cellStyle name="20% - Accent1 5 2 4 3 3" xfId="2191"/>
    <cellStyle name="20% - Accent1 5 2 4 4" xfId="2192"/>
    <cellStyle name="20% - Accent1 5 2 4 5" xfId="2193"/>
    <cellStyle name="20% - Accent1 5 2 5" xfId="2194"/>
    <cellStyle name="20% - Accent1 5 2 5 2" xfId="2195"/>
    <cellStyle name="20% - Accent1 5 2 5 3" xfId="2196"/>
    <cellStyle name="20% - Accent1 5 2 6" xfId="2197"/>
    <cellStyle name="20% - Accent1 5 2 6 2" xfId="2198"/>
    <cellStyle name="20% - Accent1 5 2 6 3" xfId="2199"/>
    <cellStyle name="20% - Accent1 5 2 7" xfId="2200"/>
    <cellStyle name="20% - Accent1 5 2 8" xfId="2201"/>
    <cellStyle name="20% - Accent1 5 2_Volatility" xfId="2202"/>
    <cellStyle name="20% - Accent1 5 3" xfId="2203"/>
    <cellStyle name="20% - Accent1 5 3 2" xfId="2204"/>
    <cellStyle name="20% - Accent1 5 3 2 2" xfId="2205"/>
    <cellStyle name="20% - Accent1 5 3 2 2 2" xfId="2206"/>
    <cellStyle name="20% - Accent1 5 3 2 2 3" xfId="2207"/>
    <cellStyle name="20% - Accent1 5 3 2 3" xfId="2208"/>
    <cellStyle name="20% - Accent1 5 3 2 3 2" xfId="2209"/>
    <cellStyle name="20% - Accent1 5 3 2 3 3" xfId="2210"/>
    <cellStyle name="20% - Accent1 5 3 2 4" xfId="2211"/>
    <cellStyle name="20% - Accent1 5 3 2 5" xfId="2212"/>
    <cellStyle name="20% - Accent1 5 3 3" xfId="2213"/>
    <cellStyle name="20% - Accent1 5 3 3 2" xfId="2214"/>
    <cellStyle name="20% - Accent1 5 3 3 2 2" xfId="2215"/>
    <cellStyle name="20% - Accent1 5 3 3 2 3" xfId="2216"/>
    <cellStyle name="20% - Accent1 5 3 3 3" xfId="2217"/>
    <cellStyle name="20% - Accent1 5 3 3 3 2" xfId="2218"/>
    <cellStyle name="20% - Accent1 5 3 3 3 3" xfId="2219"/>
    <cellStyle name="20% - Accent1 5 3 3 4" xfId="2220"/>
    <cellStyle name="20% - Accent1 5 3 3 5" xfId="2221"/>
    <cellStyle name="20% - Accent1 5 3 4" xfId="2222"/>
    <cellStyle name="20% - Accent1 5 3 4 2" xfId="2223"/>
    <cellStyle name="20% - Accent1 5 3 4 3" xfId="2224"/>
    <cellStyle name="20% - Accent1 5 3 5" xfId="2225"/>
    <cellStyle name="20% - Accent1 5 3 5 2" xfId="2226"/>
    <cellStyle name="20% - Accent1 5 3 5 3" xfId="2227"/>
    <cellStyle name="20% - Accent1 5 3 6" xfId="2228"/>
    <cellStyle name="20% - Accent1 5 3 7" xfId="2229"/>
    <cellStyle name="20% - Accent1 5 3_Volatility" xfId="2230"/>
    <cellStyle name="20% - Accent1 5 4" xfId="2231"/>
    <cellStyle name="20% - Accent1 5 4 2" xfId="2232"/>
    <cellStyle name="20% - Accent1 5 4 2 2" xfId="2233"/>
    <cellStyle name="20% - Accent1 5 4 2 3" xfId="2234"/>
    <cellStyle name="20% - Accent1 5 4 3" xfId="2235"/>
    <cellStyle name="20% - Accent1 5 4 3 2" xfId="2236"/>
    <cellStyle name="20% - Accent1 5 4 3 3" xfId="2237"/>
    <cellStyle name="20% - Accent1 5 4 4" xfId="2238"/>
    <cellStyle name="20% - Accent1 5 4 5" xfId="2239"/>
    <cellStyle name="20% - Accent1 5 5" xfId="2240"/>
    <cellStyle name="20% - Accent1 5 5 2" xfId="2241"/>
    <cellStyle name="20% - Accent1 5 5 2 2" xfId="2242"/>
    <cellStyle name="20% - Accent1 5 5 2 3" xfId="2243"/>
    <cellStyle name="20% - Accent1 5 5 3" xfId="2244"/>
    <cellStyle name="20% - Accent1 5 5 3 2" xfId="2245"/>
    <cellStyle name="20% - Accent1 5 5 3 3" xfId="2246"/>
    <cellStyle name="20% - Accent1 5 5 4" xfId="2247"/>
    <cellStyle name="20% - Accent1 5 5 5" xfId="2248"/>
    <cellStyle name="20% - Accent1 5 6" xfId="2249"/>
    <cellStyle name="20% - Accent1 5 6 2" xfId="2250"/>
    <cellStyle name="20% - Accent1 5 6 2 2" xfId="2251"/>
    <cellStyle name="20% - Accent1 5 6 2 3" xfId="2252"/>
    <cellStyle name="20% - Accent1 5 6 3" xfId="2253"/>
    <cellStyle name="20% - Accent1 5 6 3 2" xfId="2254"/>
    <cellStyle name="20% - Accent1 5 6 3 3" xfId="2255"/>
    <cellStyle name="20% - Accent1 5 6 4" xfId="2256"/>
    <cellStyle name="20% - Accent1 5 6 5" xfId="2257"/>
    <cellStyle name="20% - Accent1 5 7" xfId="2258"/>
    <cellStyle name="20% - Accent1 5 7 2" xfId="2259"/>
    <cellStyle name="20% - Accent1 5 7 3" xfId="2260"/>
    <cellStyle name="20% - Accent1 5 8" xfId="2261"/>
    <cellStyle name="20% - Accent1 5 8 2" xfId="2262"/>
    <cellStyle name="20% - Accent1 5 8 3" xfId="2263"/>
    <cellStyle name="20% - Accent1 5 9" xfId="2264"/>
    <cellStyle name="20% - Accent1 5_Volatility" xfId="2265"/>
    <cellStyle name="20% - Accent1 6" xfId="2266"/>
    <cellStyle name="20% - Accent1 6 10" xfId="2267"/>
    <cellStyle name="20% - Accent1 6 2" xfId="2268"/>
    <cellStyle name="20% - Accent1 6 2 2" xfId="2269"/>
    <cellStyle name="20% - Accent1 6 2 2 2" xfId="2270"/>
    <cellStyle name="20% - Accent1 6 2 2 2 2" xfId="2271"/>
    <cellStyle name="20% - Accent1 6 2 2 2 3" xfId="2272"/>
    <cellStyle name="20% - Accent1 6 2 2 3" xfId="2273"/>
    <cellStyle name="20% - Accent1 6 2 2 3 2" xfId="2274"/>
    <cellStyle name="20% - Accent1 6 2 2 3 3" xfId="2275"/>
    <cellStyle name="20% - Accent1 6 2 2 4" xfId="2276"/>
    <cellStyle name="20% - Accent1 6 2 2 5" xfId="2277"/>
    <cellStyle name="20% - Accent1 6 2 3" xfId="2278"/>
    <cellStyle name="20% - Accent1 6 2 3 2" xfId="2279"/>
    <cellStyle name="20% - Accent1 6 2 3 2 2" xfId="2280"/>
    <cellStyle name="20% - Accent1 6 2 3 2 3" xfId="2281"/>
    <cellStyle name="20% - Accent1 6 2 3 3" xfId="2282"/>
    <cellStyle name="20% - Accent1 6 2 3 3 2" xfId="2283"/>
    <cellStyle name="20% - Accent1 6 2 3 3 3" xfId="2284"/>
    <cellStyle name="20% - Accent1 6 2 3 4" xfId="2285"/>
    <cellStyle name="20% - Accent1 6 2 3 5" xfId="2286"/>
    <cellStyle name="20% - Accent1 6 2 4" xfId="2287"/>
    <cellStyle name="20% - Accent1 6 2 4 2" xfId="2288"/>
    <cellStyle name="20% - Accent1 6 2 4 2 2" xfId="2289"/>
    <cellStyle name="20% - Accent1 6 2 4 2 3" xfId="2290"/>
    <cellStyle name="20% - Accent1 6 2 4 3" xfId="2291"/>
    <cellStyle name="20% - Accent1 6 2 4 3 2" xfId="2292"/>
    <cellStyle name="20% - Accent1 6 2 4 3 3" xfId="2293"/>
    <cellStyle name="20% - Accent1 6 2 4 4" xfId="2294"/>
    <cellStyle name="20% - Accent1 6 2 4 5" xfId="2295"/>
    <cellStyle name="20% - Accent1 6 2 5" xfId="2296"/>
    <cellStyle name="20% - Accent1 6 2 5 2" xfId="2297"/>
    <cellStyle name="20% - Accent1 6 2 5 3" xfId="2298"/>
    <cellStyle name="20% - Accent1 6 2 6" xfId="2299"/>
    <cellStyle name="20% - Accent1 6 2 6 2" xfId="2300"/>
    <cellStyle name="20% - Accent1 6 2 6 3" xfId="2301"/>
    <cellStyle name="20% - Accent1 6 2 7" xfId="2302"/>
    <cellStyle name="20% - Accent1 6 2 8" xfId="2303"/>
    <cellStyle name="20% - Accent1 6 2_Volatility" xfId="2304"/>
    <cellStyle name="20% - Accent1 6 3" xfId="2305"/>
    <cellStyle name="20% - Accent1 6 3 2" xfId="2306"/>
    <cellStyle name="20% - Accent1 6 3 2 2" xfId="2307"/>
    <cellStyle name="20% - Accent1 6 3 2 2 2" xfId="2308"/>
    <cellStyle name="20% - Accent1 6 3 2 2 3" xfId="2309"/>
    <cellStyle name="20% - Accent1 6 3 2 3" xfId="2310"/>
    <cellStyle name="20% - Accent1 6 3 2 3 2" xfId="2311"/>
    <cellStyle name="20% - Accent1 6 3 2 3 3" xfId="2312"/>
    <cellStyle name="20% - Accent1 6 3 2 4" xfId="2313"/>
    <cellStyle name="20% - Accent1 6 3 2 5" xfId="2314"/>
    <cellStyle name="20% - Accent1 6 3 3" xfId="2315"/>
    <cellStyle name="20% - Accent1 6 3 3 2" xfId="2316"/>
    <cellStyle name="20% - Accent1 6 3 3 2 2" xfId="2317"/>
    <cellStyle name="20% - Accent1 6 3 3 2 3" xfId="2318"/>
    <cellStyle name="20% - Accent1 6 3 3 3" xfId="2319"/>
    <cellStyle name="20% - Accent1 6 3 3 3 2" xfId="2320"/>
    <cellStyle name="20% - Accent1 6 3 3 3 3" xfId="2321"/>
    <cellStyle name="20% - Accent1 6 3 3 4" xfId="2322"/>
    <cellStyle name="20% - Accent1 6 3 3 5" xfId="2323"/>
    <cellStyle name="20% - Accent1 6 3 4" xfId="2324"/>
    <cellStyle name="20% - Accent1 6 3 4 2" xfId="2325"/>
    <cellStyle name="20% - Accent1 6 3 4 3" xfId="2326"/>
    <cellStyle name="20% - Accent1 6 3 5" xfId="2327"/>
    <cellStyle name="20% - Accent1 6 3 5 2" xfId="2328"/>
    <cellStyle name="20% - Accent1 6 3 5 3" xfId="2329"/>
    <cellStyle name="20% - Accent1 6 3 6" xfId="2330"/>
    <cellStyle name="20% - Accent1 6 3 7" xfId="2331"/>
    <cellStyle name="20% - Accent1 6 3_Volatility" xfId="2332"/>
    <cellStyle name="20% - Accent1 6 4" xfId="2333"/>
    <cellStyle name="20% - Accent1 6 4 2" xfId="2334"/>
    <cellStyle name="20% - Accent1 6 4 2 2" xfId="2335"/>
    <cellStyle name="20% - Accent1 6 4 2 3" xfId="2336"/>
    <cellStyle name="20% - Accent1 6 4 3" xfId="2337"/>
    <cellStyle name="20% - Accent1 6 4 3 2" xfId="2338"/>
    <cellStyle name="20% - Accent1 6 4 3 3" xfId="2339"/>
    <cellStyle name="20% - Accent1 6 4 4" xfId="2340"/>
    <cellStyle name="20% - Accent1 6 4 5" xfId="2341"/>
    <cellStyle name="20% - Accent1 6 5" xfId="2342"/>
    <cellStyle name="20% - Accent1 6 5 2" xfId="2343"/>
    <cellStyle name="20% - Accent1 6 5 2 2" xfId="2344"/>
    <cellStyle name="20% - Accent1 6 5 2 3" xfId="2345"/>
    <cellStyle name="20% - Accent1 6 5 3" xfId="2346"/>
    <cellStyle name="20% - Accent1 6 5 3 2" xfId="2347"/>
    <cellStyle name="20% - Accent1 6 5 3 3" xfId="2348"/>
    <cellStyle name="20% - Accent1 6 5 4" xfId="2349"/>
    <cellStyle name="20% - Accent1 6 5 5" xfId="2350"/>
    <cellStyle name="20% - Accent1 6 6" xfId="2351"/>
    <cellStyle name="20% - Accent1 6 6 2" xfId="2352"/>
    <cellStyle name="20% - Accent1 6 6 2 2" xfId="2353"/>
    <cellStyle name="20% - Accent1 6 6 2 3" xfId="2354"/>
    <cellStyle name="20% - Accent1 6 6 3" xfId="2355"/>
    <cellStyle name="20% - Accent1 6 6 3 2" xfId="2356"/>
    <cellStyle name="20% - Accent1 6 6 3 3" xfId="2357"/>
    <cellStyle name="20% - Accent1 6 6 4" xfId="2358"/>
    <cellStyle name="20% - Accent1 6 6 5" xfId="2359"/>
    <cellStyle name="20% - Accent1 6 7" xfId="2360"/>
    <cellStyle name="20% - Accent1 6 7 2" xfId="2361"/>
    <cellStyle name="20% - Accent1 6 7 3" xfId="2362"/>
    <cellStyle name="20% - Accent1 6 8" xfId="2363"/>
    <cellStyle name="20% - Accent1 6 8 2" xfId="2364"/>
    <cellStyle name="20% - Accent1 6 8 3" xfId="2365"/>
    <cellStyle name="20% - Accent1 6 9" xfId="2366"/>
    <cellStyle name="20% - Accent1 6_Volatility" xfId="2367"/>
    <cellStyle name="20% - Accent1 7" xfId="2368"/>
    <cellStyle name="20% - Accent1 7 10" xfId="2369"/>
    <cellStyle name="20% - Accent1 7 2" xfId="2370"/>
    <cellStyle name="20% - Accent1 7 2 2" xfId="2371"/>
    <cellStyle name="20% - Accent1 7 2 2 2" xfId="2372"/>
    <cellStyle name="20% - Accent1 7 2 2 2 2" xfId="2373"/>
    <cellStyle name="20% - Accent1 7 2 2 2 3" xfId="2374"/>
    <cellStyle name="20% - Accent1 7 2 2 3" xfId="2375"/>
    <cellStyle name="20% - Accent1 7 2 2 3 2" xfId="2376"/>
    <cellStyle name="20% - Accent1 7 2 2 3 3" xfId="2377"/>
    <cellStyle name="20% - Accent1 7 2 2 4" xfId="2378"/>
    <cellStyle name="20% - Accent1 7 2 2 5" xfId="2379"/>
    <cellStyle name="20% - Accent1 7 2 3" xfId="2380"/>
    <cellStyle name="20% - Accent1 7 2 3 2" xfId="2381"/>
    <cellStyle name="20% - Accent1 7 2 3 2 2" xfId="2382"/>
    <cellStyle name="20% - Accent1 7 2 3 2 3" xfId="2383"/>
    <cellStyle name="20% - Accent1 7 2 3 3" xfId="2384"/>
    <cellStyle name="20% - Accent1 7 2 3 3 2" xfId="2385"/>
    <cellStyle name="20% - Accent1 7 2 3 3 3" xfId="2386"/>
    <cellStyle name="20% - Accent1 7 2 3 4" xfId="2387"/>
    <cellStyle name="20% - Accent1 7 2 3 5" xfId="2388"/>
    <cellStyle name="20% - Accent1 7 2 4" xfId="2389"/>
    <cellStyle name="20% - Accent1 7 2 4 2" xfId="2390"/>
    <cellStyle name="20% - Accent1 7 2 4 2 2" xfId="2391"/>
    <cellStyle name="20% - Accent1 7 2 4 2 3" xfId="2392"/>
    <cellStyle name="20% - Accent1 7 2 4 3" xfId="2393"/>
    <cellStyle name="20% - Accent1 7 2 4 3 2" xfId="2394"/>
    <cellStyle name="20% - Accent1 7 2 4 3 3" xfId="2395"/>
    <cellStyle name="20% - Accent1 7 2 4 4" xfId="2396"/>
    <cellStyle name="20% - Accent1 7 2 4 5" xfId="2397"/>
    <cellStyle name="20% - Accent1 7 2 5" xfId="2398"/>
    <cellStyle name="20% - Accent1 7 2 5 2" xfId="2399"/>
    <cellStyle name="20% - Accent1 7 2 5 3" xfId="2400"/>
    <cellStyle name="20% - Accent1 7 2 6" xfId="2401"/>
    <cellStyle name="20% - Accent1 7 2 6 2" xfId="2402"/>
    <cellStyle name="20% - Accent1 7 2 6 3" xfId="2403"/>
    <cellStyle name="20% - Accent1 7 2 7" xfId="2404"/>
    <cellStyle name="20% - Accent1 7 2 8" xfId="2405"/>
    <cellStyle name="20% - Accent1 7 2_Volatility" xfId="2406"/>
    <cellStyle name="20% - Accent1 7 3" xfId="2407"/>
    <cellStyle name="20% - Accent1 7 3 2" xfId="2408"/>
    <cellStyle name="20% - Accent1 7 3 2 2" xfId="2409"/>
    <cellStyle name="20% - Accent1 7 3 2 2 2" xfId="2410"/>
    <cellStyle name="20% - Accent1 7 3 2 2 3" xfId="2411"/>
    <cellStyle name="20% - Accent1 7 3 2 3" xfId="2412"/>
    <cellStyle name="20% - Accent1 7 3 2 3 2" xfId="2413"/>
    <cellStyle name="20% - Accent1 7 3 2 3 3" xfId="2414"/>
    <cellStyle name="20% - Accent1 7 3 2 4" xfId="2415"/>
    <cellStyle name="20% - Accent1 7 3 2 5" xfId="2416"/>
    <cellStyle name="20% - Accent1 7 3 3" xfId="2417"/>
    <cellStyle name="20% - Accent1 7 3 3 2" xfId="2418"/>
    <cellStyle name="20% - Accent1 7 3 3 2 2" xfId="2419"/>
    <cellStyle name="20% - Accent1 7 3 3 2 3" xfId="2420"/>
    <cellStyle name="20% - Accent1 7 3 3 3" xfId="2421"/>
    <cellStyle name="20% - Accent1 7 3 3 3 2" xfId="2422"/>
    <cellStyle name="20% - Accent1 7 3 3 3 3" xfId="2423"/>
    <cellStyle name="20% - Accent1 7 3 3 4" xfId="2424"/>
    <cellStyle name="20% - Accent1 7 3 3 5" xfId="2425"/>
    <cellStyle name="20% - Accent1 7 3 4" xfId="2426"/>
    <cellStyle name="20% - Accent1 7 3 4 2" xfId="2427"/>
    <cellStyle name="20% - Accent1 7 3 4 3" xfId="2428"/>
    <cellStyle name="20% - Accent1 7 3 5" xfId="2429"/>
    <cellStyle name="20% - Accent1 7 3 5 2" xfId="2430"/>
    <cellStyle name="20% - Accent1 7 3 5 3" xfId="2431"/>
    <cellStyle name="20% - Accent1 7 3 6" xfId="2432"/>
    <cellStyle name="20% - Accent1 7 3 7" xfId="2433"/>
    <cellStyle name="20% - Accent1 7 3_Volatility" xfId="2434"/>
    <cellStyle name="20% - Accent1 7 4" xfId="2435"/>
    <cellStyle name="20% - Accent1 7 4 2" xfId="2436"/>
    <cellStyle name="20% - Accent1 7 4 2 2" xfId="2437"/>
    <cellStyle name="20% - Accent1 7 4 2 3" xfId="2438"/>
    <cellStyle name="20% - Accent1 7 4 3" xfId="2439"/>
    <cellStyle name="20% - Accent1 7 4 3 2" xfId="2440"/>
    <cellStyle name="20% - Accent1 7 4 3 3" xfId="2441"/>
    <cellStyle name="20% - Accent1 7 4 4" xfId="2442"/>
    <cellStyle name="20% - Accent1 7 4 5" xfId="2443"/>
    <cellStyle name="20% - Accent1 7 5" xfId="2444"/>
    <cellStyle name="20% - Accent1 7 5 2" xfId="2445"/>
    <cellStyle name="20% - Accent1 7 5 2 2" xfId="2446"/>
    <cellStyle name="20% - Accent1 7 5 2 3" xfId="2447"/>
    <cellStyle name="20% - Accent1 7 5 3" xfId="2448"/>
    <cellStyle name="20% - Accent1 7 5 3 2" xfId="2449"/>
    <cellStyle name="20% - Accent1 7 5 3 3" xfId="2450"/>
    <cellStyle name="20% - Accent1 7 5 4" xfId="2451"/>
    <cellStyle name="20% - Accent1 7 5 5" xfId="2452"/>
    <cellStyle name="20% - Accent1 7 6" xfId="2453"/>
    <cellStyle name="20% - Accent1 7 6 2" xfId="2454"/>
    <cellStyle name="20% - Accent1 7 6 2 2" xfId="2455"/>
    <cellStyle name="20% - Accent1 7 6 2 3" xfId="2456"/>
    <cellStyle name="20% - Accent1 7 6 3" xfId="2457"/>
    <cellStyle name="20% - Accent1 7 6 3 2" xfId="2458"/>
    <cellStyle name="20% - Accent1 7 6 3 3" xfId="2459"/>
    <cellStyle name="20% - Accent1 7 6 4" xfId="2460"/>
    <cellStyle name="20% - Accent1 7 6 5" xfId="2461"/>
    <cellStyle name="20% - Accent1 7 7" xfId="2462"/>
    <cellStyle name="20% - Accent1 7 7 2" xfId="2463"/>
    <cellStyle name="20% - Accent1 7 7 3" xfId="2464"/>
    <cellStyle name="20% - Accent1 7 8" xfId="2465"/>
    <cellStyle name="20% - Accent1 7 8 2" xfId="2466"/>
    <cellStyle name="20% - Accent1 7 8 3" xfId="2467"/>
    <cellStyle name="20% - Accent1 7 9" xfId="2468"/>
    <cellStyle name="20% - Accent1 7_Volatility" xfId="2469"/>
    <cellStyle name="20% - Accent1 8" xfId="2470"/>
    <cellStyle name="20% - Accent1 8 10" xfId="2471"/>
    <cellStyle name="20% - Accent1 8 2" xfId="2472"/>
    <cellStyle name="20% - Accent1 8 2 2" xfId="2473"/>
    <cellStyle name="20% - Accent1 8 2 2 2" xfId="2474"/>
    <cellStyle name="20% - Accent1 8 2 2 2 2" xfId="2475"/>
    <cellStyle name="20% - Accent1 8 2 2 2 3" xfId="2476"/>
    <cellStyle name="20% - Accent1 8 2 2 3" xfId="2477"/>
    <cellStyle name="20% - Accent1 8 2 2 3 2" xfId="2478"/>
    <cellStyle name="20% - Accent1 8 2 2 3 3" xfId="2479"/>
    <cellStyle name="20% - Accent1 8 2 2 4" xfId="2480"/>
    <cellStyle name="20% - Accent1 8 2 2 5" xfId="2481"/>
    <cellStyle name="20% - Accent1 8 2 3" xfId="2482"/>
    <cellStyle name="20% - Accent1 8 2 3 2" xfId="2483"/>
    <cellStyle name="20% - Accent1 8 2 3 2 2" xfId="2484"/>
    <cellStyle name="20% - Accent1 8 2 3 2 3" xfId="2485"/>
    <cellStyle name="20% - Accent1 8 2 3 3" xfId="2486"/>
    <cellStyle name="20% - Accent1 8 2 3 3 2" xfId="2487"/>
    <cellStyle name="20% - Accent1 8 2 3 3 3" xfId="2488"/>
    <cellStyle name="20% - Accent1 8 2 3 4" xfId="2489"/>
    <cellStyle name="20% - Accent1 8 2 3 5" xfId="2490"/>
    <cellStyle name="20% - Accent1 8 2 4" xfId="2491"/>
    <cellStyle name="20% - Accent1 8 2 4 2" xfId="2492"/>
    <cellStyle name="20% - Accent1 8 2 4 2 2" xfId="2493"/>
    <cellStyle name="20% - Accent1 8 2 4 2 3" xfId="2494"/>
    <cellStyle name="20% - Accent1 8 2 4 3" xfId="2495"/>
    <cellStyle name="20% - Accent1 8 2 4 3 2" xfId="2496"/>
    <cellStyle name="20% - Accent1 8 2 4 3 3" xfId="2497"/>
    <cellStyle name="20% - Accent1 8 2 4 4" xfId="2498"/>
    <cellStyle name="20% - Accent1 8 2 4 5" xfId="2499"/>
    <cellStyle name="20% - Accent1 8 2 5" xfId="2500"/>
    <cellStyle name="20% - Accent1 8 2 5 2" xfId="2501"/>
    <cellStyle name="20% - Accent1 8 2 5 3" xfId="2502"/>
    <cellStyle name="20% - Accent1 8 2 6" xfId="2503"/>
    <cellStyle name="20% - Accent1 8 2 6 2" xfId="2504"/>
    <cellStyle name="20% - Accent1 8 2 6 3" xfId="2505"/>
    <cellStyle name="20% - Accent1 8 2 7" xfId="2506"/>
    <cellStyle name="20% - Accent1 8 2 8" xfId="2507"/>
    <cellStyle name="20% - Accent1 8 2_Volatility" xfId="2508"/>
    <cellStyle name="20% - Accent1 8 3" xfId="2509"/>
    <cellStyle name="20% - Accent1 8 3 2" xfId="2510"/>
    <cellStyle name="20% - Accent1 8 3 2 2" xfId="2511"/>
    <cellStyle name="20% - Accent1 8 3 2 2 2" xfId="2512"/>
    <cellStyle name="20% - Accent1 8 3 2 2 3" xfId="2513"/>
    <cellStyle name="20% - Accent1 8 3 2 3" xfId="2514"/>
    <cellStyle name="20% - Accent1 8 3 2 3 2" xfId="2515"/>
    <cellStyle name="20% - Accent1 8 3 2 3 3" xfId="2516"/>
    <cellStyle name="20% - Accent1 8 3 2 4" xfId="2517"/>
    <cellStyle name="20% - Accent1 8 3 2 5" xfId="2518"/>
    <cellStyle name="20% - Accent1 8 3 3" xfId="2519"/>
    <cellStyle name="20% - Accent1 8 3 3 2" xfId="2520"/>
    <cellStyle name="20% - Accent1 8 3 3 2 2" xfId="2521"/>
    <cellStyle name="20% - Accent1 8 3 3 2 3" xfId="2522"/>
    <cellStyle name="20% - Accent1 8 3 3 3" xfId="2523"/>
    <cellStyle name="20% - Accent1 8 3 3 3 2" xfId="2524"/>
    <cellStyle name="20% - Accent1 8 3 3 3 3" xfId="2525"/>
    <cellStyle name="20% - Accent1 8 3 3 4" xfId="2526"/>
    <cellStyle name="20% - Accent1 8 3 3 5" xfId="2527"/>
    <cellStyle name="20% - Accent1 8 3 4" xfId="2528"/>
    <cellStyle name="20% - Accent1 8 3 4 2" xfId="2529"/>
    <cellStyle name="20% - Accent1 8 3 4 3" xfId="2530"/>
    <cellStyle name="20% - Accent1 8 3 5" xfId="2531"/>
    <cellStyle name="20% - Accent1 8 3 5 2" xfId="2532"/>
    <cellStyle name="20% - Accent1 8 3 5 3" xfId="2533"/>
    <cellStyle name="20% - Accent1 8 3 6" xfId="2534"/>
    <cellStyle name="20% - Accent1 8 3 7" xfId="2535"/>
    <cellStyle name="20% - Accent1 8 3_Volatility" xfId="2536"/>
    <cellStyle name="20% - Accent1 8 4" xfId="2537"/>
    <cellStyle name="20% - Accent1 8 4 2" xfId="2538"/>
    <cellStyle name="20% - Accent1 8 4 2 2" xfId="2539"/>
    <cellStyle name="20% - Accent1 8 4 2 3" xfId="2540"/>
    <cellStyle name="20% - Accent1 8 4 3" xfId="2541"/>
    <cellStyle name="20% - Accent1 8 4 3 2" xfId="2542"/>
    <cellStyle name="20% - Accent1 8 4 3 3" xfId="2543"/>
    <cellStyle name="20% - Accent1 8 4 4" xfId="2544"/>
    <cellStyle name="20% - Accent1 8 4 5" xfId="2545"/>
    <cellStyle name="20% - Accent1 8 5" xfId="2546"/>
    <cellStyle name="20% - Accent1 8 5 2" xfId="2547"/>
    <cellStyle name="20% - Accent1 8 5 2 2" xfId="2548"/>
    <cellStyle name="20% - Accent1 8 5 2 3" xfId="2549"/>
    <cellStyle name="20% - Accent1 8 5 3" xfId="2550"/>
    <cellStyle name="20% - Accent1 8 5 3 2" xfId="2551"/>
    <cellStyle name="20% - Accent1 8 5 3 3" xfId="2552"/>
    <cellStyle name="20% - Accent1 8 5 4" xfId="2553"/>
    <cellStyle name="20% - Accent1 8 5 5" xfId="2554"/>
    <cellStyle name="20% - Accent1 8 6" xfId="2555"/>
    <cellStyle name="20% - Accent1 8 6 2" xfId="2556"/>
    <cellStyle name="20% - Accent1 8 6 2 2" xfId="2557"/>
    <cellStyle name="20% - Accent1 8 6 2 3" xfId="2558"/>
    <cellStyle name="20% - Accent1 8 6 3" xfId="2559"/>
    <cellStyle name="20% - Accent1 8 6 3 2" xfId="2560"/>
    <cellStyle name="20% - Accent1 8 6 3 3" xfId="2561"/>
    <cellStyle name="20% - Accent1 8 6 4" xfId="2562"/>
    <cellStyle name="20% - Accent1 8 6 5" xfId="2563"/>
    <cellStyle name="20% - Accent1 8 7" xfId="2564"/>
    <cellStyle name="20% - Accent1 8 7 2" xfId="2565"/>
    <cellStyle name="20% - Accent1 8 7 3" xfId="2566"/>
    <cellStyle name="20% - Accent1 8 8" xfId="2567"/>
    <cellStyle name="20% - Accent1 8 8 2" xfId="2568"/>
    <cellStyle name="20% - Accent1 8 8 3" xfId="2569"/>
    <cellStyle name="20% - Accent1 8 9" xfId="2570"/>
    <cellStyle name="20% - Accent1 8_Volatility" xfId="2571"/>
    <cellStyle name="20% - Accent1 9" xfId="2572"/>
    <cellStyle name="20% - Accent1 9 10" xfId="2573"/>
    <cellStyle name="20% - Accent1 9 2" xfId="2574"/>
    <cellStyle name="20% - Accent1 9 2 2" xfId="2575"/>
    <cellStyle name="20% - Accent1 9 2 2 2" xfId="2576"/>
    <cellStyle name="20% - Accent1 9 2 2 2 2" xfId="2577"/>
    <cellStyle name="20% - Accent1 9 2 2 2 3" xfId="2578"/>
    <cellStyle name="20% - Accent1 9 2 2 3" xfId="2579"/>
    <cellStyle name="20% - Accent1 9 2 2 3 2" xfId="2580"/>
    <cellStyle name="20% - Accent1 9 2 2 3 3" xfId="2581"/>
    <cellStyle name="20% - Accent1 9 2 2 4" xfId="2582"/>
    <cellStyle name="20% - Accent1 9 2 2 5" xfId="2583"/>
    <cellStyle name="20% - Accent1 9 2 3" xfId="2584"/>
    <cellStyle name="20% - Accent1 9 2 3 2" xfId="2585"/>
    <cellStyle name="20% - Accent1 9 2 3 2 2" xfId="2586"/>
    <cellStyle name="20% - Accent1 9 2 3 2 3" xfId="2587"/>
    <cellStyle name="20% - Accent1 9 2 3 3" xfId="2588"/>
    <cellStyle name="20% - Accent1 9 2 3 3 2" xfId="2589"/>
    <cellStyle name="20% - Accent1 9 2 3 3 3" xfId="2590"/>
    <cellStyle name="20% - Accent1 9 2 3 4" xfId="2591"/>
    <cellStyle name="20% - Accent1 9 2 3 5" xfId="2592"/>
    <cellStyle name="20% - Accent1 9 2 4" xfId="2593"/>
    <cellStyle name="20% - Accent1 9 2 4 2" xfId="2594"/>
    <cellStyle name="20% - Accent1 9 2 4 2 2" xfId="2595"/>
    <cellStyle name="20% - Accent1 9 2 4 2 3" xfId="2596"/>
    <cellStyle name="20% - Accent1 9 2 4 3" xfId="2597"/>
    <cellStyle name="20% - Accent1 9 2 4 3 2" xfId="2598"/>
    <cellStyle name="20% - Accent1 9 2 4 3 3" xfId="2599"/>
    <cellStyle name="20% - Accent1 9 2 4 4" xfId="2600"/>
    <cellStyle name="20% - Accent1 9 2 4 5" xfId="2601"/>
    <cellStyle name="20% - Accent1 9 2 5" xfId="2602"/>
    <cellStyle name="20% - Accent1 9 2 5 2" xfId="2603"/>
    <cellStyle name="20% - Accent1 9 2 5 3" xfId="2604"/>
    <cellStyle name="20% - Accent1 9 2 6" xfId="2605"/>
    <cellStyle name="20% - Accent1 9 2 6 2" xfId="2606"/>
    <cellStyle name="20% - Accent1 9 2 6 3" xfId="2607"/>
    <cellStyle name="20% - Accent1 9 2 7" xfId="2608"/>
    <cellStyle name="20% - Accent1 9 2 8" xfId="2609"/>
    <cellStyle name="20% - Accent1 9 2_Volatility" xfId="2610"/>
    <cellStyle name="20% - Accent1 9 3" xfId="2611"/>
    <cellStyle name="20% - Accent1 9 3 2" xfId="2612"/>
    <cellStyle name="20% - Accent1 9 3 2 2" xfId="2613"/>
    <cellStyle name="20% - Accent1 9 3 2 2 2" xfId="2614"/>
    <cellStyle name="20% - Accent1 9 3 2 2 3" xfId="2615"/>
    <cellStyle name="20% - Accent1 9 3 2 3" xfId="2616"/>
    <cellStyle name="20% - Accent1 9 3 2 3 2" xfId="2617"/>
    <cellStyle name="20% - Accent1 9 3 2 3 3" xfId="2618"/>
    <cellStyle name="20% - Accent1 9 3 2 4" xfId="2619"/>
    <cellStyle name="20% - Accent1 9 3 2 5" xfId="2620"/>
    <cellStyle name="20% - Accent1 9 3 3" xfId="2621"/>
    <cellStyle name="20% - Accent1 9 3 3 2" xfId="2622"/>
    <cellStyle name="20% - Accent1 9 3 3 2 2" xfId="2623"/>
    <cellStyle name="20% - Accent1 9 3 3 2 3" xfId="2624"/>
    <cellStyle name="20% - Accent1 9 3 3 3" xfId="2625"/>
    <cellStyle name="20% - Accent1 9 3 3 3 2" xfId="2626"/>
    <cellStyle name="20% - Accent1 9 3 3 3 3" xfId="2627"/>
    <cellStyle name="20% - Accent1 9 3 3 4" xfId="2628"/>
    <cellStyle name="20% - Accent1 9 3 3 5" xfId="2629"/>
    <cellStyle name="20% - Accent1 9 3 4" xfId="2630"/>
    <cellStyle name="20% - Accent1 9 3 4 2" xfId="2631"/>
    <cellStyle name="20% - Accent1 9 3 4 3" xfId="2632"/>
    <cellStyle name="20% - Accent1 9 3 5" xfId="2633"/>
    <cellStyle name="20% - Accent1 9 3 5 2" xfId="2634"/>
    <cellStyle name="20% - Accent1 9 3 5 3" xfId="2635"/>
    <cellStyle name="20% - Accent1 9 3 6" xfId="2636"/>
    <cellStyle name="20% - Accent1 9 3 7" xfId="2637"/>
    <cellStyle name="20% - Accent1 9 3_Volatility" xfId="2638"/>
    <cellStyle name="20% - Accent1 9 4" xfId="2639"/>
    <cellStyle name="20% - Accent1 9 4 2" xfId="2640"/>
    <cellStyle name="20% - Accent1 9 4 2 2" xfId="2641"/>
    <cellStyle name="20% - Accent1 9 4 2 3" xfId="2642"/>
    <cellStyle name="20% - Accent1 9 4 3" xfId="2643"/>
    <cellStyle name="20% - Accent1 9 4 3 2" xfId="2644"/>
    <cellStyle name="20% - Accent1 9 4 3 3" xfId="2645"/>
    <cellStyle name="20% - Accent1 9 4 4" xfId="2646"/>
    <cellStyle name="20% - Accent1 9 4 5" xfId="2647"/>
    <cellStyle name="20% - Accent1 9 5" xfId="2648"/>
    <cellStyle name="20% - Accent1 9 5 2" xfId="2649"/>
    <cellStyle name="20% - Accent1 9 5 2 2" xfId="2650"/>
    <cellStyle name="20% - Accent1 9 5 2 3" xfId="2651"/>
    <cellStyle name="20% - Accent1 9 5 3" xfId="2652"/>
    <cellStyle name="20% - Accent1 9 5 3 2" xfId="2653"/>
    <cellStyle name="20% - Accent1 9 5 3 3" xfId="2654"/>
    <cellStyle name="20% - Accent1 9 5 4" xfId="2655"/>
    <cellStyle name="20% - Accent1 9 5 5" xfId="2656"/>
    <cellStyle name="20% - Accent1 9 6" xfId="2657"/>
    <cellStyle name="20% - Accent1 9 6 2" xfId="2658"/>
    <cellStyle name="20% - Accent1 9 6 2 2" xfId="2659"/>
    <cellStyle name="20% - Accent1 9 6 2 3" xfId="2660"/>
    <cellStyle name="20% - Accent1 9 6 3" xfId="2661"/>
    <cellStyle name="20% - Accent1 9 6 3 2" xfId="2662"/>
    <cellStyle name="20% - Accent1 9 6 3 3" xfId="2663"/>
    <cellStyle name="20% - Accent1 9 6 4" xfId="2664"/>
    <cellStyle name="20% - Accent1 9 6 5" xfId="2665"/>
    <cellStyle name="20% - Accent1 9 7" xfId="2666"/>
    <cellStyle name="20% - Accent1 9 7 2" xfId="2667"/>
    <cellStyle name="20% - Accent1 9 7 3" xfId="2668"/>
    <cellStyle name="20% - Accent1 9 8" xfId="2669"/>
    <cellStyle name="20% - Accent1 9 8 2" xfId="2670"/>
    <cellStyle name="20% - Accent1 9 8 3" xfId="2671"/>
    <cellStyle name="20% - Accent1 9 9" xfId="2672"/>
    <cellStyle name="20% - Accent1 9_Volatility" xfId="2673"/>
    <cellStyle name="20% - Accent2" xfId="24" builtinId="34" customBuiltin="1"/>
    <cellStyle name="20% - Accent2 10" xfId="2674"/>
    <cellStyle name="20% - Accent2 10 10" xfId="2675"/>
    <cellStyle name="20% - Accent2 10 2" xfId="2676"/>
    <cellStyle name="20% - Accent2 10 2 2" xfId="2677"/>
    <cellStyle name="20% - Accent2 10 2 2 2" xfId="2678"/>
    <cellStyle name="20% - Accent2 10 2 2 2 2" xfId="2679"/>
    <cellStyle name="20% - Accent2 10 2 2 2 3" xfId="2680"/>
    <cellStyle name="20% - Accent2 10 2 2 3" xfId="2681"/>
    <cellStyle name="20% - Accent2 10 2 2 3 2" xfId="2682"/>
    <cellStyle name="20% - Accent2 10 2 2 3 3" xfId="2683"/>
    <cellStyle name="20% - Accent2 10 2 2 4" xfId="2684"/>
    <cellStyle name="20% - Accent2 10 2 2 5" xfId="2685"/>
    <cellStyle name="20% - Accent2 10 2 3" xfId="2686"/>
    <cellStyle name="20% - Accent2 10 2 3 2" xfId="2687"/>
    <cellStyle name="20% - Accent2 10 2 3 2 2" xfId="2688"/>
    <cellStyle name="20% - Accent2 10 2 3 2 3" xfId="2689"/>
    <cellStyle name="20% - Accent2 10 2 3 3" xfId="2690"/>
    <cellStyle name="20% - Accent2 10 2 3 3 2" xfId="2691"/>
    <cellStyle name="20% - Accent2 10 2 3 3 3" xfId="2692"/>
    <cellStyle name="20% - Accent2 10 2 3 4" xfId="2693"/>
    <cellStyle name="20% - Accent2 10 2 3 5" xfId="2694"/>
    <cellStyle name="20% - Accent2 10 2 4" xfId="2695"/>
    <cellStyle name="20% - Accent2 10 2 4 2" xfId="2696"/>
    <cellStyle name="20% - Accent2 10 2 4 2 2" xfId="2697"/>
    <cellStyle name="20% - Accent2 10 2 4 2 3" xfId="2698"/>
    <cellStyle name="20% - Accent2 10 2 4 3" xfId="2699"/>
    <cellStyle name="20% - Accent2 10 2 4 3 2" xfId="2700"/>
    <cellStyle name="20% - Accent2 10 2 4 3 3" xfId="2701"/>
    <cellStyle name="20% - Accent2 10 2 4 4" xfId="2702"/>
    <cellStyle name="20% - Accent2 10 2 4 5" xfId="2703"/>
    <cellStyle name="20% - Accent2 10 2 5" xfId="2704"/>
    <cellStyle name="20% - Accent2 10 2 5 2" xfId="2705"/>
    <cellStyle name="20% - Accent2 10 2 5 3" xfId="2706"/>
    <cellStyle name="20% - Accent2 10 2 6" xfId="2707"/>
    <cellStyle name="20% - Accent2 10 2 6 2" xfId="2708"/>
    <cellStyle name="20% - Accent2 10 2 6 3" xfId="2709"/>
    <cellStyle name="20% - Accent2 10 2 7" xfId="2710"/>
    <cellStyle name="20% - Accent2 10 2 8" xfId="2711"/>
    <cellStyle name="20% - Accent2 10 2_Volatility" xfId="2712"/>
    <cellStyle name="20% - Accent2 10 3" xfId="2713"/>
    <cellStyle name="20% - Accent2 10 3 2" xfId="2714"/>
    <cellStyle name="20% - Accent2 10 3 2 2" xfId="2715"/>
    <cellStyle name="20% - Accent2 10 3 2 2 2" xfId="2716"/>
    <cellStyle name="20% - Accent2 10 3 2 2 3" xfId="2717"/>
    <cellStyle name="20% - Accent2 10 3 2 3" xfId="2718"/>
    <cellStyle name="20% - Accent2 10 3 2 3 2" xfId="2719"/>
    <cellStyle name="20% - Accent2 10 3 2 3 3" xfId="2720"/>
    <cellStyle name="20% - Accent2 10 3 2 4" xfId="2721"/>
    <cellStyle name="20% - Accent2 10 3 2 5" xfId="2722"/>
    <cellStyle name="20% - Accent2 10 3 3" xfId="2723"/>
    <cellStyle name="20% - Accent2 10 3 3 2" xfId="2724"/>
    <cellStyle name="20% - Accent2 10 3 3 2 2" xfId="2725"/>
    <cellStyle name="20% - Accent2 10 3 3 2 3" xfId="2726"/>
    <cellStyle name="20% - Accent2 10 3 3 3" xfId="2727"/>
    <cellStyle name="20% - Accent2 10 3 3 3 2" xfId="2728"/>
    <cellStyle name="20% - Accent2 10 3 3 3 3" xfId="2729"/>
    <cellStyle name="20% - Accent2 10 3 3 4" xfId="2730"/>
    <cellStyle name="20% - Accent2 10 3 3 5" xfId="2731"/>
    <cellStyle name="20% - Accent2 10 3 4" xfId="2732"/>
    <cellStyle name="20% - Accent2 10 3 4 2" xfId="2733"/>
    <cellStyle name="20% - Accent2 10 3 4 3" xfId="2734"/>
    <cellStyle name="20% - Accent2 10 3 5" xfId="2735"/>
    <cellStyle name="20% - Accent2 10 3 5 2" xfId="2736"/>
    <cellStyle name="20% - Accent2 10 3 5 3" xfId="2737"/>
    <cellStyle name="20% - Accent2 10 3 6" xfId="2738"/>
    <cellStyle name="20% - Accent2 10 3 7" xfId="2739"/>
    <cellStyle name="20% - Accent2 10 3_Volatility" xfId="2740"/>
    <cellStyle name="20% - Accent2 10 4" xfId="2741"/>
    <cellStyle name="20% - Accent2 10 4 2" xfId="2742"/>
    <cellStyle name="20% - Accent2 10 4 2 2" xfId="2743"/>
    <cellStyle name="20% - Accent2 10 4 2 3" xfId="2744"/>
    <cellStyle name="20% - Accent2 10 4 3" xfId="2745"/>
    <cellStyle name="20% - Accent2 10 4 3 2" xfId="2746"/>
    <cellStyle name="20% - Accent2 10 4 3 3" xfId="2747"/>
    <cellStyle name="20% - Accent2 10 4 4" xfId="2748"/>
    <cellStyle name="20% - Accent2 10 4 5" xfId="2749"/>
    <cellStyle name="20% - Accent2 10 5" xfId="2750"/>
    <cellStyle name="20% - Accent2 10 5 2" xfId="2751"/>
    <cellStyle name="20% - Accent2 10 5 2 2" xfId="2752"/>
    <cellStyle name="20% - Accent2 10 5 2 3" xfId="2753"/>
    <cellStyle name="20% - Accent2 10 5 3" xfId="2754"/>
    <cellStyle name="20% - Accent2 10 5 3 2" xfId="2755"/>
    <cellStyle name="20% - Accent2 10 5 3 3" xfId="2756"/>
    <cellStyle name="20% - Accent2 10 5 4" xfId="2757"/>
    <cellStyle name="20% - Accent2 10 5 5" xfId="2758"/>
    <cellStyle name="20% - Accent2 10 6" xfId="2759"/>
    <cellStyle name="20% - Accent2 10 6 2" xfId="2760"/>
    <cellStyle name="20% - Accent2 10 6 2 2" xfId="2761"/>
    <cellStyle name="20% - Accent2 10 6 2 3" xfId="2762"/>
    <cellStyle name="20% - Accent2 10 6 3" xfId="2763"/>
    <cellStyle name="20% - Accent2 10 6 3 2" xfId="2764"/>
    <cellStyle name="20% - Accent2 10 6 3 3" xfId="2765"/>
    <cellStyle name="20% - Accent2 10 6 4" xfId="2766"/>
    <cellStyle name="20% - Accent2 10 6 5" xfId="2767"/>
    <cellStyle name="20% - Accent2 10 7" xfId="2768"/>
    <cellStyle name="20% - Accent2 10 7 2" xfId="2769"/>
    <cellStyle name="20% - Accent2 10 7 3" xfId="2770"/>
    <cellStyle name="20% - Accent2 10 8" xfId="2771"/>
    <cellStyle name="20% - Accent2 10 8 2" xfId="2772"/>
    <cellStyle name="20% - Accent2 10 8 3" xfId="2773"/>
    <cellStyle name="20% - Accent2 10 9" xfId="2774"/>
    <cellStyle name="20% - Accent2 10_Volatility" xfId="2775"/>
    <cellStyle name="20% - Accent2 11" xfId="2776"/>
    <cellStyle name="20% - Accent2 11 10" xfId="2777"/>
    <cellStyle name="20% - Accent2 11 2" xfId="2778"/>
    <cellStyle name="20% - Accent2 11 2 2" xfId="2779"/>
    <cellStyle name="20% - Accent2 11 2 2 2" xfId="2780"/>
    <cellStyle name="20% - Accent2 11 2 2 2 2" xfId="2781"/>
    <cellStyle name="20% - Accent2 11 2 2 2 3" xfId="2782"/>
    <cellStyle name="20% - Accent2 11 2 2 3" xfId="2783"/>
    <cellStyle name="20% - Accent2 11 2 2 3 2" xfId="2784"/>
    <cellStyle name="20% - Accent2 11 2 2 3 3" xfId="2785"/>
    <cellStyle name="20% - Accent2 11 2 2 4" xfId="2786"/>
    <cellStyle name="20% - Accent2 11 2 2 5" xfId="2787"/>
    <cellStyle name="20% - Accent2 11 2 3" xfId="2788"/>
    <cellStyle name="20% - Accent2 11 2 3 2" xfId="2789"/>
    <cellStyle name="20% - Accent2 11 2 3 2 2" xfId="2790"/>
    <cellStyle name="20% - Accent2 11 2 3 2 3" xfId="2791"/>
    <cellStyle name="20% - Accent2 11 2 3 3" xfId="2792"/>
    <cellStyle name="20% - Accent2 11 2 3 3 2" xfId="2793"/>
    <cellStyle name="20% - Accent2 11 2 3 3 3" xfId="2794"/>
    <cellStyle name="20% - Accent2 11 2 3 4" xfId="2795"/>
    <cellStyle name="20% - Accent2 11 2 3 5" xfId="2796"/>
    <cellStyle name="20% - Accent2 11 2 4" xfId="2797"/>
    <cellStyle name="20% - Accent2 11 2 4 2" xfId="2798"/>
    <cellStyle name="20% - Accent2 11 2 4 2 2" xfId="2799"/>
    <cellStyle name="20% - Accent2 11 2 4 2 3" xfId="2800"/>
    <cellStyle name="20% - Accent2 11 2 4 3" xfId="2801"/>
    <cellStyle name="20% - Accent2 11 2 4 3 2" xfId="2802"/>
    <cellStyle name="20% - Accent2 11 2 4 3 3" xfId="2803"/>
    <cellStyle name="20% - Accent2 11 2 4 4" xfId="2804"/>
    <cellStyle name="20% - Accent2 11 2 4 5" xfId="2805"/>
    <cellStyle name="20% - Accent2 11 2 5" xfId="2806"/>
    <cellStyle name="20% - Accent2 11 2 5 2" xfId="2807"/>
    <cellStyle name="20% - Accent2 11 2 5 3" xfId="2808"/>
    <cellStyle name="20% - Accent2 11 2 6" xfId="2809"/>
    <cellStyle name="20% - Accent2 11 2 6 2" xfId="2810"/>
    <cellStyle name="20% - Accent2 11 2 6 3" xfId="2811"/>
    <cellStyle name="20% - Accent2 11 2 7" xfId="2812"/>
    <cellStyle name="20% - Accent2 11 2 8" xfId="2813"/>
    <cellStyle name="20% - Accent2 11 2_Volatility" xfId="2814"/>
    <cellStyle name="20% - Accent2 11 3" xfId="2815"/>
    <cellStyle name="20% - Accent2 11 3 2" xfId="2816"/>
    <cellStyle name="20% - Accent2 11 3 2 2" xfId="2817"/>
    <cellStyle name="20% - Accent2 11 3 2 2 2" xfId="2818"/>
    <cellStyle name="20% - Accent2 11 3 2 2 3" xfId="2819"/>
    <cellStyle name="20% - Accent2 11 3 2 3" xfId="2820"/>
    <cellStyle name="20% - Accent2 11 3 2 3 2" xfId="2821"/>
    <cellStyle name="20% - Accent2 11 3 2 3 3" xfId="2822"/>
    <cellStyle name="20% - Accent2 11 3 2 4" xfId="2823"/>
    <cellStyle name="20% - Accent2 11 3 2 5" xfId="2824"/>
    <cellStyle name="20% - Accent2 11 3 3" xfId="2825"/>
    <cellStyle name="20% - Accent2 11 3 3 2" xfId="2826"/>
    <cellStyle name="20% - Accent2 11 3 3 2 2" xfId="2827"/>
    <cellStyle name="20% - Accent2 11 3 3 2 3" xfId="2828"/>
    <cellStyle name="20% - Accent2 11 3 3 3" xfId="2829"/>
    <cellStyle name="20% - Accent2 11 3 3 3 2" xfId="2830"/>
    <cellStyle name="20% - Accent2 11 3 3 3 3" xfId="2831"/>
    <cellStyle name="20% - Accent2 11 3 3 4" xfId="2832"/>
    <cellStyle name="20% - Accent2 11 3 3 5" xfId="2833"/>
    <cellStyle name="20% - Accent2 11 3 4" xfId="2834"/>
    <cellStyle name="20% - Accent2 11 3 4 2" xfId="2835"/>
    <cellStyle name="20% - Accent2 11 3 4 3" xfId="2836"/>
    <cellStyle name="20% - Accent2 11 3 5" xfId="2837"/>
    <cellStyle name="20% - Accent2 11 3 5 2" xfId="2838"/>
    <cellStyle name="20% - Accent2 11 3 5 3" xfId="2839"/>
    <cellStyle name="20% - Accent2 11 3 6" xfId="2840"/>
    <cellStyle name="20% - Accent2 11 3 7" xfId="2841"/>
    <cellStyle name="20% - Accent2 11 3_Volatility" xfId="2842"/>
    <cellStyle name="20% - Accent2 11 4" xfId="2843"/>
    <cellStyle name="20% - Accent2 11 4 2" xfId="2844"/>
    <cellStyle name="20% - Accent2 11 4 2 2" xfId="2845"/>
    <cellStyle name="20% - Accent2 11 4 2 3" xfId="2846"/>
    <cellStyle name="20% - Accent2 11 4 3" xfId="2847"/>
    <cellStyle name="20% - Accent2 11 4 3 2" xfId="2848"/>
    <cellStyle name="20% - Accent2 11 4 3 3" xfId="2849"/>
    <cellStyle name="20% - Accent2 11 4 4" xfId="2850"/>
    <cellStyle name="20% - Accent2 11 4 5" xfId="2851"/>
    <cellStyle name="20% - Accent2 11 5" xfId="2852"/>
    <cellStyle name="20% - Accent2 11 5 2" xfId="2853"/>
    <cellStyle name="20% - Accent2 11 5 2 2" xfId="2854"/>
    <cellStyle name="20% - Accent2 11 5 2 3" xfId="2855"/>
    <cellStyle name="20% - Accent2 11 5 3" xfId="2856"/>
    <cellStyle name="20% - Accent2 11 5 3 2" xfId="2857"/>
    <cellStyle name="20% - Accent2 11 5 3 3" xfId="2858"/>
    <cellStyle name="20% - Accent2 11 5 4" xfId="2859"/>
    <cellStyle name="20% - Accent2 11 5 5" xfId="2860"/>
    <cellStyle name="20% - Accent2 11 6" xfId="2861"/>
    <cellStyle name="20% - Accent2 11 6 2" xfId="2862"/>
    <cellStyle name="20% - Accent2 11 6 2 2" xfId="2863"/>
    <cellStyle name="20% - Accent2 11 6 2 3" xfId="2864"/>
    <cellStyle name="20% - Accent2 11 6 3" xfId="2865"/>
    <cellStyle name="20% - Accent2 11 6 3 2" xfId="2866"/>
    <cellStyle name="20% - Accent2 11 6 3 3" xfId="2867"/>
    <cellStyle name="20% - Accent2 11 6 4" xfId="2868"/>
    <cellStyle name="20% - Accent2 11 6 5" xfId="2869"/>
    <cellStyle name="20% - Accent2 11 7" xfId="2870"/>
    <cellStyle name="20% - Accent2 11 7 2" xfId="2871"/>
    <cellStyle name="20% - Accent2 11 7 3" xfId="2872"/>
    <cellStyle name="20% - Accent2 11 8" xfId="2873"/>
    <cellStyle name="20% - Accent2 11 8 2" xfId="2874"/>
    <cellStyle name="20% - Accent2 11 8 3" xfId="2875"/>
    <cellStyle name="20% - Accent2 11 9" xfId="2876"/>
    <cellStyle name="20% - Accent2 11_Volatility" xfId="2877"/>
    <cellStyle name="20% - Accent2 12" xfId="2878"/>
    <cellStyle name="20% - Accent2 12 10" xfId="2879"/>
    <cellStyle name="20% - Accent2 12 2" xfId="2880"/>
    <cellStyle name="20% - Accent2 12 2 2" xfId="2881"/>
    <cellStyle name="20% - Accent2 12 2 2 2" xfId="2882"/>
    <cellStyle name="20% - Accent2 12 2 2 2 2" xfId="2883"/>
    <cellStyle name="20% - Accent2 12 2 2 2 3" xfId="2884"/>
    <cellStyle name="20% - Accent2 12 2 2 3" xfId="2885"/>
    <cellStyle name="20% - Accent2 12 2 2 3 2" xfId="2886"/>
    <cellStyle name="20% - Accent2 12 2 2 3 3" xfId="2887"/>
    <cellStyle name="20% - Accent2 12 2 2 4" xfId="2888"/>
    <cellStyle name="20% - Accent2 12 2 2 5" xfId="2889"/>
    <cellStyle name="20% - Accent2 12 2 3" xfId="2890"/>
    <cellStyle name="20% - Accent2 12 2 3 2" xfId="2891"/>
    <cellStyle name="20% - Accent2 12 2 3 2 2" xfId="2892"/>
    <cellStyle name="20% - Accent2 12 2 3 2 3" xfId="2893"/>
    <cellStyle name="20% - Accent2 12 2 3 3" xfId="2894"/>
    <cellStyle name="20% - Accent2 12 2 3 3 2" xfId="2895"/>
    <cellStyle name="20% - Accent2 12 2 3 3 3" xfId="2896"/>
    <cellStyle name="20% - Accent2 12 2 3 4" xfId="2897"/>
    <cellStyle name="20% - Accent2 12 2 3 5" xfId="2898"/>
    <cellStyle name="20% - Accent2 12 2 4" xfId="2899"/>
    <cellStyle name="20% - Accent2 12 2 4 2" xfId="2900"/>
    <cellStyle name="20% - Accent2 12 2 4 2 2" xfId="2901"/>
    <cellStyle name="20% - Accent2 12 2 4 2 3" xfId="2902"/>
    <cellStyle name="20% - Accent2 12 2 4 3" xfId="2903"/>
    <cellStyle name="20% - Accent2 12 2 4 3 2" xfId="2904"/>
    <cellStyle name="20% - Accent2 12 2 4 3 3" xfId="2905"/>
    <cellStyle name="20% - Accent2 12 2 4 4" xfId="2906"/>
    <cellStyle name="20% - Accent2 12 2 4 5" xfId="2907"/>
    <cellStyle name="20% - Accent2 12 2 5" xfId="2908"/>
    <cellStyle name="20% - Accent2 12 2 5 2" xfId="2909"/>
    <cellStyle name="20% - Accent2 12 2 5 3" xfId="2910"/>
    <cellStyle name="20% - Accent2 12 2 6" xfId="2911"/>
    <cellStyle name="20% - Accent2 12 2 6 2" xfId="2912"/>
    <cellStyle name="20% - Accent2 12 2 6 3" xfId="2913"/>
    <cellStyle name="20% - Accent2 12 2 7" xfId="2914"/>
    <cellStyle name="20% - Accent2 12 2 8" xfId="2915"/>
    <cellStyle name="20% - Accent2 12 2_Volatility" xfId="2916"/>
    <cellStyle name="20% - Accent2 12 3" xfId="2917"/>
    <cellStyle name="20% - Accent2 12 3 2" xfId="2918"/>
    <cellStyle name="20% - Accent2 12 3 2 2" xfId="2919"/>
    <cellStyle name="20% - Accent2 12 3 2 2 2" xfId="2920"/>
    <cellStyle name="20% - Accent2 12 3 2 2 3" xfId="2921"/>
    <cellStyle name="20% - Accent2 12 3 2 3" xfId="2922"/>
    <cellStyle name="20% - Accent2 12 3 2 3 2" xfId="2923"/>
    <cellStyle name="20% - Accent2 12 3 2 3 3" xfId="2924"/>
    <cellStyle name="20% - Accent2 12 3 2 4" xfId="2925"/>
    <cellStyle name="20% - Accent2 12 3 2 5" xfId="2926"/>
    <cellStyle name="20% - Accent2 12 3 3" xfId="2927"/>
    <cellStyle name="20% - Accent2 12 3 3 2" xfId="2928"/>
    <cellStyle name="20% - Accent2 12 3 3 2 2" xfId="2929"/>
    <cellStyle name="20% - Accent2 12 3 3 2 3" xfId="2930"/>
    <cellStyle name="20% - Accent2 12 3 3 3" xfId="2931"/>
    <cellStyle name="20% - Accent2 12 3 3 3 2" xfId="2932"/>
    <cellStyle name="20% - Accent2 12 3 3 3 3" xfId="2933"/>
    <cellStyle name="20% - Accent2 12 3 3 4" xfId="2934"/>
    <cellStyle name="20% - Accent2 12 3 3 5" xfId="2935"/>
    <cellStyle name="20% - Accent2 12 3 4" xfId="2936"/>
    <cellStyle name="20% - Accent2 12 3 4 2" xfId="2937"/>
    <cellStyle name="20% - Accent2 12 3 4 3" xfId="2938"/>
    <cellStyle name="20% - Accent2 12 3 5" xfId="2939"/>
    <cellStyle name="20% - Accent2 12 3 5 2" xfId="2940"/>
    <cellStyle name="20% - Accent2 12 3 5 3" xfId="2941"/>
    <cellStyle name="20% - Accent2 12 3 6" xfId="2942"/>
    <cellStyle name="20% - Accent2 12 3 7" xfId="2943"/>
    <cellStyle name="20% - Accent2 12 3_Volatility" xfId="2944"/>
    <cellStyle name="20% - Accent2 12 4" xfId="2945"/>
    <cellStyle name="20% - Accent2 12 4 2" xfId="2946"/>
    <cellStyle name="20% - Accent2 12 4 2 2" xfId="2947"/>
    <cellStyle name="20% - Accent2 12 4 2 3" xfId="2948"/>
    <cellStyle name="20% - Accent2 12 4 3" xfId="2949"/>
    <cellStyle name="20% - Accent2 12 4 3 2" xfId="2950"/>
    <cellStyle name="20% - Accent2 12 4 3 3" xfId="2951"/>
    <cellStyle name="20% - Accent2 12 4 4" xfId="2952"/>
    <cellStyle name="20% - Accent2 12 4 5" xfId="2953"/>
    <cellStyle name="20% - Accent2 12 5" xfId="2954"/>
    <cellStyle name="20% - Accent2 12 5 2" xfId="2955"/>
    <cellStyle name="20% - Accent2 12 5 2 2" xfId="2956"/>
    <cellStyle name="20% - Accent2 12 5 2 3" xfId="2957"/>
    <cellStyle name="20% - Accent2 12 5 3" xfId="2958"/>
    <cellStyle name="20% - Accent2 12 5 3 2" xfId="2959"/>
    <cellStyle name="20% - Accent2 12 5 3 3" xfId="2960"/>
    <cellStyle name="20% - Accent2 12 5 4" xfId="2961"/>
    <cellStyle name="20% - Accent2 12 5 5" xfId="2962"/>
    <cellStyle name="20% - Accent2 12 6" xfId="2963"/>
    <cellStyle name="20% - Accent2 12 6 2" xfId="2964"/>
    <cellStyle name="20% - Accent2 12 6 2 2" xfId="2965"/>
    <cellStyle name="20% - Accent2 12 6 2 3" xfId="2966"/>
    <cellStyle name="20% - Accent2 12 6 3" xfId="2967"/>
    <cellStyle name="20% - Accent2 12 6 3 2" xfId="2968"/>
    <cellStyle name="20% - Accent2 12 6 3 3" xfId="2969"/>
    <cellStyle name="20% - Accent2 12 6 4" xfId="2970"/>
    <cellStyle name="20% - Accent2 12 6 5" xfId="2971"/>
    <cellStyle name="20% - Accent2 12 7" xfId="2972"/>
    <cellStyle name="20% - Accent2 12 7 2" xfId="2973"/>
    <cellStyle name="20% - Accent2 12 7 3" xfId="2974"/>
    <cellStyle name="20% - Accent2 12 8" xfId="2975"/>
    <cellStyle name="20% - Accent2 12 8 2" xfId="2976"/>
    <cellStyle name="20% - Accent2 12 8 3" xfId="2977"/>
    <cellStyle name="20% - Accent2 12 9" xfId="2978"/>
    <cellStyle name="20% - Accent2 12_Volatility" xfId="2979"/>
    <cellStyle name="20% - Accent2 13" xfId="2980"/>
    <cellStyle name="20% - Accent2 13 10" xfId="2981"/>
    <cellStyle name="20% - Accent2 13 2" xfId="2982"/>
    <cellStyle name="20% - Accent2 13 2 2" xfId="2983"/>
    <cellStyle name="20% - Accent2 13 2 2 2" xfId="2984"/>
    <cellStyle name="20% - Accent2 13 2 2 2 2" xfId="2985"/>
    <cellStyle name="20% - Accent2 13 2 2 2 3" xfId="2986"/>
    <cellStyle name="20% - Accent2 13 2 2 3" xfId="2987"/>
    <cellStyle name="20% - Accent2 13 2 2 3 2" xfId="2988"/>
    <cellStyle name="20% - Accent2 13 2 2 3 3" xfId="2989"/>
    <cellStyle name="20% - Accent2 13 2 2 4" xfId="2990"/>
    <cellStyle name="20% - Accent2 13 2 2 5" xfId="2991"/>
    <cellStyle name="20% - Accent2 13 2 3" xfId="2992"/>
    <cellStyle name="20% - Accent2 13 2 3 2" xfId="2993"/>
    <cellStyle name="20% - Accent2 13 2 3 2 2" xfId="2994"/>
    <cellStyle name="20% - Accent2 13 2 3 2 3" xfId="2995"/>
    <cellStyle name="20% - Accent2 13 2 3 3" xfId="2996"/>
    <cellStyle name="20% - Accent2 13 2 3 3 2" xfId="2997"/>
    <cellStyle name="20% - Accent2 13 2 3 3 3" xfId="2998"/>
    <cellStyle name="20% - Accent2 13 2 3 4" xfId="2999"/>
    <cellStyle name="20% - Accent2 13 2 3 5" xfId="3000"/>
    <cellStyle name="20% - Accent2 13 2 4" xfId="3001"/>
    <cellStyle name="20% - Accent2 13 2 4 2" xfId="3002"/>
    <cellStyle name="20% - Accent2 13 2 4 2 2" xfId="3003"/>
    <cellStyle name="20% - Accent2 13 2 4 2 3" xfId="3004"/>
    <cellStyle name="20% - Accent2 13 2 4 3" xfId="3005"/>
    <cellStyle name="20% - Accent2 13 2 4 3 2" xfId="3006"/>
    <cellStyle name="20% - Accent2 13 2 4 3 3" xfId="3007"/>
    <cellStyle name="20% - Accent2 13 2 4 4" xfId="3008"/>
    <cellStyle name="20% - Accent2 13 2 4 5" xfId="3009"/>
    <cellStyle name="20% - Accent2 13 2 5" xfId="3010"/>
    <cellStyle name="20% - Accent2 13 2 5 2" xfId="3011"/>
    <cellStyle name="20% - Accent2 13 2 5 3" xfId="3012"/>
    <cellStyle name="20% - Accent2 13 2 6" xfId="3013"/>
    <cellStyle name="20% - Accent2 13 2 6 2" xfId="3014"/>
    <cellStyle name="20% - Accent2 13 2 6 3" xfId="3015"/>
    <cellStyle name="20% - Accent2 13 2 7" xfId="3016"/>
    <cellStyle name="20% - Accent2 13 2 8" xfId="3017"/>
    <cellStyle name="20% - Accent2 13 2_Volatility" xfId="3018"/>
    <cellStyle name="20% - Accent2 13 3" xfId="3019"/>
    <cellStyle name="20% - Accent2 13 3 2" xfId="3020"/>
    <cellStyle name="20% - Accent2 13 3 2 2" xfId="3021"/>
    <cellStyle name="20% - Accent2 13 3 2 2 2" xfId="3022"/>
    <cellStyle name="20% - Accent2 13 3 2 2 3" xfId="3023"/>
    <cellStyle name="20% - Accent2 13 3 2 3" xfId="3024"/>
    <cellStyle name="20% - Accent2 13 3 2 3 2" xfId="3025"/>
    <cellStyle name="20% - Accent2 13 3 2 3 3" xfId="3026"/>
    <cellStyle name="20% - Accent2 13 3 2 4" xfId="3027"/>
    <cellStyle name="20% - Accent2 13 3 2 5" xfId="3028"/>
    <cellStyle name="20% - Accent2 13 3 3" xfId="3029"/>
    <cellStyle name="20% - Accent2 13 3 3 2" xfId="3030"/>
    <cellStyle name="20% - Accent2 13 3 3 2 2" xfId="3031"/>
    <cellStyle name="20% - Accent2 13 3 3 2 3" xfId="3032"/>
    <cellStyle name="20% - Accent2 13 3 3 3" xfId="3033"/>
    <cellStyle name="20% - Accent2 13 3 3 3 2" xfId="3034"/>
    <cellStyle name="20% - Accent2 13 3 3 3 3" xfId="3035"/>
    <cellStyle name="20% - Accent2 13 3 3 4" xfId="3036"/>
    <cellStyle name="20% - Accent2 13 3 3 5" xfId="3037"/>
    <cellStyle name="20% - Accent2 13 3 4" xfId="3038"/>
    <cellStyle name="20% - Accent2 13 3 4 2" xfId="3039"/>
    <cellStyle name="20% - Accent2 13 3 4 3" xfId="3040"/>
    <cellStyle name="20% - Accent2 13 3 5" xfId="3041"/>
    <cellStyle name="20% - Accent2 13 3 5 2" xfId="3042"/>
    <cellStyle name="20% - Accent2 13 3 5 3" xfId="3043"/>
    <cellStyle name="20% - Accent2 13 3 6" xfId="3044"/>
    <cellStyle name="20% - Accent2 13 3 7" xfId="3045"/>
    <cellStyle name="20% - Accent2 13 3_Volatility" xfId="3046"/>
    <cellStyle name="20% - Accent2 13 4" xfId="3047"/>
    <cellStyle name="20% - Accent2 13 4 2" xfId="3048"/>
    <cellStyle name="20% - Accent2 13 4 2 2" xfId="3049"/>
    <cellStyle name="20% - Accent2 13 4 2 3" xfId="3050"/>
    <cellStyle name="20% - Accent2 13 4 3" xfId="3051"/>
    <cellStyle name="20% - Accent2 13 4 3 2" xfId="3052"/>
    <cellStyle name="20% - Accent2 13 4 3 3" xfId="3053"/>
    <cellStyle name="20% - Accent2 13 4 4" xfId="3054"/>
    <cellStyle name="20% - Accent2 13 4 5" xfId="3055"/>
    <cellStyle name="20% - Accent2 13 5" xfId="3056"/>
    <cellStyle name="20% - Accent2 13 5 2" xfId="3057"/>
    <cellStyle name="20% - Accent2 13 5 2 2" xfId="3058"/>
    <cellStyle name="20% - Accent2 13 5 2 3" xfId="3059"/>
    <cellStyle name="20% - Accent2 13 5 3" xfId="3060"/>
    <cellStyle name="20% - Accent2 13 5 3 2" xfId="3061"/>
    <cellStyle name="20% - Accent2 13 5 3 3" xfId="3062"/>
    <cellStyle name="20% - Accent2 13 5 4" xfId="3063"/>
    <cellStyle name="20% - Accent2 13 5 5" xfId="3064"/>
    <cellStyle name="20% - Accent2 13 6" xfId="3065"/>
    <cellStyle name="20% - Accent2 13 6 2" xfId="3066"/>
    <cellStyle name="20% - Accent2 13 6 2 2" xfId="3067"/>
    <cellStyle name="20% - Accent2 13 6 2 3" xfId="3068"/>
    <cellStyle name="20% - Accent2 13 6 3" xfId="3069"/>
    <cellStyle name="20% - Accent2 13 6 3 2" xfId="3070"/>
    <cellStyle name="20% - Accent2 13 6 3 3" xfId="3071"/>
    <cellStyle name="20% - Accent2 13 6 4" xfId="3072"/>
    <cellStyle name="20% - Accent2 13 6 5" xfId="3073"/>
    <cellStyle name="20% - Accent2 13 7" xfId="3074"/>
    <cellStyle name="20% - Accent2 13 7 2" xfId="3075"/>
    <cellStyle name="20% - Accent2 13 7 3" xfId="3076"/>
    <cellStyle name="20% - Accent2 13 8" xfId="3077"/>
    <cellStyle name="20% - Accent2 13 8 2" xfId="3078"/>
    <cellStyle name="20% - Accent2 13 8 3" xfId="3079"/>
    <cellStyle name="20% - Accent2 13 9" xfId="3080"/>
    <cellStyle name="20% - Accent2 13_Volatility" xfId="3081"/>
    <cellStyle name="20% - Accent2 14" xfId="3082"/>
    <cellStyle name="20% - Accent2 14 10" xfId="3083"/>
    <cellStyle name="20% - Accent2 14 2" xfId="3084"/>
    <cellStyle name="20% - Accent2 14 2 2" xfId="3085"/>
    <cellStyle name="20% - Accent2 14 2 2 2" xfId="3086"/>
    <cellStyle name="20% - Accent2 14 2 2 2 2" xfId="3087"/>
    <cellStyle name="20% - Accent2 14 2 2 2 3" xfId="3088"/>
    <cellStyle name="20% - Accent2 14 2 2 3" xfId="3089"/>
    <cellStyle name="20% - Accent2 14 2 2 3 2" xfId="3090"/>
    <cellStyle name="20% - Accent2 14 2 2 3 3" xfId="3091"/>
    <cellStyle name="20% - Accent2 14 2 2 4" xfId="3092"/>
    <cellStyle name="20% - Accent2 14 2 2 5" xfId="3093"/>
    <cellStyle name="20% - Accent2 14 2 3" xfId="3094"/>
    <cellStyle name="20% - Accent2 14 2 3 2" xfId="3095"/>
    <cellStyle name="20% - Accent2 14 2 3 2 2" xfId="3096"/>
    <cellStyle name="20% - Accent2 14 2 3 2 3" xfId="3097"/>
    <cellStyle name="20% - Accent2 14 2 3 3" xfId="3098"/>
    <cellStyle name="20% - Accent2 14 2 3 3 2" xfId="3099"/>
    <cellStyle name="20% - Accent2 14 2 3 3 3" xfId="3100"/>
    <cellStyle name="20% - Accent2 14 2 3 4" xfId="3101"/>
    <cellStyle name="20% - Accent2 14 2 3 5" xfId="3102"/>
    <cellStyle name="20% - Accent2 14 2 4" xfId="3103"/>
    <cellStyle name="20% - Accent2 14 2 4 2" xfId="3104"/>
    <cellStyle name="20% - Accent2 14 2 4 2 2" xfId="3105"/>
    <cellStyle name="20% - Accent2 14 2 4 2 3" xfId="3106"/>
    <cellStyle name="20% - Accent2 14 2 4 3" xfId="3107"/>
    <cellStyle name="20% - Accent2 14 2 4 3 2" xfId="3108"/>
    <cellStyle name="20% - Accent2 14 2 4 3 3" xfId="3109"/>
    <cellStyle name="20% - Accent2 14 2 4 4" xfId="3110"/>
    <cellStyle name="20% - Accent2 14 2 4 5" xfId="3111"/>
    <cellStyle name="20% - Accent2 14 2 5" xfId="3112"/>
    <cellStyle name="20% - Accent2 14 2 5 2" xfId="3113"/>
    <cellStyle name="20% - Accent2 14 2 5 3" xfId="3114"/>
    <cellStyle name="20% - Accent2 14 2 6" xfId="3115"/>
    <cellStyle name="20% - Accent2 14 2 6 2" xfId="3116"/>
    <cellStyle name="20% - Accent2 14 2 6 3" xfId="3117"/>
    <cellStyle name="20% - Accent2 14 2 7" xfId="3118"/>
    <cellStyle name="20% - Accent2 14 2 8" xfId="3119"/>
    <cellStyle name="20% - Accent2 14 2_Volatility" xfId="3120"/>
    <cellStyle name="20% - Accent2 14 3" xfId="3121"/>
    <cellStyle name="20% - Accent2 14 3 2" xfId="3122"/>
    <cellStyle name="20% - Accent2 14 3 2 2" xfId="3123"/>
    <cellStyle name="20% - Accent2 14 3 2 2 2" xfId="3124"/>
    <cellStyle name="20% - Accent2 14 3 2 2 3" xfId="3125"/>
    <cellStyle name="20% - Accent2 14 3 2 3" xfId="3126"/>
    <cellStyle name="20% - Accent2 14 3 2 3 2" xfId="3127"/>
    <cellStyle name="20% - Accent2 14 3 2 3 3" xfId="3128"/>
    <cellStyle name="20% - Accent2 14 3 2 4" xfId="3129"/>
    <cellStyle name="20% - Accent2 14 3 2 5" xfId="3130"/>
    <cellStyle name="20% - Accent2 14 3 3" xfId="3131"/>
    <cellStyle name="20% - Accent2 14 3 3 2" xfId="3132"/>
    <cellStyle name="20% - Accent2 14 3 3 2 2" xfId="3133"/>
    <cellStyle name="20% - Accent2 14 3 3 2 3" xfId="3134"/>
    <cellStyle name="20% - Accent2 14 3 3 3" xfId="3135"/>
    <cellStyle name="20% - Accent2 14 3 3 3 2" xfId="3136"/>
    <cellStyle name="20% - Accent2 14 3 3 3 3" xfId="3137"/>
    <cellStyle name="20% - Accent2 14 3 3 4" xfId="3138"/>
    <cellStyle name="20% - Accent2 14 3 3 5" xfId="3139"/>
    <cellStyle name="20% - Accent2 14 3 4" xfId="3140"/>
    <cellStyle name="20% - Accent2 14 3 4 2" xfId="3141"/>
    <cellStyle name="20% - Accent2 14 3 4 3" xfId="3142"/>
    <cellStyle name="20% - Accent2 14 3 5" xfId="3143"/>
    <cellStyle name="20% - Accent2 14 3 5 2" xfId="3144"/>
    <cellStyle name="20% - Accent2 14 3 5 3" xfId="3145"/>
    <cellStyle name="20% - Accent2 14 3 6" xfId="3146"/>
    <cellStyle name="20% - Accent2 14 3 7" xfId="3147"/>
    <cellStyle name="20% - Accent2 14 3_Volatility" xfId="3148"/>
    <cellStyle name="20% - Accent2 14 4" xfId="3149"/>
    <cellStyle name="20% - Accent2 14 4 2" xfId="3150"/>
    <cellStyle name="20% - Accent2 14 4 2 2" xfId="3151"/>
    <cellStyle name="20% - Accent2 14 4 2 3" xfId="3152"/>
    <cellStyle name="20% - Accent2 14 4 3" xfId="3153"/>
    <cellStyle name="20% - Accent2 14 4 3 2" xfId="3154"/>
    <cellStyle name="20% - Accent2 14 4 3 3" xfId="3155"/>
    <cellStyle name="20% - Accent2 14 4 4" xfId="3156"/>
    <cellStyle name="20% - Accent2 14 4 5" xfId="3157"/>
    <cellStyle name="20% - Accent2 14 5" xfId="3158"/>
    <cellStyle name="20% - Accent2 14 5 2" xfId="3159"/>
    <cellStyle name="20% - Accent2 14 5 2 2" xfId="3160"/>
    <cellStyle name="20% - Accent2 14 5 2 3" xfId="3161"/>
    <cellStyle name="20% - Accent2 14 5 3" xfId="3162"/>
    <cellStyle name="20% - Accent2 14 5 3 2" xfId="3163"/>
    <cellStyle name="20% - Accent2 14 5 3 3" xfId="3164"/>
    <cellStyle name="20% - Accent2 14 5 4" xfId="3165"/>
    <cellStyle name="20% - Accent2 14 5 5" xfId="3166"/>
    <cellStyle name="20% - Accent2 14 6" xfId="3167"/>
    <cellStyle name="20% - Accent2 14 6 2" xfId="3168"/>
    <cellStyle name="20% - Accent2 14 6 2 2" xfId="3169"/>
    <cellStyle name="20% - Accent2 14 6 2 3" xfId="3170"/>
    <cellStyle name="20% - Accent2 14 6 3" xfId="3171"/>
    <cellStyle name="20% - Accent2 14 6 3 2" xfId="3172"/>
    <cellStyle name="20% - Accent2 14 6 3 3" xfId="3173"/>
    <cellStyle name="20% - Accent2 14 6 4" xfId="3174"/>
    <cellStyle name="20% - Accent2 14 6 5" xfId="3175"/>
    <cellStyle name="20% - Accent2 14 7" xfId="3176"/>
    <cellStyle name="20% - Accent2 14 7 2" xfId="3177"/>
    <cellStyle name="20% - Accent2 14 7 3" xfId="3178"/>
    <cellStyle name="20% - Accent2 14 8" xfId="3179"/>
    <cellStyle name="20% - Accent2 14 8 2" xfId="3180"/>
    <cellStyle name="20% - Accent2 14 8 3" xfId="3181"/>
    <cellStyle name="20% - Accent2 14 9" xfId="3182"/>
    <cellStyle name="20% - Accent2 14_Volatility" xfId="3183"/>
    <cellStyle name="20% - Accent2 15" xfId="3184"/>
    <cellStyle name="20% - Accent2 15 10" xfId="3185"/>
    <cellStyle name="20% - Accent2 15 2" xfId="3186"/>
    <cellStyle name="20% - Accent2 15 2 2" xfId="3187"/>
    <cellStyle name="20% - Accent2 15 2 2 2" xfId="3188"/>
    <cellStyle name="20% - Accent2 15 2 2 2 2" xfId="3189"/>
    <cellStyle name="20% - Accent2 15 2 2 2 3" xfId="3190"/>
    <cellStyle name="20% - Accent2 15 2 2 3" xfId="3191"/>
    <cellStyle name="20% - Accent2 15 2 2 3 2" xfId="3192"/>
    <cellStyle name="20% - Accent2 15 2 2 3 3" xfId="3193"/>
    <cellStyle name="20% - Accent2 15 2 2 4" xfId="3194"/>
    <cellStyle name="20% - Accent2 15 2 2 5" xfId="3195"/>
    <cellStyle name="20% - Accent2 15 2 3" xfId="3196"/>
    <cellStyle name="20% - Accent2 15 2 3 2" xfId="3197"/>
    <cellStyle name="20% - Accent2 15 2 3 2 2" xfId="3198"/>
    <cellStyle name="20% - Accent2 15 2 3 2 3" xfId="3199"/>
    <cellStyle name="20% - Accent2 15 2 3 3" xfId="3200"/>
    <cellStyle name="20% - Accent2 15 2 3 3 2" xfId="3201"/>
    <cellStyle name="20% - Accent2 15 2 3 3 3" xfId="3202"/>
    <cellStyle name="20% - Accent2 15 2 3 4" xfId="3203"/>
    <cellStyle name="20% - Accent2 15 2 3 5" xfId="3204"/>
    <cellStyle name="20% - Accent2 15 2 4" xfId="3205"/>
    <cellStyle name="20% - Accent2 15 2 4 2" xfId="3206"/>
    <cellStyle name="20% - Accent2 15 2 4 2 2" xfId="3207"/>
    <cellStyle name="20% - Accent2 15 2 4 2 3" xfId="3208"/>
    <cellStyle name="20% - Accent2 15 2 4 3" xfId="3209"/>
    <cellStyle name="20% - Accent2 15 2 4 3 2" xfId="3210"/>
    <cellStyle name="20% - Accent2 15 2 4 3 3" xfId="3211"/>
    <cellStyle name="20% - Accent2 15 2 4 4" xfId="3212"/>
    <cellStyle name="20% - Accent2 15 2 4 5" xfId="3213"/>
    <cellStyle name="20% - Accent2 15 2 5" xfId="3214"/>
    <cellStyle name="20% - Accent2 15 2 5 2" xfId="3215"/>
    <cellStyle name="20% - Accent2 15 2 5 3" xfId="3216"/>
    <cellStyle name="20% - Accent2 15 2 6" xfId="3217"/>
    <cellStyle name="20% - Accent2 15 2 6 2" xfId="3218"/>
    <cellStyle name="20% - Accent2 15 2 6 3" xfId="3219"/>
    <cellStyle name="20% - Accent2 15 2 7" xfId="3220"/>
    <cellStyle name="20% - Accent2 15 2 8" xfId="3221"/>
    <cellStyle name="20% - Accent2 15 2_Volatility" xfId="3222"/>
    <cellStyle name="20% - Accent2 15 3" xfId="3223"/>
    <cellStyle name="20% - Accent2 15 3 2" xfId="3224"/>
    <cellStyle name="20% - Accent2 15 3 2 2" xfId="3225"/>
    <cellStyle name="20% - Accent2 15 3 2 2 2" xfId="3226"/>
    <cellStyle name="20% - Accent2 15 3 2 2 3" xfId="3227"/>
    <cellStyle name="20% - Accent2 15 3 2 3" xfId="3228"/>
    <cellStyle name="20% - Accent2 15 3 2 3 2" xfId="3229"/>
    <cellStyle name="20% - Accent2 15 3 2 3 3" xfId="3230"/>
    <cellStyle name="20% - Accent2 15 3 2 4" xfId="3231"/>
    <cellStyle name="20% - Accent2 15 3 2 5" xfId="3232"/>
    <cellStyle name="20% - Accent2 15 3 3" xfId="3233"/>
    <cellStyle name="20% - Accent2 15 3 3 2" xfId="3234"/>
    <cellStyle name="20% - Accent2 15 3 3 2 2" xfId="3235"/>
    <cellStyle name="20% - Accent2 15 3 3 2 3" xfId="3236"/>
    <cellStyle name="20% - Accent2 15 3 3 3" xfId="3237"/>
    <cellStyle name="20% - Accent2 15 3 3 3 2" xfId="3238"/>
    <cellStyle name="20% - Accent2 15 3 3 3 3" xfId="3239"/>
    <cellStyle name="20% - Accent2 15 3 3 4" xfId="3240"/>
    <cellStyle name="20% - Accent2 15 3 3 5" xfId="3241"/>
    <cellStyle name="20% - Accent2 15 3 4" xfId="3242"/>
    <cellStyle name="20% - Accent2 15 3 4 2" xfId="3243"/>
    <cellStyle name="20% - Accent2 15 3 4 3" xfId="3244"/>
    <cellStyle name="20% - Accent2 15 3 5" xfId="3245"/>
    <cellStyle name="20% - Accent2 15 3 5 2" xfId="3246"/>
    <cellStyle name="20% - Accent2 15 3 5 3" xfId="3247"/>
    <cellStyle name="20% - Accent2 15 3 6" xfId="3248"/>
    <cellStyle name="20% - Accent2 15 3 7" xfId="3249"/>
    <cellStyle name="20% - Accent2 15 3_Volatility" xfId="3250"/>
    <cellStyle name="20% - Accent2 15 4" xfId="3251"/>
    <cellStyle name="20% - Accent2 15 4 2" xfId="3252"/>
    <cellStyle name="20% - Accent2 15 4 2 2" xfId="3253"/>
    <cellStyle name="20% - Accent2 15 4 2 3" xfId="3254"/>
    <cellStyle name="20% - Accent2 15 4 3" xfId="3255"/>
    <cellStyle name="20% - Accent2 15 4 3 2" xfId="3256"/>
    <cellStyle name="20% - Accent2 15 4 3 3" xfId="3257"/>
    <cellStyle name="20% - Accent2 15 4 4" xfId="3258"/>
    <cellStyle name="20% - Accent2 15 4 5" xfId="3259"/>
    <cellStyle name="20% - Accent2 15 5" xfId="3260"/>
    <cellStyle name="20% - Accent2 15 5 2" xfId="3261"/>
    <cellStyle name="20% - Accent2 15 5 2 2" xfId="3262"/>
    <cellStyle name="20% - Accent2 15 5 2 3" xfId="3263"/>
    <cellStyle name="20% - Accent2 15 5 3" xfId="3264"/>
    <cellStyle name="20% - Accent2 15 5 3 2" xfId="3265"/>
    <cellStyle name="20% - Accent2 15 5 3 3" xfId="3266"/>
    <cellStyle name="20% - Accent2 15 5 4" xfId="3267"/>
    <cellStyle name="20% - Accent2 15 5 5" xfId="3268"/>
    <cellStyle name="20% - Accent2 15 6" xfId="3269"/>
    <cellStyle name="20% - Accent2 15 6 2" xfId="3270"/>
    <cellStyle name="20% - Accent2 15 6 2 2" xfId="3271"/>
    <cellStyle name="20% - Accent2 15 6 2 3" xfId="3272"/>
    <cellStyle name="20% - Accent2 15 6 3" xfId="3273"/>
    <cellStyle name="20% - Accent2 15 6 3 2" xfId="3274"/>
    <cellStyle name="20% - Accent2 15 6 3 3" xfId="3275"/>
    <cellStyle name="20% - Accent2 15 6 4" xfId="3276"/>
    <cellStyle name="20% - Accent2 15 6 5" xfId="3277"/>
    <cellStyle name="20% - Accent2 15 7" xfId="3278"/>
    <cellStyle name="20% - Accent2 15 7 2" xfId="3279"/>
    <cellStyle name="20% - Accent2 15 7 3" xfId="3280"/>
    <cellStyle name="20% - Accent2 15 8" xfId="3281"/>
    <cellStyle name="20% - Accent2 15 8 2" xfId="3282"/>
    <cellStyle name="20% - Accent2 15 8 3" xfId="3283"/>
    <cellStyle name="20% - Accent2 15 9" xfId="3284"/>
    <cellStyle name="20% - Accent2 15_Volatility" xfId="3285"/>
    <cellStyle name="20% - Accent2 16" xfId="3286"/>
    <cellStyle name="20% - Accent2 16 2" xfId="3287"/>
    <cellStyle name="20% - Accent2 16 3" xfId="3288"/>
    <cellStyle name="20% - Accent2 17" xfId="3289"/>
    <cellStyle name="20% - Accent2 17 2" xfId="3290"/>
    <cellStyle name="20% - Accent2 17 3" xfId="3291"/>
    <cellStyle name="20% - Accent2 18" xfId="3292"/>
    <cellStyle name="20% - Accent2 18 2" xfId="3293"/>
    <cellStyle name="20% - Accent2 18 3" xfId="3294"/>
    <cellStyle name="20% - Accent2 19" xfId="3295"/>
    <cellStyle name="20% - Accent2 19 2" xfId="3296"/>
    <cellStyle name="20% - Accent2 19 3" xfId="3297"/>
    <cellStyle name="20% - Accent2 2" xfId="3298"/>
    <cellStyle name="20% - Accent2 2 10" xfId="3299"/>
    <cellStyle name="20% - Accent2 2 2" xfId="3300"/>
    <cellStyle name="20% - Accent2 2 2 2" xfId="3301"/>
    <cellStyle name="20% - Accent2 2 2 2 2" xfId="3302"/>
    <cellStyle name="20% - Accent2 2 2 2 2 2" xfId="3303"/>
    <cellStyle name="20% - Accent2 2 2 2 2 3" xfId="3304"/>
    <cellStyle name="20% - Accent2 2 2 2 3" xfId="3305"/>
    <cellStyle name="20% - Accent2 2 2 2 3 2" xfId="3306"/>
    <cellStyle name="20% - Accent2 2 2 2 3 3" xfId="3307"/>
    <cellStyle name="20% - Accent2 2 2 2 4" xfId="3308"/>
    <cellStyle name="20% - Accent2 2 2 2 5" xfId="3309"/>
    <cellStyle name="20% - Accent2 2 2 3" xfId="3310"/>
    <cellStyle name="20% - Accent2 2 2 3 2" xfId="3311"/>
    <cellStyle name="20% - Accent2 2 2 3 2 2" xfId="3312"/>
    <cellStyle name="20% - Accent2 2 2 3 2 3" xfId="3313"/>
    <cellStyle name="20% - Accent2 2 2 3 3" xfId="3314"/>
    <cellStyle name="20% - Accent2 2 2 3 3 2" xfId="3315"/>
    <cellStyle name="20% - Accent2 2 2 3 3 3" xfId="3316"/>
    <cellStyle name="20% - Accent2 2 2 3 4" xfId="3317"/>
    <cellStyle name="20% - Accent2 2 2 3 5" xfId="3318"/>
    <cellStyle name="20% - Accent2 2 2 4" xfId="3319"/>
    <cellStyle name="20% - Accent2 2 2 4 2" xfId="3320"/>
    <cellStyle name="20% - Accent2 2 2 4 2 2" xfId="3321"/>
    <cellStyle name="20% - Accent2 2 2 4 2 3" xfId="3322"/>
    <cellStyle name="20% - Accent2 2 2 4 3" xfId="3323"/>
    <cellStyle name="20% - Accent2 2 2 4 3 2" xfId="3324"/>
    <cellStyle name="20% - Accent2 2 2 4 3 3" xfId="3325"/>
    <cellStyle name="20% - Accent2 2 2 4 4" xfId="3326"/>
    <cellStyle name="20% - Accent2 2 2 4 5" xfId="3327"/>
    <cellStyle name="20% - Accent2 2 2 5" xfId="3328"/>
    <cellStyle name="20% - Accent2 2 2 5 2" xfId="3329"/>
    <cellStyle name="20% - Accent2 2 2 5 3" xfId="3330"/>
    <cellStyle name="20% - Accent2 2 2 6" xfId="3331"/>
    <cellStyle name="20% - Accent2 2 2 6 2" xfId="3332"/>
    <cellStyle name="20% - Accent2 2 2 6 3" xfId="3333"/>
    <cellStyle name="20% - Accent2 2 2 7" xfId="3334"/>
    <cellStyle name="20% - Accent2 2 2 8" xfId="3335"/>
    <cellStyle name="20% - Accent2 2 2_Volatility" xfId="3336"/>
    <cellStyle name="20% - Accent2 2 3" xfId="3337"/>
    <cellStyle name="20% - Accent2 2 3 2" xfId="3338"/>
    <cellStyle name="20% - Accent2 2 3 2 2" xfId="3339"/>
    <cellStyle name="20% - Accent2 2 3 2 2 2" xfId="3340"/>
    <cellStyle name="20% - Accent2 2 3 2 2 3" xfId="3341"/>
    <cellStyle name="20% - Accent2 2 3 2 3" xfId="3342"/>
    <cellStyle name="20% - Accent2 2 3 2 3 2" xfId="3343"/>
    <cellStyle name="20% - Accent2 2 3 2 3 3" xfId="3344"/>
    <cellStyle name="20% - Accent2 2 3 2 4" xfId="3345"/>
    <cellStyle name="20% - Accent2 2 3 2 5" xfId="3346"/>
    <cellStyle name="20% - Accent2 2 3 3" xfId="3347"/>
    <cellStyle name="20% - Accent2 2 3 3 2" xfId="3348"/>
    <cellStyle name="20% - Accent2 2 3 3 2 2" xfId="3349"/>
    <cellStyle name="20% - Accent2 2 3 3 2 3" xfId="3350"/>
    <cellStyle name="20% - Accent2 2 3 3 3" xfId="3351"/>
    <cellStyle name="20% - Accent2 2 3 3 3 2" xfId="3352"/>
    <cellStyle name="20% - Accent2 2 3 3 3 3" xfId="3353"/>
    <cellStyle name="20% - Accent2 2 3 3 4" xfId="3354"/>
    <cellStyle name="20% - Accent2 2 3 3 5" xfId="3355"/>
    <cellStyle name="20% - Accent2 2 3 4" xfId="3356"/>
    <cellStyle name="20% - Accent2 2 3 4 2" xfId="3357"/>
    <cellStyle name="20% - Accent2 2 3 4 3" xfId="3358"/>
    <cellStyle name="20% - Accent2 2 3 5" xfId="3359"/>
    <cellStyle name="20% - Accent2 2 3 5 2" xfId="3360"/>
    <cellStyle name="20% - Accent2 2 3 5 3" xfId="3361"/>
    <cellStyle name="20% - Accent2 2 3 6" xfId="3362"/>
    <cellStyle name="20% - Accent2 2 3 7" xfId="3363"/>
    <cellStyle name="20% - Accent2 2 3_Volatility" xfId="3364"/>
    <cellStyle name="20% - Accent2 2 4" xfId="3365"/>
    <cellStyle name="20% - Accent2 2 4 2" xfId="3366"/>
    <cellStyle name="20% - Accent2 2 4 2 2" xfId="3367"/>
    <cellStyle name="20% - Accent2 2 4 2 3" xfId="3368"/>
    <cellStyle name="20% - Accent2 2 4 3" xfId="3369"/>
    <cellStyle name="20% - Accent2 2 4 3 2" xfId="3370"/>
    <cellStyle name="20% - Accent2 2 4 3 3" xfId="3371"/>
    <cellStyle name="20% - Accent2 2 4 4" xfId="3372"/>
    <cellStyle name="20% - Accent2 2 4 5" xfId="3373"/>
    <cellStyle name="20% - Accent2 2 5" xfId="3374"/>
    <cellStyle name="20% - Accent2 2 5 2" xfId="3375"/>
    <cellStyle name="20% - Accent2 2 5 2 2" xfId="3376"/>
    <cellStyle name="20% - Accent2 2 5 2 3" xfId="3377"/>
    <cellStyle name="20% - Accent2 2 5 3" xfId="3378"/>
    <cellStyle name="20% - Accent2 2 5 3 2" xfId="3379"/>
    <cellStyle name="20% - Accent2 2 5 3 3" xfId="3380"/>
    <cellStyle name="20% - Accent2 2 5 4" xfId="3381"/>
    <cellStyle name="20% - Accent2 2 5 5" xfId="3382"/>
    <cellStyle name="20% - Accent2 2 6" xfId="3383"/>
    <cellStyle name="20% - Accent2 2 6 2" xfId="3384"/>
    <cellStyle name="20% - Accent2 2 6 2 2" xfId="3385"/>
    <cellStyle name="20% - Accent2 2 6 2 3" xfId="3386"/>
    <cellStyle name="20% - Accent2 2 6 3" xfId="3387"/>
    <cellStyle name="20% - Accent2 2 6 3 2" xfId="3388"/>
    <cellStyle name="20% - Accent2 2 6 3 3" xfId="3389"/>
    <cellStyle name="20% - Accent2 2 6 4" xfId="3390"/>
    <cellStyle name="20% - Accent2 2 6 5" xfId="3391"/>
    <cellStyle name="20% - Accent2 2 7" xfId="3392"/>
    <cellStyle name="20% - Accent2 2 7 2" xfId="3393"/>
    <cellStyle name="20% - Accent2 2 7 3" xfId="3394"/>
    <cellStyle name="20% - Accent2 2 8" xfId="3395"/>
    <cellStyle name="20% - Accent2 2 8 2" xfId="3396"/>
    <cellStyle name="20% - Accent2 2 8 3" xfId="3397"/>
    <cellStyle name="20% - Accent2 2 9" xfId="3398"/>
    <cellStyle name="20% - Accent2 2_Volatility" xfId="3399"/>
    <cellStyle name="20% - Accent2 3" xfId="3400"/>
    <cellStyle name="20% - Accent2 3 10" xfId="3401"/>
    <cellStyle name="20% - Accent2 3 2" xfId="3402"/>
    <cellStyle name="20% - Accent2 3 2 2" xfId="3403"/>
    <cellStyle name="20% - Accent2 3 2 2 2" xfId="3404"/>
    <cellStyle name="20% - Accent2 3 2 2 2 2" xfId="3405"/>
    <cellStyle name="20% - Accent2 3 2 2 2 3" xfId="3406"/>
    <cellStyle name="20% - Accent2 3 2 2 3" xfId="3407"/>
    <cellStyle name="20% - Accent2 3 2 2 3 2" xfId="3408"/>
    <cellStyle name="20% - Accent2 3 2 2 3 3" xfId="3409"/>
    <cellStyle name="20% - Accent2 3 2 2 4" xfId="3410"/>
    <cellStyle name="20% - Accent2 3 2 2 5" xfId="3411"/>
    <cellStyle name="20% - Accent2 3 2 3" xfId="3412"/>
    <cellStyle name="20% - Accent2 3 2 3 2" xfId="3413"/>
    <cellStyle name="20% - Accent2 3 2 3 2 2" xfId="3414"/>
    <cellStyle name="20% - Accent2 3 2 3 2 3" xfId="3415"/>
    <cellStyle name="20% - Accent2 3 2 3 3" xfId="3416"/>
    <cellStyle name="20% - Accent2 3 2 3 3 2" xfId="3417"/>
    <cellStyle name="20% - Accent2 3 2 3 3 3" xfId="3418"/>
    <cellStyle name="20% - Accent2 3 2 3 4" xfId="3419"/>
    <cellStyle name="20% - Accent2 3 2 3 5" xfId="3420"/>
    <cellStyle name="20% - Accent2 3 2 4" xfId="3421"/>
    <cellStyle name="20% - Accent2 3 2 4 2" xfId="3422"/>
    <cellStyle name="20% - Accent2 3 2 4 2 2" xfId="3423"/>
    <cellStyle name="20% - Accent2 3 2 4 2 3" xfId="3424"/>
    <cellStyle name="20% - Accent2 3 2 4 3" xfId="3425"/>
    <cellStyle name="20% - Accent2 3 2 4 3 2" xfId="3426"/>
    <cellStyle name="20% - Accent2 3 2 4 3 3" xfId="3427"/>
    <cellStyle name="20% - Accent2 3 2 4 4" xfId="3428"/>
    <cellStyle name="20% - Accent2 3 2 4 5" xfId="3429"/>
    <cellStyle name="20% - Accent2 3 2 5" xfId="3430"/>
    <cellStyle name="20% - Accent2 3 2 5 2" xfId="3431"/>
    <cellStyle name="20% - Accent2 3 2 5 3" xfId="3432"/>
    <cellStyle name="20% - Accent2 3 2 6" xfId="3433"/>
    <cellStyle name="20% - Accent2 3 2 6 2" xfId="3434"/>
    <cellStyle name="20% - Accent2 3 2 6 3" xfId="3435"/>
    <cellStyle name="20% - Accent2 3 2 7" xfId="3436"/>
    <cellStyle name="20% - Accent2 3 2 8" xfId="3437"/>
    <cellStyle name="20% - Accent2 3 2_Volatility" xfId="3438"/>
    <cellStyle name="20% - Accent2 3 3" xfId="3439"/>
    <cellStyle name="20% - Accent2 3 3 2" xfId="3440"/>
    <cellStyle name="20% - Accent2 3 3 2 2" xfId="3441"/>
    <cellStyle name="20% - Accent2 3 3 2 2 2" xfId="3442"/>
    <cellStyle name="20% - Accent2 3 3 2 2 3" xfId="3443"/>
    <cellStyle name="20% - Accent2 3 3 2 3" xfId="3444"/>
    <cellStyle name="20% - Accent2 3 3 2 3 2" xfId="3445"/>
    <cellStyle name="20% - Accent2 3 3 2 3 3" xfId="3446"/>
    <cellStyle name="20% - Accent2 3 3 2 4" xfId="3447"/>
    <cellStyle name="20% - Accent2 3 3 2 5" xfId="3448"/>
    <cellStyle name="20% - Accent2 3 3 3" xfId="3449"/>
    <cellStyle name="20% - Accent2 3 3 3 2" xfId="3450"/>
    <cellStyle name="20% - Accent2 3 3 3 2 2" xfId="3451"/>
    <cellStyle name="20% - Accent2 3 3 3 2 3" xfId="3452"/>
    <cellStyle name="20% - Accent2 3 3 3 3" xfId="3453"/>
    <cellStyle name="20% - Accent2 3 3 3 3 2" xfId="3454"/>
    <cellStyle name="20% - Accent2 3 3 3 3 3" xfId="3455"/>
    <cellStyle name="20% - Accent2 3 3 3 4" xfId="3456"/>
    <cellStyle name="20% - Accent2 3 3 3 5" xfId="3457"/>
    <cellStyle name="20% - Accent2 3 3 4" xfId="3458"/>
    <cellStyle name="20% - Accent2 3 3 4 2" xfId="3459"/>
    <cellStyle name="20% - Accent2 3 3 4 3" xfId="3460"/>
    <cellStyle name="20% - Accent2 3 3 5" xfId="3461"/>
    <cellStyle name="20% - Accent2 3 3 5 2" xfId="3462"/>
    <cellStyle name="20% - Accent2 3 3 5 3" xfId="3463"/>
    <cellStyle name="20% - Accent2 3 3 6" xfId="3464"/>
    <cellStyle name="20% - Accent2 3 3 7" xfId="3465"/>
    <cellStyle name="20% - Accent2 3 3_Volatility" xfId="3466"/>
    <cellStyle name="20% - Accent2 3 4" xfId="3467"/>
    <cellStyle name="20% - Accent2 3 4 2" xfId="3468"/>
    <cellStyle name="20% - Accent2 3 4 2 2" xfId="3469"/>
    <cellStyle name="20% - Accent2 3 4 2 3" xfId="3470"/>
    <cellStyle name="20% - Accent2 3 4 3" xfId="3471"/>
    <cellStyle name="20% - Accent2 3 4 3 2" xfId="3472"/>
    <cellStyle name="20% - Accent2 3 4 3 3" xfId="3473"/>
    <cellStyle name="20% - Accent2 3 4 4" xfId="3474"/>
    <cellStyle name="20% - Accent2 3 4 5" xfId="3475"/>
    <cellStyle name="20% - Accent2 3 5" xfId="3476"/>
    <cellStyle name="20% - Accent2 3 5 2" xfId="3477"/>
    <cellStyle name="20% - Accent2 3 5 2 2" xfId="3478"/>
    <cellStyle name="20% - Accent2 3 5 2 3" xfId="3479"/>
    <cellStyle name="20% - Accent2 3 5 3" xfId="3480"/>
    <cellStyle name="20% - Accent2 3 5 3 2" xfId="3481"/>
    <cellStyle name="20% - Accent2 3 5 3 3" xfId="3482"/>
    <cellStyle name="20% - Accent2 3 5 4" xfId="3483"/>
    <cellStyle name="20% - Accent2 3 5 5" xfId="3484"/>
    <cellStyle name="20% - Accent2 3 6" xfId="3485"/>
    <cellStyle name="20% - Accent2 3 6 2" xfId="3486"/>
    <cellStyle name="20% - Accent2 3 6 2 2" xfId="3487"/>
    <cellStyle name="20% - Accent2 3 6 2 3" xfId="3488"/>
    <cellStyle name="20% - Accent2 3 6 3" xfId="3489"/>
    <cellStyle name="20% - Accent2 3 6 3 2" xfId="3490"/>
    <cellStyle name="20% - Accent2 3 6 3 3" xfId="3491"/>
    <cellStyle name="20% - Accent2 3 6 4" xfId="3492"/>
    <cellStyle name="20% - Accent2 3 6 5" xfId="3493"/>
    <cellStyle name="20% - Accent2 3 7" xfId="3494"/>
    <cellStyle name="20% - Accent2 3 7 2" xfId="3495"/>
    <cellStyle name="20% - Accent2 3 7 3" xfId="3496"/>
    <cellStyle name="20% - Accent2 3 8" xfId="3497"/>
    <cellStyle name="20% - Accent2 3 8 2" xfId="3498"/>
    <cellStyle name="20% - Accent2 3 8 3" xfId="3499"/>
    <cellStyle name="20% - Accent2 3 9" xfId="3500"/>
    <cellStyle name="20% - Accent2 3_Volatility" xfId="3501"/>
    <cellStyle name="20% - Accent2 4" xfId="3502"/>
    <cellStyle name="20% - Accent2 4 10" xfId="3503"/>
    <cellStyle name="20% - Accent2 4 2" xfId="3504"/>
    <cellStyle name="20% - Accent2 4 2 2" xfId="3505"/>
    <cellStyle name="20% - Accent2 4 2 2 2" xfId="3506"/>
    <cellStyle name="20% - Accent2 4 2 2 2 2" xfId="3507"/>
    <cellStyle name="20% - Accent2 4 2 2 2 3" xfId="3508"/>
    <cellStyle name="20% - Accent2 4 2 2 3" xfId="3509"/>
    <cellStyle name="20% - Accent2 4 2 2 3 2" xfId="3510"/>
    <cellStyle name="20% - Accent2 4 2 2 3 3" xfId="3511"/>
    <cellStyle name="20% - Accent2 4 2 2 4" xfId="3512"/>
    <cellStyle name="20% - Accent2 4 2 2 5" xfId="3513"/>
    <cellStyle name="20% - Accent2 4 2 3" xfId="3514"/>
    <cellStyle name="20% - Accent2 4 2 3 2" xfId="3515"/>
    <cellStyle name="20% - Accent2 4 2 3 2 2" xfId="3516"/>
    <cellStyle name="20% - Accent2 4 2 3 2 3" xfId="3517"/>
    <cellStyle name="20% - Accent2 4 2 3 3" xfId="3518"/>
    <cellStyle name="20% - Accent2 4 2 3 3 2" xfId="3519"/>
    <cellStyle name="20% - Accent2 4 2 3 3 3" xfId="3520"/>
    <cellStyle name="20% - Accent2 4 2 3 4" xfId="3521"/>
    <cellStyle name="20% - Accent2 4 2 3 5" xfId="3522"/>
    <cellStyle name="20% - Accent2 4 2 4" xfId="3523"/>
    <cellStyle name="20% - Accent2 4 2 4 2" xfId="3524"/>
    <cellStyle name="20% - Accent2 4 2 4 2 2" xfId="3525"/>
    <cellStyle name="20% - Accent2 4 2 4 2 3" xfId="3526"/>
    <cellStyle name="20% - Accent2 4 2 4 3" xfId="3527"/>
    <cellStyle name="20% - Accent2 4 2 4 3 2" xfId="3528"/>
    <cellStyle name="20% - Accent2 4 2 4 3 3" xfId="3529"/>
    <cellStyle name="20% - Accent2 4 2 4 4" xfId="3530"/>
    <cellStyle name="20% - Accent2 4 2 4 5" xfId="3531"/>
    <cellStyle name="20% - Accent2 4 2 5" xfId="3532"/>
    <cellStyle name="20% - Accent2 4 2 5 2" xfId="3533"/>
    <cellStyle name="20% - Accent2 4 2 5 3" xfId="3534"/>
    <cellStyle name="20% - Accent2 4 2 6" xfId="3535"/>
    <cellStyle name="20% - Accent2 4 2 6 2" xfId="3536"/>
    <cellStyle name="20% - Accent2 4 2 6 3" xfId="3537"/>
    <cellStyle name="20% - Accent2 4 2 7" xfId="3538"/>
    <cellStyle name="20% - Accent2 4 2 8" xfId="3539"/>
    <cellStyle name="20% - Accent2 4 2_Volatility" xfId="3540"/>
    <cellStyle name="20% - Accent2 4 3" xfId="3541"/>
    <cellStyle name="20% - Accent2 4 3 2" xfId="3542"/>
    <cellStyle name="20% - Accent2 4 3 2 2" xfId="3543"/>
    <cellStyle name="20% - Accent2 4 3 2 2 2" xfId="3544"/>
    <cellStyle name="20% - Accent2 4 3 2 2 3" xfId="3545"/>
    <cellStyle name="20% - Accent2 4 3 2 3" xfId="3546"/>
    <cellStyle name="20% - Accent2 4 3 2 3 2" xfId="3547"/>
    <cellStyle name="20% - Accent2 4 3 2 3 3" xfId="3548"/>
    <cellStyle name="20% - Accent2 4 3 2 4" xfId="3549"/>
    <cellStyle name="20% - Accent2 4 3 2 5" xfId="3550"/>
    <cellStyle name="20% - Accent2 4 3 3" xfId="3551"/>
    <cellStyle name="20% - Accent2 4 3 3 2" xfId="3552"/>
    <cellStyle name="20% - Accent2 4 3 3 2 2" xfId="3553"/>
    <cellStyle name="20% - Accent2 4 3 3 2 3" xfId="3554"/>
    <cellStyle name="20% - Accent2 4 3 3 3" xfId="3555"/>
    <cellStyle name="20% - Accent2 4 3 3 3 2" xfId="3556"/>
    <cellStyle name="20% - Accent2 4 3 3 3 3" xfId="3557"/>
    <cellStyle name="20% - Accent2 4 3 3 4" xfId="3558"/>
    <cellStyle name="20% - Accent2 4 3 3 5" xfId="3559"/>
    <cellStyle name="20% - Accent2 4 3 4" xfId="3560"/>
    <cellStyle name="20% - Accent2 4 3 4 2" xfId="3561"/>
    <cellStyle name="20% - Accent2 4 3 4 3" xfId="3562"/>
    <cellStyle name="20% - Accent2 4 3 5" xfId="3563"/>
    <cellStyle name="20% - Accent2 4 3 5 2" xfId="3564"/>
    <cellStyle name="20% - Accent2 4 3 5 3" xfId="3565"/>
    <cellStyle name="20% - Accent2 4 3 6" xfId="3566"/>
    <cellStyle name="20% - Accent2 4 3 7" xfId="3567"/>
    <cellStyle name="20% - Accent2 4 3_Volatility" xfId="3568"/>
    <cellStyle name="20% - Accent2 4 4" xfId="3569"/>
    <cellStyle name="20% - Accent2 4 4 2" xfId="3570"/>
    <cellStyle name="20% - Accent2 4 4 2 2" xfId="3571"/>
    <cellStyle name="20% - Accent2 4 4 2 3" xfId="3572"/>
    <cellStyle name="20% - Accent2 4 4 3" xfId="3573"/>
    <cellStyle name="20% - Accent2 4 4 3 2" xfId="3574"/>
    <cellStyle name="20% - Accent2 4 4 3 3" xfId="3575"/>
    <cellStyle name="20% - Accent2 4 4 4" xfId="3576"/>
    <cellStyle name="20% - Accent2 4 4 5" xfId="3577"/>
    <cellStyle name="20% - Accent2 4 5" xfId="3578"/>
    <cellStyle name="20% - Accent2 4 5 2" xfId="3579"/>
    <cellStyle name="20% - Accent2 4 5 2 2" xfId="3580"/>
    <cellStyle name="20% - Accent2 4 5 2 3" xfId="3581"/>
    <cellStyle name="20% - Accent2 4 5 3" xfId="3582"/>
    <cellStyle name="20% - Accent2 4 5 3 2" xfId="3583"/>
    <cellStyle name="20% - Accent2 4 5 3 3" xfId="3584"/>
    <cellStyle name="20% - Accent2 4 5 4" xfId="3585"/>
    <cellStyle name="20% - Accent2 4 5 5" xfId="3586"/>
    <cellStyle name="20% - Accent2 4 6" xfId="3587"/>
    <cellStyle name="20% - Accent2 4 6 2" xfId="3588"/>
    <cellStyle name="20% - Accent2 4 6 2 2" xfId="3589"/>
    <cellStyle name="20% - Accent2 4 6 2 3" xfId="3590"/>
    <cellStyle name="20% - Accent2 4 6 3" xfId="3591"/>
    <cellStyle name="20% - Accent2 4 6 3 2" xfId="3592"/>
    <cellStyle name="20% - Accent2 4 6 3 3" xfId="3593"/>
    <cellStyle name="20% - Accent2 4 6 4" xfId="3594"/>
    <cellStyle name="20% - Accent2 4 6 5" xfId="3595"/>
    <cellStyle name="20% - Accent2 4 7" xfId="3596"/>
    <cellStyle name="20% - Accent2 4 7 2" xfId="3597"/>
    <cellStyle name="20% - Accent2 4 7 3" xfId="3598"/>
    <cellStyle name="20% - Accent2 4 8" xfId="3599"/>
    <cellStyle name="20% - Accent2 4 8 2" xfId="3600"/>
    <cellStyle name="20% - Accent2 4 8 3" xfId="3601"/>
    <cellStyle name="20% - Accent2 4 9" xfId="3602"/>
    <cellStyle name="20% - Accent2 4_Volatility" xfId="3603"/>
    <cellStyle name="20% - Accent2 5" xfId="3604"/>
    <cellStyle name="20% - Accent2 5 10" xfId="3605"/>
    <cellStyle name="20% - Accent2 5 2" xfId="3606"/>
    <cellStyle name="20% - Accent2 5 2 2" xfId="3607"/>
    <cellStyle name="20% - Accent2 5 2 2 2" xfId="3608"/>
    <cellStyle name="20% - Accent2 5 2 2 2 2" xfId="3609"/>
    <cellStyle name="20% - Accent2 5 2 2 2 3" xfId="3610"/>
    <cellStyle name="20% - Accent2 5 2 2 3" xfId="3611"/>
    <cellStyle name="20% - Accent2 5 2 2 3 2" xfId="3612"/>
    <cellStyle name="20% - Accent2 5 2 2 3 3" xfId="3613"/>
    <cellStyle name="20% - Accent2 5 2 2 4" xfId="3614"/>
    <cellStyle name="20% - Accent2 5 2 2 5" xfId="3615"/>
    <cellStyle name="20% - Accent2 5 2 3" xfId="3616"/>
    <cellStyle name="20% - Accent2 5 2 3 2" xfId="3617"/>
    <cellStyle name="20% - Accent2 5 2 3 2 2" xfId="3618"/>
    <cellStyle name="20% - Accent2 5 2 3 2 3" xfId="3619"/>
    <cellStyle name="20% - Accent2 5 2 3 3" xfId="3620"/>
    <cellStyle name="20% - Accent2 5 2 3 3 2" xfId="3621"/>
    <cellStyle name="20% - Accent2 5 2 3 3 3" xfId="3622"/>
    <cellStyle name="20% - Accent2 5 2 3 4" xfId="3623"/>
    <cellStyle name="20% - Accent2 5 2 3 5" xfId="3624"/>
    <cellStyle name="20% - Accent2 5 2 4" xfId="3625"/>
    <cellStyle name="20% - Accent2 5 2 4 2" xfId="3626"/>
    <cellStyle name="20% - Accent2 5 2 4 2 2" xfId="3627"/>
    <cellStyle name="20% - Accent2 5 2 4 2 3" xfId="3628"/>
    <cellStyle name="20% - Accent2 5 2 4 3" xfId="3629"/>
    <cellStyle name="20% - Accent2 5 2 4 3 2" xfId="3630"/>
    <cellStyle name="20% - Accent2 5 2 4 3 3" xfId="3631"/>
    <cellStyle name="20% - Accent2 5 2 4 4" xfId="3632"/>
    <cellStyle name="20% - Accent2 5 2 4 5" xfId="3633"/>
    <cellStyle name="20% - Accent2 5 2 5" xfId="3634"/>
    <cellStyle name="20% - Accent2 5 2 5 2" xfId="3635"/>
    <cellStyle name="20% - Accent2 5 2 5 3" xfId="3636"/>
    <cellStyle name="20% - Accent2 5 2 6" xfId="3637"/>
    <cellStyle name="20% - Accent2 5 2 6 2" xfId="3638"/>
    <cellStyle name="20% - Accent2 5 2 6 3" xfId="3639"/>
    <cellStyle name="20% - Accent2 5 2 7" xfId="3640"/>
    <cellStyle name="20% - Accent2 5 2 8" xfId="3641"/>
    <cellStyle name="20% - Accent2 5 2_Volatility" xfId="3642"/>
    <cellStyle name="20% - Accent2 5 3" xfId="3643"/>
    <cellStyle name="20% - Accent2 5 3 2" xfId="3644"/>
    <cellStyle name="20% - Accent2 5 3 2 2" xfId="3645"/>
    <cellStyle name="20% - Accent2 5 3 2 2 2" xfId="3646"/>
    <cellStyle name="20% - Accent2 5 3 2 2 3" xfId="3647"/>
    <cellStyle name="20% - Accent2 5 3 2 3" xfId="3648"/>
    <cellStyle name="20% - Accent2 5 3 2 3 2" xfId="3649"/>
    <cellStyle name="20% - Accent2 5 3 2 3 3" xfId="3650"/>
    <cellStyle name="20% - Accent2 5 3 2 4" xfId="3651"/>
    <cellStyle name="20% - Accent2 5 3 2 5" xfId="3652"/>
    <cellStyle name="20% - Accent2 5 3 3" xfId="3653"/>
    <cellStyle name="20% - Accent2 5 3 3 2" xfId="3654"/>
    <cellStyle name="20% - Accent2 5 3 3 2 2" xfId="3655"/>
    <cellStyle name="20% - Accent2 5 3 3 2 3" xfId="3656"/>
    <cellStyle name="20% - Accent2 5 3 3 3" xfId="3657"/>
    <cellStyle name="20% - Accent2 5 3 3 3 2" xfId="3658"/>
    <cellStyle name="20% - Accent2 5 3 3 3 3" xfId="3659"/>
    <cellStyle name="20% - Accent2 5 3 3 4" xfId="3660"/>
    <cellStyle name="20% - Accent2 5 3 3 5" xfId="3661"/>
    <cellStyle name="20% - Accent2 5 3 4" xfId="3662"/>
    <cellStyle name="20% - Accent2 5 3 4 2" xfId="3663"/>
    <cellStyle name="20% - Accent2 5 3 4 3" xfId="3664"/>
    <cellStyle name="20% - Accent2 5 3 5" xfId="3665"/>
    <cellStyle name="20% - Accent2 5 3 5 2" xfId="3666"/>
    <cellStyle name="20% - Accent2 5 3 5 3" xfId="3667"/>
    <cellStyle name="20% - Accent2 5 3 6" xfId="3668"/>
    <cellStyle name="20% - Accent2 5 3 7" xfId="3669"/>
    <cellStyle name="20% - Accent2 5 3_Volatility" xfId="3670"/>
    <cellStyle name="20% - Accent2 5 4" xfId="3671"/>
    <cellStyle name="20% - Accent2 5 4 2" xfId="3672"/>
    <cellStyle name="20% - Accent2 5 4 2 2" xfId="3673"/>
    <cellStyle name="20% - Accent2 5 4 2 3" xfId="3674"/>
    <cellStyle name="20% - Accent2 5 4 3" xfId="3675"/>
    <cellStyle name="20% - Accent2 5 4 3 2" xfId="3676"/>
    <cellStyle name="20% - Accent2 5 4 3 3" xfId="3677"/>
    <cellStyle name="20% - Accent2 5 4 4" xfId="3678"/>
    <cellStyle name="20% - Accent2 5 4 5" xfId="3679"/>
    <cellStyle name="20% - Accent2 5 5" xfId="3680"/>
    <cellStyle name="20% - Accent2 5 5 2" xfId="3681"/>
    <cellStyle name="20% - Accent2 5 5 2 2" xfId="3682"/>
    <cellStyle name="20% - Accent2 5 5 2 3" xfId="3683"/>
    <cellStyle name="20% - Accent2 5 5 3" xfId="3684"/>
    <cellStyle name="20% - Accent2 5 5 3 2" xfId="3685"/>
    <cellStyle name="20% - Accent2 5 5 3 3" xfId="3686"/>
    <cellStyle name="20% - Accent2 5 5 4" xfId="3687"/>
    <cellStyle name="20% - Accent2 5 5 5" xfId="3688"/>
    <cellStyle name="20% - Accent2 5 6" xfId="3689"/>
    <cellStyle name="20% - Accent2 5 6 2" xfId="3690"/>
    <cellStyle name="20% - Accent2 5 6 2 2" xfId="3691"/>
    <cellStyle name="20% - Accent2 5 6 2 3" xfId="3692"/>
    <cellStyle name="20% - Accent2 5 6 3" xfId="3693"/>
    <cellStyle name="20% - Accent2 5 6 3 2" xfId="3694"/>
    <cellStyle name="20% - Accent2 5 6 3 3" xfId="3695"/>
    <cellStyle name="20% - Accent2 5 6 4" xfId="3696"/>
    <cellStyle name="20% - Accent2 5 6 5" xfId="3697"/>
    <cellStyle name="20% - Accent2 5 7" xfId="3698"/>
    <cellStyle name="20% - Accent2 5 7 2" xfId="3699"/>
    <cellStyle name="20% - Accent2 5 7 3" xfId="3700"/>
    <cellStyle name="20% - Accent2 5 8" xfId="3701"/>
    <cellStyle name="20% - Accent2 5 8 2" xfId="3702"/>
    <cellStyle name="20% - Accent2 5 8 3" xfId="3703"/>
    <cellStyle name="20% - Accent2 5 9" xfId="3704"/>
    <cellStyle name="20% - Accent2 5_Volatility" xfId="3705"/>
    <cellStyle name="20% - Accent2 6" xfId="3706"/>
    <cellStyle name="20% - Accent2 6 10" xfId="3707"/>
    <cellStyle name="20% - Accent2 6 2" xfId="3708"/>
    <cellStyle name="20% - Accent2 6 2 2" xfId="3709"/>
    <cellStyle name="20% - Accent2 6 2 2 2" xfId="3710"/>
    <cellStyle name="20% - Accent2 6 2 2 2 2" xfId="3711"/>
    <cellStyle name="20% - Accent2 6 2 2 2 3" xfId="3712"/>
    <cellStyle name="20% - Accent2 6 2 2 3" xfId="3713"/>
    <cellStyle name="20% - Accent2 6 2 2 3 2" xfId="3714"/>
    <cellStyle name="20% - Accent2 6 2 2 3 3" xfId="3715"/>
    <cellStyle name="20% - Accent2 6 2 2 4" xfId="3716"/>
    <cellStyle name="20% - Accent2 6 2 2 5" xfId="3717"/>
    <cellStyle name="20% - Accent2 6 2 3" xfId="3718"/>
    <cellStyle name="20% - Accent2 6 2 3 2" xfId="3719"/>
    <cellStyle name="20% - Accent2 6 2 3 2 2" xfId="3720"/>
    <cellStyle name="20% - Accent2 6 2 3 2 3" xfId="3721"/>
    <cellStyle name="20% - Accent2 6 2 3 3" xfId="3722"/>
    <cellStyle name="20% - Accent2 6 2 3 3 2" xfId="3723"/>
    <cellStyle name="20% - Accent2 6 2 3 3 3" xfId="3724"/>
    <cellStyle name="20% - Accent2 6 2 3 4" xfId="3725"/>
    <cellStyle name="20% - Accent2 6 2 3 5" xfId="3726"/>
    <cellStyle name="20% - Accent2 6 2 4" xfId="3727"/>
    <cellStyle name="20% - Accent2 6 2 4 2" xfId="3728"/>
    <cellStyle name="20% - Accent2 6 2 4 2 2" xfId="3729"/>
    <cellStyle name="20% - Accent2 6 2 4 2 3" xfId="3730"/>
    <cellStyle name="20% - Accent2 6 2 4 3" xfId="3731"/>
    <cellStyle name="20% - Accent2 6 2 4 3 2" xfId="3732"/>
    <cellStyle name="20% - Accent2 6 2 4 3 3" xfId="3733"/>
    <cellStyle name="20% - Accent2 6 2 4 4" xfId="3734"/>
    <cellStyle name="20% - Accent2 6 2 4 5" xfId="3735"/>
    <cellStyle name="20% - Accent2 6 2 5" xfId="3736"/>
    <cellStyle name="20% - Accent2 6 2 5 2" xfId="3737"/>
    <cellStyle name="20% - Accent2 6 2 5 3" xfId="3738"/>
    <cellStyle name="20% - Accent2 6 2 6" xfId="3739"/>
    <cellStyle name="20% - Accent2 6 2 6 2" xfId="3740"/>
    <cellStyle name="20% - Accent2 6 2 6 3" xfId="3741"/>
    <cellStyle name="20% - Accent2 6 2 7" xfId="3742"/>
    <cellStyle name="20% - Accent2 6 2 8" xfId="3743"/>
    <cellStyle name="20% - Accent2 6 2_Volatility" xfId="3744"/>
    <cellStyle name="20% - Accent2 6 3" xfId="3745"/>
    <cellStyle name="20% - Accent2 6 3 2" xfId="3746"/>
    <cellStyle name="20% - Accent2 6 3 2 2" xfId="3747"/>
    <cellStyle name="20% - Accent2 6 3 2 2 2" xfId="3748"/>
    <cellStyle name="20% - Accent2 6 3 2 2 3" xfId="3749"/>
    <cellStyle name="20% - Accent2 6 3 2 3" xfId="3750"/>
    <cellStyle name="20% - Accent2 6 3 2 3 2" xfId="3751"/>
    <cellStyle name="20% - Accent2 6 3 2 3 3" xfId="3752"/>
    <cellStyle name="20% - Accent2 6 3 2 4" xfId="3753"/>
    <cellStyle name="20% - Accent2 6 3 2 5" xfId="3754"/>
    <cellStyle name="20% - Accent2 6 3 3" xfId="3755"/>
    <cellStyle name="20% - Accent2 6 3 3 2" xfId="3756"/>
    <cellStyle name="20% - Accent2 6 3 3 2 2" xfId="3757"/>
    <cellStyle name="20% - Accent2 6 3 3 2 3" xfId="3758"/>
    <cellStyle name="20% - Accent2 6 3 3 3" xfId="3759"/>
    <cellStyle name="20% - Accent2 6 3 3 3 2" xfId="3760"/>
    <cellStyle name="20% - Accent2 6 3 3 3 3" xfId="3761"/>
    <cellStyle name="20% - Accent2 6 3 3 4" xfId="3762"/>
    <cellStyle name="20% - Accent2 6 3 3 5" xfId="3763"/>
    <cellStyle name="20% - Accent2 6 3 4" xfId="3764"/>
    <cellStyle name="20% - Accent2 6 3 4 2" xfId="3765"/>
    <cellStyle name="20% - Accent2 6 3 4 3" xfId="3766"/>
    <cellStyle name="20% - Accent2 6 3 5" xfId="3767"/>
    <cellStyle name="20% - Accent2 6 3 5 2" xfId="3768"/>
    <cellStyle name="20% - Accent2 6 3 5 3" xfId="3769"/>
    <cellStyle name="20% - Accent2 6 3 6" xfId="3770"/>
    <cellStyle name="20% - Accent2 6 3 7" xfId="3771"/>
    <cellStyle name="20% - Accent2 6 3_Volatility" xfId="3772"/>
    <cellStyle name="20% - Accent2 6 4" xfId="3773"/>
    <cellStyle name="20% - Accent2 6 4 2" xfId="3774"/>
    <cellStyle name="20% - Accent2 6 4 2 2" xfId="3775"/>
    <cellStyle name="20% - Accent2 6 4 2 3" xfId="3776"/>
    <cellStyle name="20% - Accent2 6 4 3" xfId="3777"/>
    <cellStyle name="20% - Accent2 6 4 3 2" xfId="3778"/>
    <cellStyle name="20% - Accent2 6 4 3 3" xfId="3779"/>
    <cellStyle name="20% - Accent2 6 4 4" xfId="3780"/>
    <cellStyle name="20% - Accent2 6 4 5" xfId="3781"/>
    <cellStyle name="20% - Accent2 6 5" xfId="3782"/>
    <cellStyle name="20% - Accent2 6 5 2" xfId="3783"/>
    <cellStyle name="20% - Accent2 6 5 2 2" xfId="3784"/>
    <cellStyle name="20% - Accent2 6 5 2 3" xfId="3785"/>
    <cellStyle name="20% - Accent2 6 5 3" xfId="3786"/>
    <cellStyle name="20% - Accent2 6 5 3 2" xfId="3787"/>
    <cellStyle name="20% - Accent2 6 5 3 3" xfId="3788"/>
    <cellStyle name="20% - Accent2 6 5 4" xfId="3789"/>
    <cellStyle name="20% - Accent2 6 5 5" xfId="3790"/>
    <cellStyle name="20% - Accent2 6 6" xfId="3791"/>
    <cellStyle name="20% - Accent2 6 6 2" xfId="3792"/>
    <cellStyle name="20% - Accent2 6 6 2 2" xfId="3793"/>
    <cellStyle name="20% - Accent2 6 6 2 3" xfId="3794"/>
    <cellStyle name="20% - Accent2 6 6 3" xfId="3795"/>
    <cellStyle name="20% - Accent2 6 6 3 2" xfId="3796"/>
    <cellStyle name="20% - Accent2 6 6 3 3" xfId="3797"/>
    <cellStyle name="20% - Accent2 6 6 4" xfId="3798"/>
    <cellStyle name="20% - Accent2 6 6 5" xfId="3799"/>
    <cellStyle name="20% - Accent2 6 7" xfId="3800"/>
    <cellStyle name="20% - Accent2 6 7 2" xfId="3801"/>
    <cellStyle name="20% - Accent2 6 7 3" xfId="3802"/>
    <cellStyle name="20% - Accent2 6 8" xfId="3803"/>
    <cellStyle name="20% - Accent2 6 8 2" xfId="3804"/>
    <cellStyle name="20% - Accent2 6 8 3" xfId="3805"/>
    <cellStyle name="20% - Accent2 6 9" xfId="3806"/>
    <cellStyle name="20% - Accent2 6_Volatility" xfId="3807"/>
    <cellStyle name="20% - Accent2 7" xfId="3808"/>
    <cellStyle name="20% - Accent2 7 10" xfId="3809"/>
    <cellStyle name="20% - Accent2 7 2" xfId="3810"/>
    <cellStyle name="20% - Accent2 7 2 2" xfId="3811"/>
    <cellStyle name="20% - Accent2 7 2 2 2" xfId="3812"/>
    <cellStyle name="20% - Accent2 7 2 2 2 2" xfId="3813"/>
    <cellStyle name="20% - Accent2 7 2 2 2 3" xfId="3814"/>
    <cellStyle name="20% - Accent2 7 2 2 3" xfId="3815"/>
    <cellStyle name="20% - Accent2 7 2 2 3 2" xfId="3816"/>
    <cellStyle name="20% - Accent2 7 2 2 3 3" xfId="3817"/>
    <cellStyle name="20% - Accent2 7 2 2 4" xfId="3818"/>
    <cellStyle name="20% - Accent2 7 2 2 5" xfId="3819"/>
    <cellStyle name="20% - Accent2 7 2 3" xfId="3820"/>
    <cellStyle name="20% - Accent2 7 2 3 2" xfId="3821"/>
    <cellStyle name="20% - Accent2 7 2 3 2 2" xfId="3822"/>
    <cellStyle name="20% - Accent2 7 2 3 2 3" xfId="3823"/>
    <cellStyle name="20% - Accent2 7 2 3 3" xfId="3824"/>
    <cellStyle name="20% - Accent2 7 2 3 3 2" xfId="3825"/>
    <cellStyle name="20% - Accent2 7 2 3 3 3" xfId="3826"/>
    <cellStyle name="20% - Accent2 7 2 3 4" xfId="3827"/>
    <cellStyle name="20% - Accent2 7 2 3 5" xfId="3828"/>
    <cellStyle name="20% - Accent2 7 2 4" xfId="3829"/>
    <cellStyle name="20% - Accent2 7 2 4 2" xfId="3830"/>
    <cellStyle name="20% - Accent2 7 2 4 2 2" xfId="3831"/>
    <cellStyle name="20% - Accent2 7 2 4 2 3" xfId="3832"/>
    <cellStyle name="20% - Accent2 7 2 4 3" xfId="3833"/>
    <cellStyle name="20% - Accent2 7 2 4 3 2" xfId="3834"/>
    <cellStyle name="20% - Accent2 7 2 4 3 3" xfId="3835"/>
    <cellStyle name="20% - Accent2 7 2 4 4" xfId="3836"/>
    <cellStyle name="20% - Accent2 7 2 4 5" xfId="3837"/>
    <cellStyle name="20% - Accent2 7 2 5" xfId="3838"/>
    <cellStyle name="20% - Accent2 7 2 5 2" xfId="3839"/>
    <cellStyle name="20% - Accent2 7 2 5 3" xfId="3840"/>
    <cellStyle name="20% - Accent2 7 2 6" xfId="3841"/>
    <cellStyle name="20% - Accent2 7 2 6 2" xfId="3842"/>
    <cellStyle name="20% - Accent2 7 2 6 3" xfId="3843"/>
    <cellStyle name="20% - Accent2 7 2 7" xfId="3844"/>
    <cellStyle name="20% - Accent2 7 2 8" xfId="3845"/>
    <cellStyle name="20% - Accent2 7 2_Volatility" xfId="3846"/>
    <cellStyle name="20% - Accent2 7 3" xfId="3847"/>
    <cellStyle name="20% - Accent2 7 3 2" xfId="3848"/>
    <cellStyle name="20% - Accent2 7 3 2 2" xfId="3849"/>
    <cellStyle name="20% - Accent2 7 3 2 2 2" xfId="3850"/>
    <cellStyle name="20% - Accent2 7 3 2 2 3" xfId="3851"/>
    <cellStyle name="20% - Accent2 7 3 2 3" xfId="3852"/>
    <cellStyle name="20% - Accent2 7 3 2 3 2" xfId="3853"/>
    <cellStyle name="20% - Accent2 7 3 2 3 3" xfId="3854"/>
    <cellStyle name="20% - Accent2 7 3 2 4" xfId="3855"/>
    <cellStyle name="20% - Accent2 7 3 2 5" xfId="3856"/>
    <cellStyle name="20% - Accent2 7 3 3" xfId="3857"/>
    <cellStyle name="20% - Accent2 7 3 3 2" xfId="3858"/>
    <cellStyle name="20% - Accent2 7 3 3 2 2" xfId="3859"/>
    <cellStyle name="20% - Accent2 7 3 3 2 3" xfId="3860"/>
    <cellStyle name="20% - Accent2 7 3 3 3" xfId="3861"/>
    <cellStyle name="20% - Accent2 7 3 3 3 2" xfId="3862"/>
    <cellStyle name="20% - Accent2 7 3 3 3 3" xfId="3863"/>
    <cellStyle name="20% - Accent2 7 3 3 4" xfId="3864"/>
    <cellStyle name="20% - Accent2 7 3 3 5" xfId="3865"/>
    <cellStyle name="20% - Accent2 7 3 4" xfId="3866"/>
    <cellStyle name="20% - Accent2 7 3 4 2" xfId="3867"/>
    <cellStyle name="20% - Accent2 7 3 4 3" xfId="3868"/>
    <cellStyle name="20% - Accent2 7 3 5" xfId="3869"/>
    <cellStyle name="20% - Accent2 7 3 5 2" xfId="3870"/>
    <cellStyle name="20% - Accent2 7 3 5 3" xfId="3871"/>
    <cellStyle name="20% - Accent2 7 3 6" xfId="3872"/>
    <cellStyle name="20% - Accent2 7 3 7" xfId="3873"/>
    <cellStyle name="20% - Accent2 7 3_Volatility" xfId="3874"/>
    <cellStyle name="20% - Accent2 7 4" xfId="3875"/>
    <cellStyle name="20% - Accent2 7 4 2" xfId="3876"/>
    <cellStyle name="20% - Accent2 7 4 2 2" xfId="3877"/>
    <cellStyle name="20% - Accent2 7 4 2 3" xfId="3878"/>
    <cellStyle name="20% - Accent2 7 4 3" xfId="3879"/>
    <cellStyle name="20% - Accent2 7 4 3 2" xfId="3880"/>
    <cellStyle name="20% - Accent2 7 4 3 3" xfId="3881"/>
    <cellStyle name="20% - Accent2 7 4 4" xfId="3882"/>
    <cellStyle name="20% - Accent2 7 4 5" xfId="3883"/>
    <cellStyle name="20% - Accent2 7 5" xfId="3884"/>
    <cellStyle name="20% - Accent2 7 5 2" xfId="3885"/>
    <cellStyle name="20% - Accent2 7 5 2 2" xfId="3886"/>
    <cellStyle name="20% - Accent2 7 5 2 3" xfId="3887"/>
    <cellStyle name="20% - Accent2 7 5 3" xfId="3888"/>
    <cellStyle name="20% - Accent2 7 5 3 2" xfId="3889"/>
    <cellStyle name="20% - Accent2 7 5 3 3" xfId="3890"/>
    <cellStyle name="20% - Accent2 7 5 4" xfId="3891"/>
    <cellStyle name="20% - Accent2 7 5 5" xfId="3892"/>
    <cellStyle name="20% - Accent2 7 6" xfId="3893"/>
    <cellStyle name="20% - Accent2 7 6 2" xfId="3894"/>
    <cellStyle name="20% - Accent2 7 6 2 2" xfId="3895"/>
    <cellStyle name="20% - Accent2 7 6 2 3" xfId="3896"/>
    <cellStyle name="20% - Accent2 7 6 3" xfId="3897"/>
    <cellStyle name="20% - Accent2 7 6 3 2" xfId="3898"/>
    <cellStyle name="20% - Accent2 7 6 3 3" xfId="3899"/>
    <cellStyle name="20% - Accent2 7 6 4" xfId="3900"/>
    <cellStyle name="20% - Accent2 7 6 5" xfId="3901"/>
    <cellStyle name="20% - Accent2 7 7" xfId="3902"/>
    <cellStyle name="20% - Accent2 7 7 2" xfId="3903"/>
    <cellStyle name="20% - Accent2 7 7 3" xfId="3904"/>
    <cellStyle name="20% - Accent2 7 8" xfId="3905"/>
    <cellStyle name="20% - Accent2 7 8 2" xfId="3906"/>
    <cellStyle name="20% - Accent2 7 8 3" xfId="3907"/>
    <cellStyle name="20% - Accent2 7 9" xfId="3908"/>
    <cellStyle name="20% - Accent2 7_Volatility" xfId="3909"/>
    <cellStyle name="20% - Accent2 8" xfId="3910"/>
    <cellStyle name="20% - Accent2 8 10" xfId="3911"/>
    <cellStyle name="20% - Accent2 8 2" xfId="3912"/>
    <cellStyle name="20% - Accent2 8 2 2" xfId="3913"/>
    <cellStyle name="20% - Accent2 8 2 2 2" xfId="3914"/>
    <cellStyle name="20% - Accent2 8 2 2 2 2" xfId="3915"/>
    <cellStyle name="20% - Accent2 8 2 2 2 3" xfId="3916"/>
    <cellStyle name="20% - Accent2 8 2 2 3" xfId="3917"/>
    <cellStyle name="20% - Accent2 8 2 2 3 2" xfId="3918"/>
    <cellStyle name="20% - Accent2 8 2 2 3 3" xfId="3919"/>
    <cellStyle name="20% - Accent2 8 2 2 4" xfId="3920"/>
    <cellStyle name="20% - Accent2 8 2 2 5" xfId="3921"/>
    <cellStyle name="20% - Accent2 8 2 3" xfId="3922"/>
    <cellStyle name="20% - Accent2 8 2 3 2" xfId="3923"/>
    <cellStyle name="20% - Accent2 8 2 3 2 2" xfId="3924"/>
    <cellStyle name="20% - Accent2 8 2 3 2 3" xfId="3925"/>
    <cellStyle name="20% - Accent2 8 2 3 3" xfId="3926"/>
    <cellStyle name="20% - Accent2 8 2 3 3 2" xfId="3927"/>
    <cellStyle name="20% - Accent2 8 2 3 3 3" xfId="3928"/>
    <cellStyle name="20% - Accent2 8 2 3 4" xfId="3929"/>
    <cellStyle name="20% - Accent2 8 2 3 5" xfId="3930"/>
    <cellStyle name="20% - Accent2 8 2 4" xfId="3931"/>
    <cellStyle name="20% - Accent2 8 2 4 2" xfId="3932"/>
    <cellStyle name="20% - Accent2 8 2 4 2 2" xfId="3933"/>
    <cellStyle name="20% - Accent2 8 2 4 2 3" xfId="3934"/>
    <cellStyle name="20% - Accent2 8 2 4 3" xfId="3935"/>
    <cellStyle name="20% - Accent2 8 2 4 3 2" xfId="3936"/>
    <cellStyle name="20% - Accent2 8 2 4 3 3" xfId="3937"/>
    <cellStyle name="20% - Accent2 8 2 4 4" xfId="3938"/>
    <cellStyle name="20% - Accent2 8 2 4 5" xfId="3939"/>
    <cellStyle name="20% - Accent2 8 2 5" xfId="3940"/>
    <cellStyle name="20% - Accent2 8 2 5 2" xfId="3941"/>
    <cellStyle name="20% - Accent2 8 2 5 3" xfId="3942"/>
    <cellStyle name="20% - Accent2 8 2 6" xfId="3943"/>
    <cellStyle name="20% - Accent2 8 2 6 2" xfId="3944"/>
    <cellStyle name="20% - Accent2 8 2 6 3" xfId="3945"/>
    <cellStyle name="20% - Accent2 8 2 7" xfId="3946"/>
    <cellStyle name="20% - Accent2 8 2 8" xfId="3947"/>
    <cellStyle name="20% - Accent2 8 2_Volatility" xfId="3948"/>
    <cellStyle name="20% - Accent2 8 3" xfId="3949"/>
    <cellStyle name="20% - Accent2 8 3 2" xfId="3950"/>
    <cellStyle name="20% - Accent2 8 3 2 2" xfId="3951"/>
    <cellStyle name="20% - Accent2 8 3 2 2 2" xfId="3952"/>
    <cellStyle name="20% - Accent2 8 3 2 2 3" xfId="3953"/>
    <cellStyle name="20% - Accent2 8 3 2 3" xfId="3954"/>
    <cellStyle name="20% - Accent2 8 3 2 3 2" xfId="3955"/>
    <cellStyle name="20% - Accent2 8 3 2 3 3" xfId="3956"/>
    <cellStyle name="20% - Accent2 8 3 2 4" xfId="3957"/>
    <cellStyle name="20% - Accent2 8 3 2 5" xfId="3958"/>
    <cellStyle name="20% - Accent2 8 3 3" xfId="3959"/>
    <cellStyle name="20% - Accent2 8 3 3 2" xfId="3960"/>
    <cellStyle name="20% - Accent2 8 3 3 2 2" xfId="3961"/>
    <cellStyle name="20% - Accent2 8 3 3 2 3" xfId="3962"/>
    <cellStyle name="20% - Accent2 8 3 3 3" xfId="3963"/>
    <cellStyle name="20% - Accent2 8 3 3 3 2" xfId="3964"/>
    <cellStyle name="20% - Accent2 8 3 3 3 3" xfId="3965"/>
    <cellStyle name="20% - Accent2 8 3 3 4" xfId="3966"/>
    <cellStyle name="20% - Accent2 8 3 3 5" xfId="3967"/>
    <cellStyle name="20% - Accent2 8 3 4" xfId="3968"/>
    <cellStyle name="20% - Accent2 8 3 4 2" xfId="3969"/>
    <cellStyle name="20% - Accent2 8 3 4 3" xfId="3970"/>
    <cellStyle name="20% - Accent2 8 3 5" xfId="3971"/>
    <cellStyle name="20% - Accent2 8 3 5 2" xfId="3972"/>
    <cellStyle name="20% - Accent2 8 3 5 3" xfId="3973"/>
    <cellStyle name="20% - Accent2 8 3 6" xfId="3974"/>
    <cellStyle name="20% - Accent2 8 3 7" xfId="3975"/>
    <cellStyle name="20% - Accent2 8 3_Volatility" xfId="3976"/>
    <cellStyle name="20% - Accent2 8 4" xfId="3977"/>
    <cellStyle name="20% - Accent2 8 4 2" xfId="3978"/>
    <cellStyle name="20% - Accent2 8 4 2 2" xfId="3979"/>
    <cellStyle name="20% - Accent2 8 4 2 3" xfId="3980"/>
    <cellStyle name="20% - Accent2 8 4 3" xfId="3981"/>
    <cellStyle name="20% - Accent2 8 4 3 2" xfId="3982"/>
    <cellStyle name="20% - Accent2 8 4 3 3" xfId="3983"/>
    <cellStyle name="20% - Accent2 8 4 4" xfId="3984"/>
    <cellStyle name="20% - Accent2 8 4 5" xfId="3985"/>
    <cellStyle name="20% - Accent2 8 5" xfId="3986"/>
    <cellStyle name="20% - Accent2 8 5 2" xfId="3987"/>
    <cellStyle name="20% - Accent2 8 5 2 2" xfId="3988"/>
    <cellStyle name="20% - Accent2 8 5 2 3" xfId="3989"/>
    <cellStyle name="20% - Accent2 8 5 3" xfId="3990"/>
    <cellStyle name="20% - Accent2 8 5 3 2" xfId="3991"/>
    <cellStyle name="20% - Accent2 8 5 3 3" xfId="3992"/>
    <cellStyle name="20% - Accent2 8 5 4" xfId="3993"/>
    <cellStyle name="20% - Accent2 8 5 5" xfId="3994"/>
    <cellStyle name="20% - Accent2 8 6" xfId="3995"/>
    <cellStyle name="20% - Accent2 8 6 2" xfId="3996"/>
    <cellStyle name="20% - Accent2 8 6 2 2" xfId="3997"/>
    <cellStyle name="20% - Accent2 8 6 2 3" xfId="3998"/>
    <cellStyle name="20% - Accent2 8 6 3" xfId="3999"/>
    <cellStyle name="20% - Accent2 8 6 3 2" xfId="4000"/>
    <cellStyle name="20% - Accent2 8 6 3 3" xfId="4001"/>
    <cellStyle name="20% - Accent2 8 6 4" xfId="4002"/>
    <cellStyle name="20% - Accent2 8 6 5" xfId="4003"/>
    <cellStyle name="20% - Accent2 8 7" xfId="4004"/>
    <cellStyle name="20% - Accent2 8 7 2" xfId="4005"/>
    <cellStyle name="20% - Accent2 8 7 3" xfId="4006"/>
    <cellStyle name="20% - Accent2 8 8" xfId="4007"/>
    <cellStyle name="20% - Accent2 8 8 2" xfId="4008"/>
    <cellStyle name="20% - Accent2 8 8 3" xfId="4009"/>
    <cellStyle name="20% - Accent2 8 9" xfId="4010"/>
    <cellStyle name="20% - Accent2 8_Volatility" xfId="4011"/>
    <cellStyle name="20% - Accent2 9" xfId="4012"/>
    <cellStyle name="20% - Accent2 9 10" xfId="4013"/>
    <cellStyle name="20% - Accent2 9 2" xfId="4014"/>
    <cellStyle name="20% - Accent2 9 2 2" xfId="4015"/>
    <cellStyle name="20% - Accent2 9 2 2 2" xfId="4016"/>
    <cellStyle name="20% - Accent2 9 2 2 2 2" xfId="4017"/>
    <cellStyle name="20% - Accent2 9 2 2 2 3" xfId="4018"/>
    <cellStyle name="20% - Accent2 9 2 2 3" xfId="4019"/>
    <cellStyle name="20% - Accent2 9 2 2 3 2" xfId="4020"/>
    <cellStyle name="20% - Accent2 9 2 2 3 3" xfId="4021"/>
    <cellStyle name="20% - Accent2 9 2 2 4" xfId="4022"/>
    <cellStyle name="20% - Accent2 9 2 2 5" xfId="4023"/>
    <cellStyle name="20% - Accent2 9 2 3" xfId="4024"/>
    <cellStyle name="20% - Accent2 9 2 3 2" xfId="4025"/>
    <cellStyle name="20% - Accent2 9 2 3 2 2" xfId="4026"/>
    <cellStyle name="20% - Accent2 9 2 3 2 3" xfId="4027"/>
    <cellStyle name="20% - Accent2 9 2 3 3" xfId="4028"/>
    <cellStyle name="20% - Accent2 9 2 3 3 2" xfId="4029"/>
    <cellStyle name="20% - Accent2 9 2 3 3 3" xfId="4030"/>
    <cellStyle name="20% - Accent2 9 2 3 4" xfId="4031"/>
    <cellStyle name="20% - Accent2 9 2 3 5" xfId="4032"/>
    <cellStyle name="20% - Accent2 9 2 4" xfId="4033"/>
    <cellStyle name="20% - Accent2 9 2 4 2" xfId="4034"/>
    <cellStyle name="20% - Accent2 9 2 4 2 2" xfId="4035"/>
    <cellStyle name="20% - Accent2 9 2 4 2 3" xfId="4036"/>
    <cellStyle name="20% - Accent2 9 2 4 3" xfId="4037"/>
    <cellStyle name="20% - Accent2 9 2 4 3 2" xfId="4038"/>
    <cellStyle name="20% - Accent2 9 2 4 3 3" xfId="4039"/>
    <cellStyle name="20% - Accent2 9 2 4 4" xfId="4040"/>
    <cellStyle name="20% - Accent2 9 2 4 5" xfId="4041"/>
    <cellStyle name="20% - Accent2 9 2 5" xfId="4042"/>
    <cellStyle name="20% - Accent2 9 2 5 2" xfId="4043"/>
    <cellStyle name="20% - Accent2 9 2 5 3" xfId="4044"/>
    <cellStyle name="20% - Accent2 9 2 6" xfId="4045"/>
    <cellStyle name="20% - Accent2 9 2 6 2" xfId="4046"/>
    <cellStyle name="20% - Accent2 9 2 6 3" xfId="4047"/>
    <cellStyle name="20% - Accent2 9 2 7" xfId="4048"/>
    <cellStyle name="20% - Accent2 9 2 8" xfId="4049"/>
    <cellStyle name="20% - Accent2 9 2_Volatility" xfId="4050"/>
    <cellStyle name="20% - Accent2 9 3" xfId="4051"/>
    <cellStyle name="20% - Accent2 9 3 2" xfId="4052"/>
    <cellStyle name="20% - Accent2 9 3 2 2" xfId="4053"/>
    <cellStyle name="20% - Accent2 9 3 2 2 2" xfId="4054"/>
    <cellStyle name="20% - Accent2 9 3 2 2 3" xfId="4055"/>
    <cellStyle name="20% - Accent2 9 3 2 3" xfId="4056"/>
    <cellStyle name="20% - Accent2 9 3 2 3 2" xfId="4057"/>
    <cellStyle name="20% - Accent2 9 3 2 3 3" xfId="4058"/>
    <cellStyle name="20% - Accent2 9 3 2 4" xfId="4059"/>
    <cellStyle name="20% - Accent2 9 3 2 5" xfId="4060"/>
    <cellStyle name="20% - Accent2 9 3 3" xfId="4061"/>
    <cellStyle name="20% - Accent2 9 3 3 2" xfId="4062"/>
    <cellStyle name="20% - Accent2 9 3 3 2 2" xfId="4063"/>
    <cellStyle name="20% - Accent2 9 3 3 2 3" xfId="4064"/>
    <cellStyle name="20% - Accent2 9 3 3 3" xfId="4065"/>
    <cellStyle name="20% - Accent2 9 3 3 3 2" xfId="4066"/>
    <cellStyle name="20% - Accent2 9 3 3 3 3" xfId="4067"/>
    <cellStyle name="20% - Accent2 9 3 3 4" xfId="4068"/>
    <cellStyle name="20% - Accent2 9 3 3 5" xfId="4069"/>
    <cellStyle name="20% - Accent2 9 3 4" xfId="4070"/>
    <cellStyle name="20% - Accent2 9 3 4 2" xfId="4071"/>
    <cellStyle name="20% - Accent2 9 3 4 3" xfId="4072"/>
    <cellStyle name="20% - Accent2 9 3 5" xfId="4073"/>
    <cellStyle name="20% - Accent2 9 3 5 2" xfId="4074"/>
    <cellStyle name="20% - Accent2 9 3 5 3" xfId="4075"/>
    <cellStyle name="20% - Accent2 9 3 6" xfId="4076"/>
    <cellStyle name="20% - Accent2 9 3 7" xfId="4077"/>
    <cellStyle name="20% - Accent2 9 3_Volatility" xfId="4078"/>
    <cellStyle name="20% - Accent2 9 4" xfId="4079"/>
    <cellStyle name="20% - Accent2 9 4 2" xfId="4080"/>
    <cellStyle name="20% - Accent2 9 4 2 2" xfId="4081"/>
    <cellStyle name="20% - Accent2 9 4 2 3" xfId="4082"/>
    <cellStyle name="20% - Accent2 9 4 3" xfId="4083"/>
    <cellStyle name="20% - Accent2 9 4 3 2" xfId="4084"/>
    <cellStyle name="20% - Accent2 9 4 3 3" xfId="4085"/>
    <cellStyle name="20% - Accent2 9 4 4" xfId="4086"/>
    <cellStyle name="20% - Accent2 9 4 5" xfId="4087"/>
    <cellStyle name="20% - Accent2 9 5" xfId="4088"/>
    <cellStyle name="20% - Accent2 9 5 2" xfId="4089"/>
    <cellStyle name="20% - Accent2 9 5 2 2" xfId="4090"/>
    <cellStyle name="20% - Accent2 9 5 2 3" xfId="4091"/>
    <cellStyle name="20% - Accent2 9 5 3" xfId="4092"/>
    <cellStyle name="20% - Accent2 9 5 3 2" xfId="4093"/>
    <cellStyle name="20% - Accent2 9 5 3 3" xfId="4094"/>
    <cellStyle name="20% - Accent2 9 5 4" xfId="4095"/>
    <cellStyle name="20% - Accent2 9 5 5" xfId="4096"/>
    <cellStyle name="20% - Accent2 9 6" xfId="4097"/>
    <cellStyle name="20% - Accent2 9 6 2" xfId="4098"/>
    <cellStyle name="20% - Accent2 9 6 2 2" xfId="4099"/>
    <cellStyle name="20% - Accent2 9 6 2 3" xfId="4100"/>
    <cellStyle name="20% - Accent2 9 6 3" xfId="4101"/>
    <cellStyle name="20% - Accent2 9 6 3 2" xfId="4102"/>
    <cellStyle name="20% - Accent2 9 6 3 3" xfId="4103"/>
    <cellStyle name="20% - Accent2 9 6 4" xfId="4104"/>
    <cellStyle name="20% - Accent2 9 6 5" xfId="4105"/>
    <cellStyle name="20% - Accent2 9 7" xfId="4106"/>
    <cellStyle name="20% - Accent2 9 7 2" xfId="4107"/>
    <cellStyle name="20% - Accent2 9 7 3" xfId="4108"/>
    <cellStyle name="20% - Accent2 9 8" xfId="4109"/>
    <cellStyle name="20% - Accent2 9 8 2" xfId="4110"/>
    <cellStyle name="20% - Accent2 9 8 3" xfId="4111"/>
    <cellStyle name="20% - Accent2 9 9" xfId="4112"/>
    <cellStyle name="20% - Accent2 9_Volatility" xfId="4113"/>
    <cellStyle name="20% - Accent3" xfId="28" builtinId="38" customBuiltin="1"/>
    <cellStyle name="20% - Accent3 10" xfId="4114"/>
    <cellStyle name="20% - Accent3 10 10" xfId="4115"/>
    <cellStyle name="20% - Accent3 10 2" xfId="4116"/>
    <cellStyle name="20% - Accent3 10 2 2" xfId="4117"/>
    <cellStyle name="20% - Accent3 10 2 2 2" xfId="4118"/>
    <cellStyle name="20% - Accent3 10 2 2 2 2" xfId="4119"/>
    <cellStyle name="20% - Accent3 10 2 2 2 3" xfId="4120"/>
    <cellStyle name="20% - Accent3 10 2 2 3" xfId="4121"/>
    <cellStyle name="20% - Accent3 10 2 2 3 2" xfId="4122"/>
    <cellStyle name="20% - Accent3 10 2 2 3 3" xfId="4123"/>
    <cellStyle name="20% - Accent3 10 2 2 4" xfId="4124"/>
    <cellStyle name="20% - Accent3 10 2 2 5" xfId="4125"/>
    <cellStyle name="20% - Accent3 10 2 3" xfId="4126"/>
    <cellStyle name="20% - Accent3 10 2 3 2" xfId="4127"/>
    <cellStyle name="20% - Accent3 10 2 3 2 2" xfId="4128"/>
    <cellStyle name="20% - Accent3 10 2 3 2 3" xfId="4129"/>
    <cellStyle name="20% - Accent3 10 2 3 3" xfId="4130"/>
    <cellStyle name="20% - Accent3 10 2 3 3 2" xfId="4131"/>
    <cellStyle name="20% - Accent3 10 2 3 3 3" xfId="4132"/>
    <cellStyle name="20% - Accent3 10 2 3 4" xfId="4133"/>
    <cellStyle name="20% - Accent3 10 2 3 5" xfId="4134"/>
    <cellStyle name="20% - Accent3 10 2 4" xfId="4135"/>
    <cellStyle name="20% - Accent3 10 2 4 2" xfId="4136"/>
    <cellStyle name="20% - Accent3 10 2 4 2 2" xfId="4137"/>
    <cellStyle name="20% - Accent3 10 2 4 2 3" xfId="4138"/>
    <cellStyle name="20% - Accent3 10 2 4 3" xfId="4139"/>
    <cellStyle name="20% - Accent3 10 2 4 3 2" xfId="4140"/>
    <cellStyle name="20% - Accent3 10 2 4 3 3" xfId="4141"/>
    <cellStyle name="20% - Accent3 10 2 4 4" xfId="4142"/>
    <cellStyle name="20% - Accent3 10 2 4 5" xfId="4143"/>
    <cellStyle name="20% - Accent3 10 2 5" xfId="4144"/>
    <cellStyle name="20% - Accent3 10 2 5 2" xfId="4145"/>
    <cellStyle name="20% - Accent3 10 2 5 3" xfId="4146"/>
    <cellStyle name="20% - Accent3 10 2 6" xfId="4147"/>
    <cellStyle name="20% - Accent3 10 2 6 2" xfId="4148"/>
    <cellStyle name="20% - Accent3 10 2 6 3" xfId="4149"/>
    <cellStyle name="20% - Accent3 10 2 7" xfId="4150"/>
    <cellStyle name="20% - Accent3 10 2 8" xfId="4151"/>
    <cellStyle name="20% - Accent3 10 2_Volatility" xfId="4152"/>
    <cellStyle name="20% - Accent3 10 3" xfId="4153"/>
    <cellStyle name="20% - Accent3 10 3 2" xfId="4154"/>
    <cellStyle name="20% - Accent3 10 3 2 2" xfId="4155"/>
    <cellStyle name="20% - Accent3 10 3 2 2 2" xfId="4156"/>
    <cellStyle name="20% - Accent3 10 3 2 2 3" xfId="4157"/>
    <cellStyle name="20% - Accent3 10 3 2 3" xfId="4158"/>
    <cellStyle name="20% - Accent3 10 3 2 3 2" xfId="4159"/>
    <cellStyle name="20% - Accent3 10 3 2 3 3" xfId="4160"/>
    <cellStyle name="20% - Accent3 10 3 2 4" xfId="4161"/>
    <cellStyle name="20% - Accent3 10 3 2 5" xfId="4162"/>
    <cellStyle name="20% - Accent3 10 3 3" xfId="4163"/>
    <cellStyle name="20% - Accent3 10 3 3 2" xfId="4164"/>
    <cellStyle name="20% - Accent3 10 3 3 2 2" xfId="4165"/>
    <cellStyle name="20% - Accent3 10 3 3 2 3" xfId="4166"/>
    <cellStyle name="20% - Accent3 10 3 3 3" xfId="4167"/>
    <cellStyle name="20% - Accent3 10 3 3 3 2" xfId="4168"/>
    <cellStyle name="20% - Accent3 10 3 3 3 3" xfId="4169"/>
    <cellStyle name="20% - Accent3 10 3 3 4" xfId="4170"/>
    <cellStyle name="20% - Accent3 10 3 3 5" xfId="4171"/>
    <cellStyle name="20% - Accent3 10 3 4" xfId="4172"/>
    <cellStyle name="20% - Accent3 10 3 4 2" xfId="4173"/>
    <cellStyle name="20% - Accent3 10 3 4 3" xfId="4174"/>
    <cellStyle name="20% - Accent3 10 3 5" xfId="4175"/>
    <cellStyle name="20% - Accent3 10 3 5 2" xfId="4176"/>
    <cellStyle name="20% - Accent3 10 3 5 3" xfId="4177"/>
    <cellStyle name="20% - Accent3 10 3 6" xfId="4178"/>
    <cellStyle name="20% - Accent3 10 3 7" xfId="4179"/>
    <cellStyle name="20% - Accent3 10 3_Volatility" xfId="4180"/>
    <cellStyle name="20% - Accent3 10 4" xfId="4181"/>
    <cellStyle name="20% - Accent3 10 4 2" xfId="4182"/>
    <cellStyle name="20% - Accent3 10 4 2 2" xfId="4183"/>
    <cellStyle name="20% - Accent3 10 4 2 3" xfId="4184"/>
    <cellStyle name="20% - Accent3 10 4 3" xfId="4185"/>
    <cellStyle name="20% - Accent3 10 4 3 2" xfId="4186"/>
    <cellStyle name="20% - Accent3 10 4 3 3" xfId="4187"/>
    <cellStyle name="20% - Accent3 10 4 4" xfId="4188"/>
    <cellStyle name="20% - Accent3 10 4 5" xfId="4189"/>
    <cellStyle name="20% - Accent3 10 5" xfId="4190"/>
    <cellStyle name="20% - Accent3 10 5 2" xfId="4191"/>
    <cellStyle name="20% - Accent3 10 5 2 2" xfId="4192"/>
    <cellStyle name="20% - Accent3 10 5 2 3" xfId="4193"/>
    <cellStyle name="20% - Accent3 10 5 3" xfId="4194"/>
    <cellStyle name="20% - Accent3 10 5 3 2" xfId="4195"/>
    <cellStyle name="20% - Accent3 10 5 3 3" xfId="4196"/>
    <cellStyle name="20% - Accent3 10 5 4" xfId="4197"/>
    <cellStyle name="20% - Accent3 10 5 5" xfId="4198"/>
    <cellStyle name="20% - Accent3 10 6" xfId="4199"/>
    <cellStyle name="20% - Accent3 10 6 2" xfId="4200"/>
    <cellStyle name="20% - Accent3 10 6 2 2" xfId="4201"/>
    <cellStyle name="20% - Accent3 10 6 2 3" xfId="4202"/>
    <cellStyle name="20% - Accent3 10 6 3" xfId="4203"/>
    <cellStyle name="20% - Accent3 10 6 3 2" xfId="4204"/>
    <cellStyle name="20% - Accent3 10 6 3 3" xfId="4205"/>
    <cellStyle name="20% - Accent3 10 6 4" xfId="4206"/>
    <cellStyle name="20% - Accent3 10 6 5" xfId="4207"/>
    <cellStyle name="20% - Accent3 10 7" xfId="4208"/>
    <cellStyle name="20% - Accent3 10 7 2" xfId="4209"/>
    <cellStyle name="20% - Accent3 10 7 3" xfId="4210"/>
    <cellStyle name="20% - Accent3 10 8" xfId="4211"/>
    <cellStyle name="20% - Accent3 10 8 2" xfId="4212"/>
    <cellStyle name="20% - Accent3 10 8 3" xfId="4213"/>
    <cellStyle name="20% - Accent3 10 9" xfId="4214"/>
    <cellStyle name="20% - Accent3 10_Volatility" xfId="4215"/>
    <cellStyle name="20% - Accent3 11" xfId="4216"/>
    <cellStyle name="20% - Accent3 11 10" xfId="4217"/>
    <cellStyle name="20% - Accent3 11 2" xfId="4218"/>
    <cellStyle name="20% - Accent3 11 2 2" xfId="4219"/>
    <cellStyle name="20% - Accent3 11 2 2 2" xfId="4220"/>
    <cellStyle name="20% - Accent3 11 2 2 2 2" xfId="4221"/>
    <cellStyle name="20% - Accent3 11 2 2 2 3" xfId="4222"/>
    <cellStyle name="20% - Accent3 11 2 2 3" xfId="4223"/>
    <cellStyle name="20% - Accent3 11 2 2 3 2" xfId="4224"/>
    <cellStyle name="20% - Accent3 11 2 2 3 3" xfId="4225"/>
    <cellStyle name="20% - Accent3 11 2 2 4" xfId="4226"/>
    <cellStyle name="20% - Accent3 11 2 2 5" xfId="4227"/>
    <cellStyle name="20% - Accent3 11 2 3" xfId="4228"/>
    <cellStyle name="20% - Accent3 11 2 3 2" xfId="4229"/>
    <cellStyle name="20% - Accent3 11 2 3 2 2" xfId="4230"/>
    <cellStyle name="20% - Accent3 11 2 3 2 3" xfId="4231"/>
    <cellStyle name="20% - Accent3 11 2 3 3" xfId="4232"/>
    <cellStyle name="20% - Accent3 11 2 3 3 2" xfId="4233"/>
    <cellStyle name="20% - Accent3 11 2 3 3 3" xfId="4234"/>
    <cellStyle name="20% - Accent3 11 2 3 4" xfId="4235"/>
    <cellStyle name="20% - Accent3 11 2 3 5" xfId="4236"/>
    <cellStyle name="20% - Accent3 11 2 4" xfId="4237"/>
    <cellStyle name="20% - Accent3 11 2 4 2" xfId="4238"/>
    <cellStyle name="20% - Accent3 11 2 4 2 2" xfId="4239"/>
    <cellStyle name="20% - Accent3 11 2 4 2 3" xfId="4240"/>
    <cellStyle name="20% - Accent3 11 2 4 3" xfId="4241"/>
    <cellStyle name="20% - Accent3 11 2 4 3 2" xfId="4242"/>
    <cellStyle name="20% - Accent3 11 2 4 3 3" xfId="4243"/>
    <cellStyle name="20% - Accent3 11 2 4 4" xfId="4244"/>
    <cellStyle name="20% - Accent3 11 2 4 5" xfId="4245"/>
    <cellStyle name="20% - Accent3 11 2 5" xfId="4246"/>
    <cellStyle name="20% - Accent3 11 2 5 2" xfId="4247"/>
    <cellStyle name="20% - Accent3 11 2 5 3" xfId="4248"/>
    <cellStyle name="20% - Accent3 11 2 6" xfId="4249"/>
    <cellStyle name="20% - Accent3 11 2 6 2" xfId="4250"/>
    <cellStyle name="20% - Accent3 11 2 6 3" xfId="4251"/>
    <cellStyle name="20% - Accent3 11 2 7" xfId="4252"/>
    <cellStyle name="20% - Accent3 11 2 8" xfId="4253"/>
    <cellStyle name="20% - Accent3 11 2_Volatility" xfId="4254"/>
    <cellStyle name="20% - Accent3 11 3" xfId="4255"/>
    <cellStyle name="20% - Accent3 11 3 2" xfId="4256"/>
    <cellStyle name="20% - Accent3 11 3 2 2" xfId="4257"/>
    <cellStyle name="20% - Accent3 11 3 2 2 2" xfId="4258"/>
    <cellStyle name="20% - Accent3 11 3 2 2 3" xfId="4259"/>
    <cellStyle name="20% - Accent3 11 3 2 3" xfId="4260"/>
    <cellStyle name="20% - Accent3 11 3 2 3 2" xfId="4261"/>
    <cellStyle name="20% - Accent3 11 3 2 3 3" xfId="4262"/>
    <cellStyle name="20% - Accent3 11 3 2 4" xfId="4263"/>
    <cellStyle name="20% - Accent3 11 3 2 5" xfId="4264"/>
    <cellStyle name="20% - Accent3 11 3 3" xfId="4265"/>
    <cellStyle name="20% - Accent3 11 3 3 2" xfId="4266"/>
    <cellStyle name="20% - Accent3 11 3 3 2 2" xfId="4267"/>
    <cellStyle name="20% - Accent3 11 3 3 2 3" xfId="4268"/>
    <cellStyle name="20% - Accent3 11 3 3 3" xfId="4269"/>
    <cellStyle name="20% - Accent3 11 3 3 3 2" xfId="4270"/>
    <cellStyle name="20% - Accent3 11 3 3 3 3" xfId="4271"/>
    <cellStyle name="20% - Accent3 11 3 3 4" xfId="4272"/>
    <cellStyle name="20% - Accent3 11 3 3 5" xfId="4273"/>
    <cellStyle name="20% - Accent3 11 3 4" xfId="4274"/>
    <cellStyle name="20% - Accent3 11 3 4 2" xfId="4275"/>
    <cellStyle name="20% - Accent3 11 3 4 3" xfId="4276"/>
    <cellStyle name="20% - Accent3 11 3 5" xfId="4277"/>
    <cellStyle name="20% - Accent3 11 3 5 2" xfId="4278"/>
    <cellStyle name="20% - Accent3 11 3 5 3" xfId="4279"/>
    <cellStyle name="20% - Accent3 11 3 6" xfId="4280"/>
    <cellStyle name="20% - Accent3 11 3 7" xfId="4281"/>
    <cellStyle name="20% - Accent3 11 3_Volatility" xfId="4282"/>
    <cellStyle name="20% - Accent3 11 4" xfId="4283"/>
    <cellStyle name="20% - Accent3 11 4 2" xfId="4284"/>
    <cellStyle name="20% - Accent3 11 4 2 2" xfId="4285"/>
    <cellStyle name="20% - Accent3 11 4 2 3" xfId="4286"/>
    <cellStyle name="20% - Accent3 11 4 3" xfId="4287"/>
    <cellStyle name="20% - Accent3 11 4 3 2" xfId="4288"/>
    <cellStyle name="20% - Accent3 11 4 3 3" xfId="4289"/>
    <cellStyle name="20% - Accent3 11 4 4" xfId="4290"/>
    <cellStyle name="20% - Accent3 11 4 5" xfId="4291"/>
    <cellStyle name="20% - Accent3 11 5" xfId="4292"/>
    <cellStyle name="20% - Accent3 11 5 2" xfId="4293"/>
    <cellStyle name="20% - Accent3 11 5 2 2" xfId="4294"/>
    <cellStyle name="20% - Accent3 11 5 2 3" xfId="4295"/>
    <cellStyle name="20% - Accent3 11 5 3" xfId="4296"/>
    <cellStyle name="20% - Accent3 11 5 3 2" xfId="4297"/>
    <cellStyle name="20% - Accent3 11 5 3 3" xfId="4298"/>
    <cellStyle name="20% - Accent3 11 5 4" xfId="4299"/>
    <cellStyle name="20% - Accent3 11 5 5" xfId="4300"/>
    <cellStyle name="20% - Accent3 11 6" xfId="4301"/>
    <cellStyle name="20% - Accent3 11 6 2" xfId="4302"/>
    <cellStyle name="20% - Accent3 11 6 2 2" xfId="4303"/>
    <cellStyle name="20% - Accent3 11 6 2 3" xfId="4304"/>
    <cellStyle name="20% - Accent3 11 6 3" xfId="4305"/>
    <cellStyle name="20% - Accent3 11 6 3 2" xfId="4306"/>
    <cellStyle name="20% - Accent3 11 6 3 3" xfId="4307"/>
    <cellStyle name="20% - Accent3 11 6 4" xfId="4308"/>
    <cellStyle name="20% - Accent3 11 6 5" xfId="4309"/>
    <cellStyle name="20% - Accent3 11 7" xfId="4310"/>
    <cellStyle name="20% - Accent3 11 7 2" xfId="4311"/>
    <cellStyle name="20% - Accent3 11 7 3" xfId="4312"/>
    <cellStyle name="20% - Accent3 11 8" xfId="4313"/>
    <cellStyle name="20% - Accent3 11 8 2" xfId="4314"/>
    <cellStyle name="20% - Accent3 11 8 3" xfId="4315"/>
    <cellStyle name="20% - Accent3 11 9" xfId="4316"/>
    <cellStyle name="20% - Accent3 11_Volatility" xfId="4317"/>
    <cellStyle name="20% - Accent3 12" xfId="4318"/>
    <cellStyle name="20% - Accent3 12 10" xfId="4319"/>
    <cellStyle name="20% - Accent3 12 2" xfId="4320"/>
    <cellStyle name="20% - Accent3 12 2 2" xfId="4321"/>
    <cellStyle name="20% - Accent3 12 2 2 2" xfId="4322"/>
    <cellStyle name="20% - Accent3 12 2 2 2 2" xfId="4323"/>
    <cellStyle name="20% - Accent3 12 2 2 2 3" xfId="4324"/>
    <cellStyle name="20% - Accent3 12 2 2 3" xfId="4325"/>
    <cellStyle name="20% - Accent3 12 2 2 3 2" xfId="4326"/>
    <cellStyle name="20% - Accent3 12 2 2 3 3" xfId="4327"/>
    <cellStyle name="20% - Accent3 12 2 2 4" xfId="4328"/>
    <cellStyle name="20% - Accent3 12 2 2 5" xfId="4329"/>
    <cellStyle name="20% - Accent3 12 2 3" xfId="4330"/>
    <cellStyle name="20% - Accent3 12 2 3 2" xfId="4331"/>
    <cellStyle name="20% - Accent3 12 2 3 2 2" xfId="4332"/>
    <cellStyle name="20% - Accent3 12 2 3 2 3" xfId="4333"/>
    <cellStyle name="20% - Accent3 12 2 3 3" xfId="4334"/>
    <cellStyle name="20% - Accent3 12 2 3 3 2" xfId="4335"/>
    <cellStyle name="20% - Accent3 12 2 3 3 3" xfId="4336"/>
    <cellStyle name="20% - Accent3 12 2 3 4" xfId="4337"/>
    <cellStyle name="20% - Accent3 12 2 3 5" xfId="4338"/>
    <cellStyle name="20% - Accent3 12 2 4" xfId="4339"/>
    <cellStyle name="20% - Accent3 12 2 4 2" xfId="4340"/>
    <cellStyle name="20% - Accent3 12 2 4 2 2" xfId="4341"/>
    <cellStyle name="20% - Accent3 12 2 4 2 3" xfId="4342"/>
    <cellStyle name="20% - Accent3 12 2 4 3" xfId="4343"/>
    <cellStyle name="20% - Accent3 12 2 4 3 2" xfId="4344"/>
    <cellStyle name="20% - Accent3 12 2 4 3 3" xfId="4345"/>
    <cellStyle name="20% - Accent3 12 2 4 4" xfId="4346"/>
    <cellStyle name="20% - Accent3 12 2 4 5" xfId="4347"/>
    <cellStyle name="20% - Accent3 12 2 5" xfId="4348"/>
    <cellStyle name="20% - Accent3 12 2 5 2" xfId="4349"/>
    <cellStyle name="20% - Accent3 12 2 5 3" xfId="4350"/>
    <cellStyle name="20% - Accent3 12 2 6" xfId="4351"/>
    <cellStyle name="20% - Accent3 12 2 6 2" xfId="4352"/>
    <cellStyle name="20% - Accent3 12 2 6 3" xfId="4353"/>
    <cellStyle name="20% - Accent3 12 2 7" xfId="4354"/>
    <cellStyle name="20% - Accent3 12 2 8" xfId="4355"/>
    <cellStyle name="20% - Accent3 12 2_Volatility" xfId="4356"/>
    <cellStyle name="20% - Accent3 12 3" xfId="4357"/>
    <cellStyle name="20% - Accent3 12 3 2" xfId="4358"/>
    <cellStyle name="20% - Accent3 12 3 2 2" xfId="4359"/>
    <cellStyle name="20% - Accent3 12 3 2 2 2" xfId="4360"/>
    <cellStyle name="20% - Accent3 12 3 2 2 3" xfId="4361"/>
    <cellStyle name="20% - Accent3 12 3 2 3" xfId="4362"/>
    <cellStyle name="20% - Accent3 12 3 2 3 2" xfId="4363"/>
    <cellStyle name="20% - Accent3 12 3 2 3 3" xfId="4364"/>
    <cellStyle name="20% - Accent3 12 3 2 4" xfId="4365"/>
    <cellStyle name="20% - Accent3 12 3 2 5" xfId="4366"/>
    <cellStyle name="20% - Accent3 12 3 3" xfId="4367"/>
    <cellStyle name="20% - Accent3 12 3 3 2" xfId="4368"/>
    <cellStyle name="20% - Accent3 12 3 3 2 2" xfId="4369"/>
    <cellStyle name="20% - Accent3 12 3 3 2 3" xfId="4370"/>
    <cellStyle name="20% - Accent3 12 3 3 3" xfId="4371"/>
    <cellStyle name="20% - Accent3 12 3 3 3 2" xfId="4372"/>
    <cellStyle name="20% - Accent3 12 3 3 3 3" xfId="4373"/>
    <cellStyle name="20% - Accent3 12 3 3 4" xfId="4374"/>
    <cellStyle name="20% - Accent3 12 3 3 5" xfId="4375"/>
    <cellStyle name="20% - Accent3 12 3 4" xfId="4376"/>
    <cellStyle name="20% - Accent3 12 3 4 2" xfId="4377"/>
    <cellStyle name="20% - Accent3 12 3 4 3" xfId="4378"/>
    <cellStyle name="20% - Accent3 12 3 5" xfId="4379"/>
    <cellStyle name="20% - Accent3 12 3 5 2" xfId="4380"/>
    <cellStyle name="20% - Accent3 12 3 5 3" xfId="4381"/>
    <cellStyle name="20% - Accent3 12 3 6" xfId="4382"/>
    <cellStyle name="20% - Accent3 12 3 7" xfId="4383"/>
    <cellStyle name="20% - Accent3 12 3_Volatility" xfId="4384"/>
    <cellStyle name="20% - Accent3 12 4" xfId="4385"/>
    <cellStyle name="20% - Accent3 12 4 2" xfId="4386"/>
    <cellStyle name="20% - Accent3 12 4 2 2" xfId="4387"/>
    <cellStyle name="20% - Accent3 12 4 2 3" xfId="4388"/>
    <cellStyle name="20% - Accent3 12 4 3" xfId="4389"/>
    <cellStyle name="20% - Accent3 12 4 3 2" xfId="4390"/>
    <cellStyle name="20% - Accent3 12 4 3 3" xfId="4391"/>
    <cellStyle name="20% - Accent3 12 4 4" xfId="4392"/>
    <cellStyle name="20% - Accent3 12 4 5" xfId="4393"/>
    <cellStyle name="20% - Accent3 12 5" xfId="4394"/>
    <cellStyle name="20% - Accent3 12 5 2" xfId="4395"/>
    <cellStyle name="20% - Accent3 12 5 2 2" xfId="4396"/>
    <cellStyle name="20% - Accent3 12 5 2 3" xfId="4397"/>
    <cellStyle name="20% - Accent3 12 5 3" xfId="4398"/>
    <cellStyle name="20% - Accent3 12 5 3 2" xfId="4399"/>
    <cellStyle name="20% - Accent3 12 5 3 3" xfId="4400"/>
    <cellStyle name="20% - Accent3 12 5 4" xfId="4401"/>
    <cellStyle name="20% - Accent3 12 5 5" xfId="4402"/>
    <cellStyle name="20% - Accent3 12 6" xfId="4403"/>
    <cellStyle name="20% - Accent3 12 6 2" xfId="4404"/>
    <cellStyle name="20% - Accent3 12 6 2 2" xfId="4405"/>
    <cellStyle name="20% - Accent3 12 6 2 3" xfId="4406"/>
    <cellStyle name="20% - Accent3 12 6 3" xfId="4407"/>
    <cellStyle name="20% - Accent3 12 6 3 2" xfId="4408"/>
    <cellStyle name="20% - Accent3 12 6 3 3" xfId="4409"/>
    <cellStyle name="20% - Accent3 12 6 4" xfId="4410"/>
    <cellStyle name="20% - Accent3 12 6 5" xfId="4411"/>
    <cellStyle name="20% - Accent3 12 7" xfId="4412"/>
    <cellStyle name="20% - Accent3 12 7 2" xfId="4413"/>
    <cellStyle name="20% - Accent3 12 7 3" xfId="4414"/>
    <cellStyle name="20% - Accent3 12 8" xfId="4415"/>
    <cellStyle name="20% - Accent3 12 8 2" xfId="4416"/>
    <cellStyle name="20% - Accent3 12 8 3" xfId="4417"/>
    <cellStyle name="20% - Accent3 12 9" xfId="4418"/>
    <cellStyle name="20% - Accent3 12_Volatility" xfId="4419"/>
    <cellStyle name="20% - Accent3 13" xfId="4420"/>
    <cellStyle name="20% - Accent3 13 10" xfId="4421"/>
    <cellStyle name="20% - Accent3 13 2" xfId="4422"/>
    <cellStyle name="20% - Accent3 13 2 2" xfId="4423"/>
    <cellStyle name="20% - Accent3 13 2 2 2" xfId="4424"/>
    <cellStyle name="20% - Accent3 13 2 2 2 2" xfId="4425"/>
    <cellStyle name="20% - Accent3 13 2 2 2 3" xfId="4426"/>
    <cellStyle name="20% - Accent3 13 2 2 3" xfId="4427"/>
    <cellStyle name="20% - Accent3 13 2 2 3 2" xfId="4428"/>
    <cellStyle name="20% - Accent3 13 2 2 3 3" xfId="4429"/>
    <cellStyle name="20% - Accent3 13 2 2 4" xfId="4430"/>
    <cellStyle name="20% - Accent3 13 2 2 5" xfId="4431"/>
    <cellStyle name="20% - Accent3 13 2 3" xfId="4432"/>
    <cellStyle name="20% - Accent3 13 2 3 2" xfId="4433"/>
    <cellStyle name="20% - Accent3 13 2 3 2 2" xfId="4434"/>
    <cellStyle name="20% - Accent3 13 2 3 2 3" xfId="4435"/>
    <cellStyle name="20% - Accent3 13 2 3 3" xfId="4436"/>
    <cellStyle name="20% - Accent3 13 2 3 3 2" xfId="4437"/>
    <cellStyle name="20% - Accent3 13 2 3 3 3" xfId="4438"/>
    <cellStyle name="20% - Accent3 13 2 3 4" xfId="4439"/>
    <cellStyle name="20% - Accent3 13 2 3 5" xfId="4440"/>
    <cellStyle name="20% - Accent3 13 2 4" xfId="4441"/>
    <cellStyle name="20% - Accent3 13 2 4 2" xfId="4442"/>
    <cellStyle name="20% - Accent3 13 2 4 2 2" xfId="4443"/>
    <cellStyle name="20% - Accent3 13 2 4 2 3" xfId="4444"/>
    <cellStyle name="20% - Accent3 13 2 4 3" xfId="4445"/>
    <cellStyle name="20% - Accent3 13 2 4 3 2" xfId="4446"/>
    <cellStyle name="20% - Accent3 13 2 4 3 3" xfId="4447"/>
    <cellStyle name="20% - Accent3 13 2 4 4" xfId="4448"/>
    <cellStyle name="20% - Accent3 13 2 4 5" xfId="4449"/>
    <cellStyle name="20% - Accent3 13 2 5" xfId="4450"/>
    <cellStyle name="20% - Accent3 13 2 5 2" xfId="4451"/>
    <cellStyle name="20% - Accent3 13 2 5 3" xfId="4452"/>
    <cellStyle name="20% - Accent3 13 2 6" xfId="4453"/>
    <cellStyle name="20% - Accent3 13 2 6 2" xfId="4454"/>
    <cellStyle name="20% - Accent3 13 2 6 3" xfId="4455"/>
    <cellStyle name="20% - Accent3 13 2 7" xfId="4456"/>
    <cellStyle name="20% - Accent3 13 2 8" xfId="4457"/>
    <cellStyle name="20% - Accent3 13 2_Volatility" xfId="4458"/>
    <cellStyle name="20% - Accent3 13 3" xfId="4459"/>
    <cellStyle name="20% - Accent3 13 3 2" xfId="4460"/>
    <cellStyle name="20% - Accent3 13 3 2 2" xfId="4461"/>
    <cellStyle name="20% - Accent3 13 3 2 2 2" xfId="4462"/>
    <cellStyle name="20% - Accent3 13 3 2 2 3" xfId="4463"/>
    <cellStyle name="20% - Accent3 13 3 2 3" xfId="4464"/>
    <cellStyle name="20% - Accent3 13 3 2 3 2" xfId="4465"/>
    <cellStyle name="20% - Accent3 13 3 2 3 3" xfId="4466"/>
    <cellStyle name="20% - Accent3 13 3 2 4" xfId="4467"/>
    <cellStyle name="20% - Accent3 13 3 2 5" xfId="4468"/>
    <cellStyle name="20% - Accent3 13 3 3" xfId="4469"/>
    <cellStyle name="20% - Accent3 13 3 3 2" xfId="4470"/>
    <cellStyle name="20% - Accent3 13 3 3 2 2" xfId="4471"/>
    <cellStyle name="20% - Accent3 13 3 3 2 3" xfId="4472"/>
    <cellStyle name="20% - Accent3 13 3 3 3" xfId="4473"/>
    <cellStyle name="20% - Accent3 13 3 3 3 2" xfId="4474"/>
    <cellStyle name="20% - Accent3 13 3 3 3 3" xfId="4475"/>
    <cellStyle name="20% - Accent3 13 3 3 4" xfId="4476"/>
    <cellStyle name="20% - Accent3 13 3 3 5" xfId="4477"/>
    <cellStyle name="20% - Accent3 13 3 4" xfId="4478"/>
    <cellStyle name="20% - Accent3 13 3 4 2" xfId="4479"/>
    <cellStyle name="20% - Accent3 13 3 4 3" xfId="4480"/>
    <cellStyle name="20% - Accent3 13 3 5" xfId="4481"/>
    <cellStyle name="20% - Accent3 13 3 5 2" xfId="4482"/>
    <cellStyle name="20% - Accent3 13 3 5 3" xfId="4483"/>
    <cellStyle name="20% - Accent3 13 3 6" xfId="4484"/>
    <cellStyle name="20% - Accent3 13 3 7" xfId="4485"/>
    <cellStyle name="20% - Accent3 13 3_Volatility" xfId="4486"/>
    <cellStyle name="20% - Accent3 13 4" xfId="4487"/>
    <cellStyle name="20% - Accent3 13 4 2" xfId="4488"/>
    <cellStyle name="20% - Accent3 13 4 2 2" xfId="4489"/>
    <cellStyle name="20% - Accent3 13 4 2 3" xfId="4490"/>
    <cellStyle name="20% - Accent3 13 4 3" xfId="4491"/>
    <cellStyle name="20% - Accent3 13 4 3 2" xfId="4492"/>
    <cellStyle name="20% - Accent3 13 4 3 3" xfId="4493"/>
    <cellStyle name="20% - Accent3 13 4 4" xfId="4494"/>
    <cellStyle name="20% - Accent3 13 4 5" xfId="4495"/>
    <cellStyle name="20% - Accent3 13 5" xfId="4496"/>
    <cellStyle name="20% - Accent3 13 5 2" xfId="4497"/>
    <cellStyle name="20% - Accent3 13 5 2 2" xfId="4498"/>
    <cellStyle name="20% - Accent3 13 5 2 3" xfId="4499"/>
    <cellStyle name="20% - Accent3 13 5 3" xfId="4500"/>
    <cellStyle name="20% - Accent3 13 5 3 2" xfId="4501"/>
    <cellStyle name="20% - Accent3 13 5 3 3" xfId="4502"/>
    <cellStyle name="20% - Accent3 13 5 4" xfId="4503"/>
    <cellStyle name="20% - Accent3 13 5 5" xfId="4504"/>
    <cellStyle name="20% - Accent3 13 6" xfId="4505"/>
    <cellStyle name="20% - Accent3 13 6 2" xfId="4506"/>
    <cellStyle name="20% - Accent3 13 6 2 2" xfId="4507"/>
    <cellStyle name="20% - Accent3 13 6 2 3" xfId="4508"/>
    <cellStyle name="20% - Accent3 13 6 3" xfId="4509"/>
    <cellStyle name="20% - Accent3 13 6 3 2" xfId="4510"/>
    <cellStyle name="20% - Accent3 13 6 3 3" xfId="4511"/>
    <cellStyle name="20% - Accent3 13 6 4" xfId="4512"/>
    <cellStyle name="20% - Accent3 13 6 5" xfId="4513"/>
    <cellStyle name="20% - Accent3 13 7" xfId="4514"/>
    <cellStyle name="20% - Accent3 13 7 2" xfId="4515"/>
    <cellStyle name="20% - Accent3 13 7 3" xfId="4516"/>
    <cellStyle name="20% - Accent3 13 8" xfId="4517"/>
    <cellStyle name="20% - Accent3 13 8 2" xfId="4518"/>
    <cellStyle name="20% - Accent3 13 8 3" xfId="4519"/>
    <cellStyle name="20% - Accent3 13 9" xfId="4520"/>
    <cellStyle name="20% - Accent3 13_Volatility" xfId="4521"/>
    <cellStyle name="20% - Accent3 14" xfId="4522"/>
    <cellStyle name="20% - Accent3 14 10" xfId="4523"/>
    <cellStyle name="20% - Accent3 14 2" xfId="4524"/>
    <cellStyle name="20% - Accent3 14 2 2" xfId="4525"/>
    <cellStyle name="20% - Accent3 14 2 2 2" xfId="4526"/>
    <cellStyle name="20% - Accent3 14 2 2 2 2" xfId="4527"/>
    <cellStyle name="20% - Accent3 14 2 2 2 3" xfId="4528"/>
    <cellStyle name="20% - Accent3 14 2 2 3" xfId="4529"/>
    <cellStyle name="20% - Accent3 14 2 2 3 2" xfId="4530"/>
    <cellStyle name="20% - Accent3 14 2 2 3 3" xfId="4531"/>
    <cellStyle name="20% - Accent3 14 2 2 4" xfId="4532"/>
    <cellStyle name="20% - Accent3 14 2 2 5" xfId="4533"/>
    <cellStyle name="20% - Accent3 14 2 3" xfId="4534"/>
    <cellStyle name="20% - Accent3 14 2 3 2" xfId="4535"/>
    <cellStyle name="20% - Accent3 14 2 3 2 2" xfId="4536"/>
    <cellStyle name="20% - Accent3 14 2 3 2 3" xfId="4537"/>
    <cellStyle name="20% - Accent3 14 2 3 3" xfId="4538"/>
    <cellStyle name="20% - Accent3 14 2 3 3 2" xfId="4539"/>
    <cellStyle name="20% - Accent3 14 2 3 3 3" xfId="4540"/>
    <cellStyle name="20% - Accent3 14 2 3 4" xfId="4541"/>
    <cellStyle name="20% - Accent3 14 2 3 5" xfId="4542"/>
    <cellStyle name="20% - Accent3 14 2 4" xfId="4543"/>
    <cellStyle name="20% - Accent3 14 2 4 2" xfId="4544"/>
    <cellStyle name="20% - Accent3 14 2 4 2 2" xfId="4545"/>
    <cellStyle name="20% - Accent3 14 2 4 2 3" xfId="4546"/>
    <cellStyle name="20% - Accent3 14 2 4 3" xfId="4547"/>
    <cellStyle name="20% - Accent3 14 2 4 3 2" xfId="4548"/>
    <cellStyle name="20% - Accent3 14 2 4 3 3" xfId="4549"/>
    <cellStyle name="20% - Accent3 14 2 4 4" xfId="4550"/>
    <cellStyle name="20% - Accent3 14 2 4 5" xfId="4551"/>
    <cellStyle name="20% - Accent3 14 2 5" xfId="4552"/>
    <cellStyle name="20% - Accent3 14 2 5 2" xfId="4553"/>
    <cellStyle name="20% - Accent3 14 2 5 3" xfId="4554"/>
    <cellStyle name="20% - Accent3 14 2 6" xfId="4555"/>
    <cellStyle name="20% - Accent3 14 2 6 2" xfId="4556"/>
    <cellStyle name="20% - Accent3 14 2 6 3" xfId="4557"/>
    <cellStyle name="20% - Accent3 14 2 7" xfId="4558"/>
    <cellStyle name="20% - Accent3 14 2 8" xfId="4559"/>
    <cellStyle name="20% - Accent3 14 2_Volatility" xfId="4560"/>
    <cellStyle name="20% - Accent3 14 3" xfId="4561"/>
    <cellStyle name="20% - Accent3 14 3 2" xfId="4562"/>
    <cellStyle name="20% - Accent3 14 3 2 2" xfId="4563"/>
    <cellStyle name="20% - Accent3 14 3 2 2 2" xfId="4564"/>
    <cellStyle name="20% - Accent3 14 3 2 2 3" xfId="4565"/>
    <cellStyle name="20% - Accent3 14 3 2 3" xfId="4566"/>
    <cellStyle name="20% - Accent3 14 3 2 3 2" xfId="4567"/>
    <cellStyle name="20% - Accent3 14 3 2 3 3" xfId="4568"/>
    <cellStyle name="20% - Accent3 14 3 2 4" xfId="4569"/>
    <cellStyle name="20% - Accent3 14 3 2 5" xfId="4570"/>
    <cellStyle name="20% - Accent3 14 3 3" xfId="4571"/>
    <cellStyle name="20% - Accent3 14 3 3 2" xfId="4572"/>
    <cellStyle name="20% - Accent3 14 3 3 2 2" xfId="4573"/>
    <cellStyle name="20% - Accent3 14 3 3 2 3" xfId="4574"/>
    <cellStyle name="20% - Accent3 14 3 3 3" xfId="4575"/>
    <cellStyle name="20% - Accent3 14 3 3 3 2" xfId="4576"/>
    <cellStyle name="20% - Accent3 14 3 3 3 3" xfId="4577"/>
    <cellStyle name="20% - Accent3 14 3 3 4" xfId="4578"/>
    <cellStyle name="20% - Accent3 14 3 3 5" xfId="4579"/>
    <cellStyle name="20% - Accent3 14 3 4" xfId="4580"/>
    <cellStyle name="20% - Accent3 14 3 4 2" xfId="4581"/>
    <cellStyle name="20% - Accent3 14 3 4 3" xfId="4582"/>
    <cellStyle name="20% - Accent3 14 3 5" xfId="4583"/>
    <cellStyle name="20% - Accent3 14 3 5 2" xfId="4584"/>
    <cellStyle name="20% - Accent3 14 3 5 3" xfId="4585"/>
    <cellStyle name="20% - Accent3 14 3 6" xfId="4586"/>
    <cellStyle name="20% - Accent3 14 3 7" xfId="4587"/>
    <cellStyle name="20% - Accent3 14 3_Volatility" xfId="4588"/>
    <cellStyle name="20% - Accent3 14 4" xfId="4589"/>
    <cellStyle name="20% - Accent3 14 4 2" xfId="4590"/>
    <cellStyle name="20% - Accent3 14 4 2 2" xfId="4591"/>
    <cellStyle name="20% - Accent3 14 4 2 3" xfId="4592"/>
    <cellStyle name="20% - Accent3 14 4 3" xfId="4593"/>
    <cellStyle name="20% - Accent3 14 4 3 2" xfId="4594"/>
    <cellStyle name="20% - Accent3 14 4 3 3" xfId="4595"/>
    <cellStyle name="20% - Accent3 14 4 4" xfId="4596"/>
    <cellStyle name="20% - Accent3 14 4 5" xfId="4597"/>
    <cellStyle name="20% - Accent3 14 5" xfId="4598"/>
    <cellStyle name="20% - Accent3 14 5 2" xfId="4599"/>
    <cellStyle name="20% - Accent3 14 5 2 2" xfId="4600"/>
    <cellStyle name="20% - Accent3 14 5 2 3" xfId="4601"/>
    <cellStyle name="20% - Accent3 14 5 3" xfId="4602"/>
    <cellStyle name="20% - Accent3 14 5 3 2" xfId="4603"/>
    <cellStyle name="20% - Accent3 14 5 3 3" xfId="4604"/>
    <cellStyle name="20% - Accent3 14 5 4" xfId="4605"/>
    <cellStyle name="20% - Accent3 14 5 5" xfId="4606"/>
    <cellStyle name="20% - Accent3 14 6" xfId="4607"/>
    <cellStyle name="20% - Accent3 14 6 2" xfId="4608"/>
    <cellStyle name="20% - Accent3 14 6 2 2" xfId="4609"/>
    <cellStyle name="20% - Accent3 14 6 2 3" xfId="4610"/>
    <cellStyle name="20% - Accent3 14 6 3" xfId="4611"/>
    <cellStyle name="20% - Accent3 14 6 3 2" xfId="4612"/>
    <cellStyle name="20% - Accent3 14 6 3 3" xfId="4613"/>
    <cellStyle name="20% - Accent3 14 6 4" xfId="4614"/>
    <cellStyle name="20% - Accent3 14 6 5" xfId="4615"/>
    <cellStyle name="20% - Accent3 14 7" xfId="4616"/>
    <cellStyle name="20% - Accent3 14 7 2" xfId="4617"/>
    <cellStyle name="20% - Accent3 14 7 3" xfId="4618"/>
    <cellStyle name="20% - Accent3 14 8" xfId="4619"/>
    <cellStyle name="20% - Accent3 14 8 2" xfId="4620"/>
    <cellStyle name="20% - Accent3 14 8 3" xfId="4621"/>
    <cellStyle name="20% - Accent3 14 9" xfId="4622"/>
    <cellStyle name="20% - Accent3 14_Volatility" xfId="4623"/>
    <cellStyle name="20% - Accent3 15" xfId="4624"/>
    <cellStyle name="20% - Accent3 15 10" xfId="4625"/>
    <cellStyle name="20% - Accent3 15 2" xfId="4626"/>
    <cellStyle name="20% - Accent3 15 2 2" xfId="4627"/>
    <cellStyle name="20% - Accent3 15 2 2 2" xfId="4628"/>
    <cellStyle name="20% - Accent3 15 2 2 2 2" xfId="4629"/>
    <cellStyle name="20% - Accent3 15 2 2 2 3" xfId="4630"/>
    <cellStyle name="20% - Accent3 15 2 2 3" xfId="4631"/>
    <cellStyle name="20% - Accent3 15 2 2 3 2" xfId="4632"/>
    <cellStyle name="20% - Accent3 15 2 2 3 3" xfId="4633"/>
    <cellStyle name="20% - Accent3 15 2 2 4" xfId="4634"/>
    <cellStyle name="20% - Accent3 15 2 2 5" xfId="4635"/>
    <cellStyle name="20% - Accent3 15 2 3" xfId="4636"/>
    <cellStyle name="20% - Accent3 15 2 3 2" xfId="4637"/>
    <cellStyle name="20% - Accent3 15 2 3 2 2" xfId="4638"/>
    <cellStyle name="20% - Accent3 15 2 3 2 3" xfId="4639"/>
    <cellStyle name="20% - Accent3 15 2 3 3" xfId="4640"/>
    <cellStyle name="20% - Accent3 15 2 3 3 2" xfId="4641"/>
    <cellStyle name="20% - Accent3 15 2 3 3 3" xfId="4642"/>
    <cellStyle name="20% - Accent3 15 2 3 4" xfId="4643"/>
    <cellStyle name="20% - Accent3 15 2 3 5" xfId="4644"/>
    <cellStyle name="20% - Accent3 15 2 4" xfId="4645"/>
    <cellStyle name="20% - Accent3 15 2 4 2" xfId="4646"/>
    <cellStyle name="20% - Accent3 15 2 4 2 2" xfId="4647"/>
    <cellStyle name="20% - Accent3 15 2 4 2 3" xfId="4648"/>
    <cellStyle name="20% - Accent3 15 2 4 3" xfId="4649"/>
    <cellStyle name="20% - Accent3 15 2 4 3 2" xfId="4650"/>
    <cellStyle name="20% - Accent3 15 2 4 3 3" xfId="4651"/>
    <cellStyle name="20% - Accent3 15 2 4 4" xfId="4652"/>
    <cellStyle name="20% - Accent3 15 2 4 5" xfId="4653"/>
    <cellStyle name="20% - Accent3 15 2 5" xfId="4654"/>
    <cellStyle name="20% - Accent3 15 2 5 2" xfId="4655"/>
    <cellStyle name="20% - Accent3 15 2 5 3" xfId="4656"/>
    <cellStyle name="20% - Accent3 15 2 6" xfId="4657"/>
    <cellStyle name="20% - Accent3 15 2 6 2" xfId="4658"/>
    <cellStyle name="20% - Accent3 15 2 6 3" xfId="4659"/>
    <cellStyle name="20% - Accent3 15 2 7" xfId="4660"/>
    <cellStyle name="20% - Accent3 15 2 8" xfId="4661"/>
    <cellStyle name="20% - Accent3 15 2_Volatility" xfId="4662"/>
    <cellStyle name="20% - Accent3 15 3" xfId="4663"/>
    <cellStyle name="20% - Accent3 15 3 2" xfId="4664"/>
    <cellStyle name="20% - Accent3 15 3 2 2" xfId="4665"/>
    <cellStyle name="20% - Accent3 15 3 2 2 2" xfId="4666"/>
    <cellStyle name="20% - Accent3 15 3 2 2 3" xfId="4667"/>
    <cellStyle name="20% - Accent3 15 3 2 3" xfId="4668"/>
    <cellStyle name="20% - Accent3 15 3 2 3 2" xfId="4669"/>
    <cellStyle name="20% - Accent3 15 3 2 3 3" xfId="4670"/>
    <cellStyle name="20% - Accent3 15 3 2 4" xfId="4671"/>
    <cellStyle name="20% - Accent3 15 3 2 5" xfId="4672"/>
    <cellStyle name="20% - Accent3 15 3 3" xfId="4673"/>
    <cellStyle name="20% - Accent3 15 3 3 2" xfId="4674"/>
    <cellStyle name="20% - Accent3 15 3 3 2 2" xfId="4675"/>
    <cellStyle name="20% - Accent3 15 3 3 2 3" xfId="4676"/>
    <cellStyle name="20% - Accent3 15 3 3 3" xfId="4677"/>
    <cellStyle name="20% - Accent3 15 3 3 3 2" xfId="4678"/>
    <cellStyle name="20% - Accent3 15 3 3 3 3" xfId="4679"/>
    <cellStyle name="20% - Accent3 15 3 3 4" xfId="4680"/>
    <cellStyle name="20% - Accent3 15 3 3 5" xfId="4681"/>
    <cellStyle name="20% - Accent3 15 3 4" xfId="4682"/>
    <cellStyle name="20% - Accent3 15 3 4 2" xfId="4683"/>
    <cellStyle name="20% - Accent3 15 3 4 3" xfId="4684"/>
    <cellStyle name="20% - Accent3 15 3 5" xfId="4685"/>
    <cellStyle name="20% - Accent3 15 3 5 2" xfId="4686"/>
    <cellStyle name="20% - Accent3 15 3 5 3" xfId="4687"/>
    <cellStyle name="20% - Accent3 15 3 6" xfId="4688"/>
    <cellStyle name="20% - Accent3 15 3 7" xfId="4689"/>
    <cellStyle name="20% - Accent3 15 3_Volatility" xfId="4690"/>
    <cellStyle name="20% - Accent3 15 4" xfId="4691"/>
    <cellStyle name="20% - Accent3 15 4 2" xfId="4692"/>
    <cellStyle name="20% - Accent3 15 4 2 2" xfId="4693"/>
    <cellStyle name="20% - Accent3 15 4 2 3" xfId="4694"/>
    <cellStyle name="20% - Accent3 15 4 3" xfId="4695"/>
    <cellStyle name="20% - Accent3 15 4 3 2" xfId="4696"/>
    <cellStyle name="20% - Accent3 15 4 3 3" xfId="4697"/>
    <cellStyle name="20% - Accent3 15 4 4" xfId="4698"/>
    <cellStyle name="20% - Accent3 15 4 5" xfId="4699"/>
    <cellStyle name="20% - Accent3 15 5" xfId="4700"/>
    <cellStyle name="20% - Accent3 15 5 2" xfId="4701"/>
    <cellStyle name="20% - Accent3 15 5 2 2" xfId="4702"/>
    <cellStyle name="20% - Accent3 15 5 2 3" xfId="4703"/>
    <cellStyle name="20% - Accent3 15 5 3" xfId="4704"/>
    <cellStyle name="20% - Accent3 15 5 3 2" xfId="4705"/>
    <cellStyle name="20% - Accent3 15 5 3 3" xfId="4706"/>
    <cellStyle name="20% - Accent3 15 5 4" xfId="4707"/>
    <cellStyle name="20% - Accent3 15 5 5" xfId="4708"/>
    <cellStyle name="20% - Accent3 15 6" xfId="4709"/>
    <cellStyle name="20% - Accent3 15 6 2" xfId="4710"/>
    <cellStyle name="20% - Accent3 15 6 2 2" xfId="4711"/>
    <cellStyle name="20% - Accent3 15 6 2 3" xfId="4712"/>
    <cellStyle name="20% - Accent3 15 6 3" xfId="4713"/>
    <cellStyle name="20% - Accent3 15 6 3 2" xfId="4714"/>
    <cellStyle name="20% - Accent3 15 6 3 3" xfId="4715"/>
    <cellStyle name="20% - Accent3 15 6 4" xfId="4716"/>
    <cellStyle name="20% - Accent3 15 6 5" xfId="4717"/>
    <cellStyle name="20% - Accent3 15 7" xfId="4718"/>
    <cellStyle name="20% - Accent3 15 7 2" xfId="4719"/>
    <cellStyle name="20% - Accent3 15 7 3" xfId="4720"/>
    <cellStyle name="20% - Accent3 15 8" xfId="4721"/>
    <cellStyle name="20% - Accent3 15 8 2" xfId="4722"/>
    <cellStyle name="20% - Accent3 15 8 3" xfId="4723"/>
    <cellStyle name="20% - Accent3 15 9" xfId="4724"/>
    <cellStyle name="20% - Accent3 15_Volatility" xfId="4725"/>
    <cellStyle name="20% - Accent3 16" xfId="4726"/>
    <cellStyle name="20% - Accent3 16 2" xfId="4727"/>
    <cellStyle name="20% - Accent3 16 3" xfId="4728"/>
    <cellStyle name="20% - Accent3 17" xfId="4729"/>
    <cellStyle name="20% - Accent3 17 2" xfId="4730"/>
    <cellStyle name="20% - Accent3 17 3" xfId="4731"/>
    <cellStyle name="20% - Accent3 18" xfId="4732"/>
    <cellStyle name="20% - Accent3 18 2" xfId="4733"/>
    <cellStyle name="20% - Accent3 18 3" xfId="4734"/>
    <cellStyle name="20% - Accent3 19" xfId="4735"/>
    <cellStyle name="20% - Accent3 19 2" xfId="4736"/>
    <cellStyle name="20% - Accent3 19 3" xfId="4737"/>
    <cellStyle name="20% - Accent3 2" xfId="4738"/>
    <cellStyle name="20% - Accent3 2 10" xfId="4739"/>
    <cellStyle name="20% - Accent3 2 2" xfId="4740"/>
    <cellStyle name="20% - Accent3 2 2 2" xfId="4741"/>
    <cellStyle name="20% - Accent3 2 2 2 2" xfId="4742"/>
    <cellStyle name="20% - Accent3 2 2 2 2 2" xfId="4743"/>
    <cellStyle name="20% - Accent3 2 2 2 2 3" xfId="4744"/>
    <cellStyle name="20% - Accent3 2 2 2 3" xfId="4745"/>
    <cellStyle name="20% - Accent3 2 2 2 3 2" xfId="4746"/>
    <cellStyle name="20% - Accent3 2 2 2 3 3" xfId="4747"/>
    <cellStyle name="20% - Accent3 2 2 2 4" xfId="4748"/>
    <cellStyle name="20% - Accent3 2 2 2 5" xfId="4749"/>
    <cellStyle name="20% - Accent3 2 2 3" xfId="4750"/>
    <cellStyle name="20% - Accent3 2 2 3 2" xfId="4751"/>
    <cellStyle name="20% - Accent3 2 2 3 2 2" xfId="4752"/>
    <cellStyle name="20% - Accent3 2 2 3 2 3" xfId="4753"/>
    <cellStyle name="20% - Accent3 2 2 3 3" xfId="4754"/>
    <cellStyle name="20% - Accent3 2 2 3 3 2" xfId="4755"/>
    <cellStyle name="20% - Accent3 2 2 3 3 3" xfId="4756"/>
    <cellStyle name="20% - Accent3 2 2 3 4" xfId="4757"/>
    <cellStyle name="20% - Accent3 2 2 3 5" xfId="4758"/>
    <cellStyle name="20% - Accent3 2 2 4" xfId="4759"/>
    <cellStyle name="20% - Accent3 2 2 4 2" xfId="4760"/>
    <cellStyle name="20% - Accent3 2 2 4 2 2" xfId="4761"/>
    <cellStyle name="20% - Accent3 2 2 4 2 3" xfId="4762"/>
    <cellStyle name="20% - Accent3 2 2 4 3" xfId="4763"/>
    <cellStyle name="20% - Accent3 2 2 4 3 2" xfId="4764"/>
    <cellStyle name="20% - Accent3 2 2 4 3 3" xfId="4765"/>
    <cellStyle name="20% - Accent3 2 2 4 4" xfId="4766"/>
    <cellStyle name="20% - Accent3 2 2 4 5" xfId="4767"/>
    <cellStyle name="20% - Accent3 2 2 5" xfId="4768"/>
    <cellStyle name="20% - Accent3 2 2 5 2" xfId="4769"/>
    <cellStyle name="20% - Accent3 2 2 5 3" xfId="4770"/>
    <cellStyle name="20% - Accent3 2 2 6" xfId="4771"/>
    <cellStyle name="20% - Accent3 2 2 6 2" xfId="4772"/>
    <cellStyle name="20% - Accent3 2 2 6 3" xfId="4773"/>
    <cellStyle name="20% - Accent3 2 2 7" xfId="4774"/>
    <cellStyle name="20% - Accent3 2 2 8" xfId="4775"/>
    <cellStyle name="20% - Accent3 2 2_Volatility" xfId="4776"/>
    <cellStyle name="20% - Accent3 2 3" xfId="4777"/>
    <cellStyle name="20% - Accent3 2 3 2" xfId="4778"/>
    <cellStyle name="20% - Accent3 2 3 2 2" xfId="4779"/>
    <cellStyle name="20% - Accent3 2 3 2 2 2" xfId="4780"/>
    <cellStyle name="20% - Accent3 2 3 2 2 3" xfId="4781"/>
    <cellStyle name="20% - Accent3 2 3 2 3" xfId="4782"/>
    <cellStyle name="20% - Accent3 2 3 2 3 2" xfId="4783"/>
    <cellStyle name="20% - Accent3 2 3 2 3 3" xfId="4784"/>
    <cellStyle name="20% - Accent3 2 3 2 4" xfId="4785"/>
    <cellStyle name="20% - Accent3 2 3 2 5" xfId="4786"/>
    <cellStyle name="20% - Accent3 2 3 3" xfId="4787"/>
    <cellStyle name="20% - Accent3 2 3 3 2" xfId="4788"/>
    <cellStyle name="20% - Accent3 2 3 3 2 2" xfId="4789"/>
    <cellStyle name="20% - Accent3 2 3 3 2 3" xfId="4790"/>
    <cellStyle name="20% - Accent3 2 3 3 3" xfId="4791"/>
    <cellStyle name="20% - Accent3 2 3 3 3 2" xfId="4792"/>
    <cellStyle name="20% - Accent3 2 3 3 3 3" xfId="4793"/>
    <cellStyle name="20% - Accent3 2 3 3 4" xfId="4794"/>
    <cellStyle name="20% - Accent3 2 3 3 5" xfId="4795"/>
    <cellStyle name="20% - Accent3 2 3 4" xfId="4796"/>
    <cellStyle name="20% - Accent3 2 3 4 2" xfId="4797"/>
    <cellStyle name="20% - Accent3 2 3 4 3" xfId="4798"/>
    <cellStyle name="20% - Accent3 2 3 5" xfId="4799"/>
    <cellStyle name="20% - Accent3 2 3 5 2" xfId="4800"/>
    <cellStyle name="20% - Accent3 2 3 5 3" xfId="4801"/>
    <cellStyle name="20% - Accent3 2 3 6" xfId="4802"/>
    <cellStyle name="20% - Accent3 2 3 7" xfId="4803"/>
    <cellStyle name="20% - Accent3 2 3_Volatility" xfId="4804"/>
    <cellStyle name="20% - Accent3 2 4" xfId="4805"/>
    <cellStyle name="20% - Accent3 2 4 2" xfId="4806"/>
    <cellStyle name="20% - Accent3 2 4 2 2" xfId="4807"/>
    <cellStyle name="20% - Accent3 2 4 2 3" xfId="4808"/>
    <cellStyle name="20% - Accent3 2 4 3" xfId="4809"/>
    <cellStyle name="20% - Accent3 2 4 3 2" xfId="4810"/>
    <cellStyle name="20% - Accent3 2 4 3 3" xfId="4811"/>
    <cellStyle name="20% - Accent3 2 4 4" xfId="4812"/>
    <cellStyle name="20% - Accent3 2 4 5" xfId="4813"/>
    <cellStyle name="20% - Accent3 2 5" xfId="4814"/>
    <cellStyle name="20% - Accent3 2 5 2" xfId="4815"/>
    <cellStyle name="20% - Accent3 2 5 2 2" xfId="4816"/>
    <cellStyle name="20% - Accent3 2 5 2 3" xfId="4817"/>
    <cellStyle name="20% - Accent3 2 5 3" xfId="4818"/>
    <cellStyle name="20% - Accent3 2 5 3 2" xfId="4819"/>
    <cellStyle name="20% - Accent3 2 5 3 3" xfId="4820"/>
    <cellStyle name="20% - Accent3 2 5 4" xfId="4821"/>
    <cellStyle name="20% - Accent3 2 5 5" xfId="4822"/>
    <cellStyle name="20% - Accent3 2 6" xfId="4823"/>
    <cellStyle name="20% - Accent3 2 6 2" xfId="4824"/>
    <cellStyle name="20% - Accent3 2 6 2 2" xfId="4825"/>
    <cellStyle name="20% - Accent3 2 6 2 3" xfId="4826"/>
    <cellStyle name="20% - Accent3 2 6 3" xfId="4827"/>
    <cellStyle name="20% - Accent3 2 6 3 2" xfId="4828"/>
    <cellStyle name="20% - Accent3 2 6 3 3" xfId="4829"/>
    <cellStyle name="20% - Accent3 2 6 4" xfId="4830"/>
    <cellStyle name="20% - Accent3 2 6 5" xfId="4831"/>
    <cellStyle name="20% - Accent3 2 7" xfId="4832"/>
    <cellStyle name="20% - Accent3 2 7 2" xfId="4833"/>
    <cellStyle name="20% - Accent3 2 7 3" xfId="4834"/>
    <cellStyle name="20% - Accent3 2 8" xfId="4835"/>
    <cellStyle name="20% - Accent3 2 8 2" xfId="4836"/>
    <cellStyle name="20% - Accent3 2 8 3" xfId="4837"/>
    <cellStyle name="20% - Accent3 2 9" xfId="4838"/>
    <cellStyle name="20% - Accent3 2_Volatility" xfId="4839"/>
    <cellStyle name="20% - Accent3 3" xfId="4840"/>
    <cellStyle name="20% - Accent3 3 10" xfId="4841"/>
    <cellStyle name="20% - Accent3 3 2" xfId="4842"/>
    <cellStyle name="20% - Accent3 3 2 2" xfId="4843"/>
    <cellStyle name="20% - Accent3 3 2 2 2" xfId="4844"/>
    <cellStyle name="20% - Accent3 3 2 2 2 2" xfId="4845"/>
    <cellStyle name="20% - Accent3 3 2 2 2 3" xfId="4846"/>
    <cellStyle name="20% - Accent3 3 2 2 3" xfId="4847"/>
    <cellStyle name="20% - Accent3 3 2 2 3 2" xfId="4848"/>
    <cellStyle name="20% - Accent3 3 2 2 3 3" xfId="4849"/>
    <cellStyle name="20% - Accent3 3 2 2 4" xfId="4850"/>
    <cellStyle name="20% - Accent3 3 2 2 5" xfId="4851"/>
    <cellStyle name="20% - Accent3 3 2 3" xfId="4852"/>
    <cellStyle name="20% - Accent3 3 2 3 2" xfId="4853"/>
    <cellStyle name="20% - Accent3 3 2 3 2 2" xfId="4854"/>
    <cellStyle name="20% - Accent3 3 2 3 2 3" xfId="4855"/>
    <cellStyle name="20% - Accent3 3 2 3 3" xfId="4856"/>
    <cellStyle name="20% - Accent3 3 2 3 3 2" xfId="4857"/>
    <cellStyle name="20% - Accent3 3 2 3 3 3" xfId="4858"/>
    <cellStyle name="20% - Accent3 3 2 3 4" xfId="4859"/>
    <cellStyle name="20% - Accent3 3 2 3 5" xfId="4860"/>
    <cellStyle name="20% - Accent3 3 2 4" xfId="4861"/>
    <cellStyle name="20% - Accent3 3 2 4 2" xfId="4862"/>
    <cellStyle name="20% - Accent3 3 2 4 2 2" xfId="4863"/>
    <cellStyle name="20% - Accent3 3 2 4 2 3" xfId="4864"/>
    <cellStyle name="20% - Accent3 3 2 4 3" xfId="4865"/>
    <cellStyle name="20% - Accent3 3 2 4 3 2" xfId="4866"/>
    <cellStyle name="20% - Accent3 3 2 4 3 3" xfId="4867"/>
    <cellStyle name="20% - Accent3 3 2 4 4" xfId="4868"/>
    <cellStyle name="20% - Accent3 3 2 4 5" xfId="4869"/>
    <cellStyle name="20% - Accent3 3 2 5" xfId="4870"/>
    <cellStyle name="20% - Accent3 3 2 5 2" xfId="4871"/>
    <cellStyle name="20% - Accent3 3 2 5 3" xfId="4872"/>
    <cellStyle name="20% - Accent3 3 2 6" xfId="4873"/>
    <cellStyle name="20% - Accent3 3 2 6 2" xfId="4874"/>
    <cellStyle name="20% - Accent3 3 2 6 3" xfId="4875"/>
    <cellStyle name="20% - Accent3 3 2 7" xfId="4876"/>
    <cellStyle name="20% - Accent3 3 2 8" xfId="4877"/>
    <cellStyle name="20% - Accent3 3 2_Volatility" xfId="4878"/>
    <cellStyle name="20% - Accent3 3 3" xfId="4879"/>
    <cellStyle name="20% - Accent3 3 3 2" xfId="4880"/>
    <cellStyle name="20% - Accent3 3 3 2 2" xfId="4881"/>
    <cellStyle name="20% - Accent3 3 3 2 2 2" xfId="4882"/>
    <cellStyle name="20% - Accent3 3 3 2 2 3" xfId="4883"/>
    <cellStyle name="20% - Accent3 3 3 2 3" xfId="4884"/>
    <cellStyle name="20% - Accent3 3 3 2 3 2" xfId="4885"/>
    <cellStyle name="20% - Accent3 3 3 2 3 3" xfId="4886"/>
    <cellStyle name="20% - Accent3 3 3 2 4" xfId="4887"/>
    <cellStyle name="20% - Accent3 3 3 2 5" xfId="4888"/>
    <cellStyle name="20% - Accent3 3 3 3" xfId="4889"/>
    <cellStyle name="20% - Accent3 3 3 3 2" xfId="4890"/>
    <cellStyle name="20% - Accent3 3 3 3 2 2" xfId="4891"/>
    <cellStyle name="20% - Accent3 3 3 3 2 3" xfId="4892"/>
    <cellStyle name="20% - Accent3 3 3 3 3" xfId="4893"/>
    <cellStyle name="20% - Accent3 3 3 3 3 2" xfId="4894"/>
    <cellStyle name="20% - Accent3 3 3 3 3 3" xfId="4895"/>
    <cellStyle name="20% - Accent3 3 3 3 4" xfId="4896"/>
    <cellStyle name="20% - Accent3 3 3 3 5" xfId="4897"/>
    <cellStyle name="20% - Accent3 3 3 4" xfId="4898"/>
    <cellStyle name="20% - Accent3 3 3 4 2" xfId="4899"/>
    <cellStyle name="20% - Accent3 3 3 4 3" xfId="4900"/>
    <cellStyle name="20% - Accent3 3 3 5" xfId="4901"/>
    <cellStyle name="20% - Accent3 3 3 5 2" xfId="4902"/>
    <cellStyle name="20% - Accent3 3 3 5 3" xfId="4903"/>
    <cellStyle name="20% - Accent3 3 3 6" xfId="4904"/>
    <cellStyle name="20% - Accent3 3 3 7" xfId="4905"/>
    <cellStyle name="20% - Accent3 3 3_Volatility" xfId="4906"/>
    <cellStyle name="20% - Accent3 3 4" xfId="4907"/>
    <cellStyle name="20% - Accent3 3 4 2" xfId="4908"/>
    <cellStyle name="20% - Accent3 3 4 2 2" xfId="4909"/>
    <cellStyle name="20% - Accent3 3 4 2 3" xfId="4910"/>
    <cellStyle name="20% - Accent3 3 4 3" xfId="4911"/>
    <cellStyle name="20% - Accent3 3 4 3 2" xfId="4912"/>
    <cellStyle name="20% - Accent3 3 4 3 3" xfId="4913"/>
    <cellStyle name="20% - Accent3 3 4 4" xfId="4914"/>
    <cellStyle name="20% - Accent3 3 4 5" xfId="4915"/>
    <cellStyle name="20% - Accent3 3 5" xfId="4916"/>
    <cellStyle name="20% - Accent3 3 5 2" xfId="4917"/>
    <cellStyle name="20% - Accent3 3 5 2 2" xfId="4918"/>
    <cellStyle name="20% - Accent3 3 5 2 3" xfId="4919"/>
    <cellStyle name="20% - Accent3 3 5 3" xfId="4920"/>
    <cellStyle name="20% - Accent3 3 5 3 2" xfId="4921"/>
    <cellStyle name="20% - Accent3 3 5 3 3" xfId="4922"/>
    <cellStyle name="20% - Accent3 3 5 4" xfId="4923"/>
    <cellStyle name="20% - Accent3 3 5 5" xfId="4924"/>
    <cellStyle name="20% - Accent3 3 6" xfId="4925"/>
    <cellStyle name="20% - Accent3 3 6 2" xfId="4926"/>
    <cellStyle name="20% - Accent3 3 6 2 2" xfId="4927"/>
    <cellStyle name="20% - Accent3 3 6 2 3" xfId="4928"/>
    <cellStyle name="20% - Accent3 3 6 3" xfId="4929"/>
    <cellStyle name="20% - Accent3 3 6 3 2" xfId="4930"/>
    <cellStyle name="20% - Accent3 3 6 3 3" xfId="4931"/>
    <cellStyle name="20% - Accent3 3 6 4" xfId="4932"/>
    <cellStyle name="20% - Accent3 3 6 5" xfId="4933"/>
    <cellStyle name="20% - Accent3 3 7" xfId="4934"/>
    <cellStyle name="20% - Accent3 3 7 2" xfId="4935"/>
    <cellStyle name="20% - Accent3 3 7 3" xfId="4936"/>
    <cellStyle name="20% - Accent3 3 8" xfId="4937"/>
    <cellStyle name="20% - Accent3 3 8 2" xfId="4938"/>
    <cellStyle name="20% - Accent3 3 8 3" xfId="4939"/>
    <cellStyle name="20% - Accent3 3 9" xfId="4940"/>
    <cellStyle name="20% - Accent3 3_Volatility" xfId="4941"/>
    <cellStyle name="20% - Accent3 4" xfId="4942"/>
    <cellStyle name="20% - Accent3 4 10" xfId="4943"/>
    <cellStyle name="20% - Accent3 4 2" xfId="4944"/>
    <cellStyle name="20% - Accent3 4 2 2" xfId="4945"/>
    <cellStyle name="20% - Accent3 4 2 2 2" xfId="4946"/>
    <cellStyle name="20% - Accent3 4 2 2 2 2" xfId="4947"/>
    <cellStyle name="20% - Accent3 4 2 2 2 3" xfId="4948"/>
    <cellStyle name="20% - Accent3 4 2 2 3" xfId="4949"/>
    <cellStyle name="20% - Accent3 4 2 2 3 2" xfId="4950"/>
    <cellStyle name="20% - Accent3 4 2 2 3 3" xfId="4951"/>
    <cellStyle name="20% - Accent3 4 2 2 4" xfId="4952"/>
    <cellStyle name="20% - Accent3 4 2 2 5" xfId="4953"/>
    <cellStyle name="20% - Accent3 4 2 3" xfId="4954"/>
    <cellStyle name="20% - Accent3 4 2 3 2" xfId="4955"/>
    <cellStyle name="20% - Accent3 4 2 3 2 2" xfId="4956"/>
    <cellStyle name="20% - Accent3 4 2 3 2 3" xfId="4957"/>
    <cellStyle name="20% - Accent3 4 2 3 3" xfId="4958"/>
    <cellStyle name="20% - Accent3 4 2 3 3 2" xfId="4959"/>
    <cellStyle name="20% - Accent3 4 2 3 3 3" xfId="4960"/>
    <cellStyle name="20% - Accent3 4 2 3 4" xfId="4961"/>
    <cellStyle name="20% - Accent3 4 2 3 5" xfId="4962"/>
    <cellStyle name="20% - Accent3 4 2 4" xfId="4963"/>
    <cellStyle name="20% - Accent3 4 2 4 2" xfId="4964"/>
    <cellStyle name="20% - Accent3 4 2 4 2 2" xfId="4965"/>
    <cellStyle name="20% - Accent3 4 2 4 2 3" xfId="4966"/>
    <cellStyle name="20% - Accent3 4 2 4 3" xfId="4967"/>
    <cellStyle name="20% - Accent3 4 2 4 3 2" xfId="4968"/>
    <cellStyle name="20% - Accent3 4 2 4 3 3" xfId="4969"/>
    <cellStyle name="20% - Accent3 4 2 4 4" xfId="4970"/>
    <cellStyle name="20% - Accent3 4 2 4 5" xfId="4971"/>
    <cellStyle name="20% - Accent3 4 2 5" xfId="4972"/>
    <cellStyle name="20% - Accent3 4 2 5 2" xfId="4973"/>
    <cellStyle name="20% - Accent3 4 2 5 3" xfId="4974"/>
    <cellStyle name="20% - Accent3 4 2 6" xfId="4975"/>
    <cellStyle name="20% - Accent3 4 2 6 2" xfId="4976"/>
    <cellStyle name="20% - Accent3 4 2 6 3" xfId="4977"/>
    <cellStyle name="20% - Accent3 4 2 7" xfId="4978"/>
    <cellStyle name="20% - Accent3 4 2 8" xfId="4979"/>
    <cellStyle name="20% - Accent3 4 2_Volatility" xfId="4980"/>
    <cellStyle name="20% - Accent3 4 3" xfId="4981"/>
    <cellStyle name="20% - Accent3 4 3 2" xfId="4982"/>
    <cellStyle name="20% - Accent3 4 3 2 2" xfId="4983"/>
    <cellStyle name="20% - Accent3 4 3 2 2 2" xfId="4984"/>
    <cellStyle name="20% - Accent3 4 3 2 2 3" xfId="4985"/>
    <cellStyle name="20% - Accent3 4 3 2 3" xfId="4986"/>
    <cellStyle name="20% - Accent3 4 3 2 3 2" xfId="4987"/>
    <cellStyle name="20% - Accent3 4 3 2 3 3" xfId="4988"/>
    <cellStyle name="20% - Accent3 4 3 2 4" xfId="4989"/>
    <cellStyle name="20% - Accent3 4 3 2 5" xfId="4990"/>
    <cellStyle name="20% - Accent3 4 3 3" xfId="4991"/>
    <cellStyle name="20% - Accent3 4 3 3 2" xfId="4992"/>
    <cellStyle name="20% - Accent3 4 3 3 2 2" xfId="4993"/>
    <cellStyle name="20% - Accent3 4 3 3 2 3" xfId="4994"/>
    <cellStyle name="20% - Accent3 4 3 3 3" xfId="4995"/>
    <cellStyle name="20% - Accent3 4 3 3 3 2" xfId="4996"/>
    <cellStyle name="20% - Accent3 4 3 3 3 3" xfId="4997"/>
    <cellStyle name="20% - Accent3 4 3 3 4" xfId="4998"/>
    <cellStyle name="20% - Accent3 4 3 3 5" xfId="4999"/>
    <cellStyle name="20% - Accent3 4 3 4" xfId="5000"/>
    <cellStyle name="20% - Accent3 4 3 4 2" xfId="5001"/>
    <cellStyle name="20% - Accent3 4 3 4 3" xfId="5002"/>
    <cellStyle name="20% - Accent3 4 3 5" xfId="5003"/>
    <cellStyle name="20% - Accent3 4 3 5 2" xfId="5004"/>
    <cellStyle name="20% - Accent3 4 3 5 3" xfId="5005"/>
    <cellStyle name="20% - Accent3 4 3 6" xfId="5006"/>
    <cellStyle name="20% - Accent3 4 3 7" xfId="5007"/>
    <cellStyle name="20% - Accent3 4 3_Volatility" xfId="5008"/>
    <cellStyle name="20% - Accent3 4 4" xfId="5009"/>
    <cellStyle name="20% - Accent3 4 4 2" xfId="5010"/>
    <cellStyle name="20% - Accent3 4 4 2 2" xfId="5011"/>
    <cellStyle name="20% - Accent3 4 4 2 3" xfId="5012"/>
    <cellStyle name="20% - Accent3 4 4 3" xfId="5013"/>
    <cellStyle name="20% - Accent3 4 4 3 2" xfId="5014"/>
    <cellStyle name="20% - Accent3 4 4 3 3" xfId="5015"/>
    <cellStyle name="20% - Accent3 4 4 4" xfId="5016"/>
    <cellStyle name="20% - Accent3 4 4 5" xfId="5017"/>
    <cellStyle name="20% - Accent3 4 5" xfId="5018"/>
    <cellStyle name="20% - Accent3 4 5 2" xfId="5019"/>
    <cellStyle name="20% - Accent3 4 5 2 2" xfId="5020"/>
    <cellStyle name="20% - Accent3 4 5 2 3" xfId="5021"/>
    <cellStyle name="20% - Accent3 4 5 3" xfId="5022"/>
    <cellStyle name="20% - Accent3 4 5 3 2" xfId="5023"/>
    <cellStyle name="20% - Accent3 4 5 3 3" xfId="5024"/>
    <cellStyle name="20% - Accent3 4 5 4" xfId="5025"/>
    <cellStyle name="20% - Accent3 4 5 5" xfId="5026"/>
    <cellStyle name="20% - Accent3 4 6" xfId="5027"/>
    <cellStyle name="20% - Accent3 4 6 2" xfId="5028"/>
    <cellStyle name="20% - Accent3 4 6 2 2" xfId="5029"/>
    <cellStyle name="20% - Accent3 4 6 2 3" xfId="5030"/>
    <cellStyle name="20% - Accent3 4 6 3" xfId="5031"/>
    <cellStyle name="20% - Accent3 4 6 3 2" xfId="5032"/>
    <cellStyle name="20% - Accent3 4 6 3 3" xfId="5033"/>
    <cellStyle name="20% - Accent3 4 6 4" xfId="5034"/>
    <cellStyle name="20% - Accent3 4 6 5" xfId="5035"/>
    <cellStyle name="20% - Accent3 4 7" xfId="5036"/>
    <cellStyle name="20% - Accent3 4 7 2" xfId="5037"/>
    <cellStyle name="20% - Accent3 4 7 3" xfId="5038"/>
    <cellStyle name="20% - Accent3 4 8" xfId="5039"/>
    <cellStyle name="20% - Accent3 4 8 2" xfId="5040"/>
    <cellStyle name="20% - Accent3 4 8 3" xfId="5041"/>
    <cellStyle name="20% - Accent3 4 9" xfId="5042"/>
    <cellStyle name="20% - Accent3 4_Volatility" xfId="5043"/>
    <cellStyle name="20% - Accent3 5" xfId="5044"/>
    <cellStyle name="20% - Accent3 5 10" xfId="5045"/>
    <cellStyle name="20% - Accent3 5 2" xfId="5046"/>
    <cellStyle name="20% - Accent3 5 2 2" xfId="5047"/>
    <cellStyle name="20% - Accent3 5 2 2 2" xfId="5048"/>
    <cellStyle name="20% - Accent3 5 2 2 2 2" xfId="5049"/>
    <cellStyle name="20% - Accent3 5 2 2 2 3" xfId="5050"/>
    <cellStyle name="20% - Accent3 5 2 2 3" xfId="5051"/>
    <cellStyle name="20% - Accent3 5 2 2 3 2" xfId="5052"/>
    <cellStyle name="20% - Accent3 5 2 2 3 3" xfId="5053"/>
    <cellStyle name="20% - Accent3 5 2 2 4" xfId="5054"/>
    <cellStyle name="20% - Accent3 5 2 2 5" xfId="5055"/>
    <cellStyle name="20% - Accent3 5 2 3" xfId="5056"/>
    <cellStyle name="20% - Accent3 5 2 3 2" xfId="5057"/>
    <cellStyle name="20% - Accent3 5 2 3 2 2" xfId="5058"/>
    <cellStyle name="20% - Accent3 5 2 3 2 3" xfId="5059"/>
    <cellStyle name="20% - Accent3 5 2 3 3" xfId="5060"/>
    <cellStyle name="20% - Accent3 5 2 3 3 2" xfId="5061"/>
    <cellStyle name="20% - Accent3 5 2 3 3 3" xfId="5062"/>
    <cellStyle name="20% - Accent3 5 2 3 4" xfId="5063"/>
    <cellStyle name="20% - Accent3 5 2 3 5" xfId="5064"/>
    <cellStyle name="20% - Accent3 5 2 4" xfId="5065"/>
    <cellStyle name="20% - Accent3 5 2 4 2" xfId="5066"/>
    <cellStyle name="20% - Accent3 5 2 4 2 2" xfId="5067"/>
    <cellStyle name="20% - Accent3 5 2 4 2 3" xfId="5068"/>
    <cellStyle name="20% - Accent3 5 2 4 3" xfId="5069"/>
    <cellStyle name="20% - Accent3 5 2 4 3 2" xfId="5070"/>
    <cellStyle name="20% - Accent3 5 2 4 3 3" xfId="5071"/>
    <cellStyle name="20% - Accent3 5 2 4 4" xfId="5072"/>
    <cellStyle name="20% - Accent3 5 2 4 5" xfId="5073"/>
    <cellStyle name="20% - Accent3 5 2 5" xfId="5074"/>
    <cellStyle name="20% - Accent3 5 2 5 2" xfId="5075"/>
    <cellStyle name="20% - Accent3 5 2 5 3" xfId="5076"/>
    <cellStyle name="20% - Accent3 5 2 6" xfId="5077"/>
    <cellStyle name="20% - Accent3 5 2 6 2" xfId="5078"/>
    <cellStyle name="20% - Accent3 5 2 6 3" xfId="5079"/>
    <cellStyle name="20% - Accent3 5 2 7" xfId="5080"/>
    <cellStyle name="20% - Accent3 5 2 8" xfId="5081"/>
    <cellStyle name="20% - Accent3 5 2_Volatility" xfId="5082"/>
    <cellStyle name="20% - Accent3 5 3" xfId="5083"/>
    <cellStyle name="20% - Accent3 5 3 2" xfId="5084"/>
    <cellStyle name="20% - Accent3 5 3 2 2" xfId="5085"/>
    <cellStyle name="20% - Accent3 5 3 2 2 2" xfId="5086"/>
    <cellStyle name="20% - Accent3 5 3 2 2 3" xfId="5087"/>
    <cellStyle name="20% - Accent3 5 3 2 3" xfId="5088"/>
    <cellStyle name="20% - Accent3 5 3 2 3 2" xfId="5089"/>
    <cellStyle name="20% - Accent3 5 3 2 3 3" xfId="5090"/>
    <cellStyle name="20% - Accent3 5 3 2 4" xfId="5091"/>
    <cellStyle name="20% - Accent3 5 3 2 5" xfId="5092"/>
    <cellStyle name="20% - Accent3 5 3 3" xfId="5093"/>
    <cellStyle name="20% - Accent3 5 3 3 2" xfId="5094"/>
    <cellStyle name="20% - Accent3 5 3 3 2 2" xfId="5095"/>
    <cellStyle name="20% - Accent3 5 3 3 2 3" xfId="5096"/>
    <cellStyle name="20% - Accent3 5 3 3 3" xfId="5097"/>
    <cellStyle name="20% - Accent3 5 3 3 3 2" xfId="5098"/>
    <cellStyle name="20% - Accent3 5 3 3 3 3" xfId="5099"/>
    <cellStyle name="20% - Accent3 5 3 3 4" xfId="5100"/>
    <cellStyle name="20% - Accent3 5 3 3 5" xfId="5101"/>
    <cellStyle name="20% - Accent3 5 3 4" xfId="5102"/>
    <cellStyle name="20% - Accent3 5 3 4 2" xfId="5103"/>
    <cellStyle name="20% - Accent3 5 3 4 3" xfId="5104"/>
    <cellStyle name="20% - Accent3 5 3 5" xfId="5105"/>
    <cellStyle name="20% - Accent3 5 3 5 2" xfId="5106"/>
    <cellStyle name="20% - Accent3 5 3 5 3" xfId="5107"/>
    <cellStyle name="20% - Accent3 5 3 6" xfId="5108"/>
    <cellStyle name="20% - Accent3 5 3 7" xfId="5109"/>
    <cellStyle name="20% - Accent3 5 3_Volatility" xfId="5110"/>
    <cellStyle name="20% - Accent3 5 4" xfId="5111"/>
    <cellStyle name="20% - Accent3 5 4 2" xfId="5112"/>
    <cellStyle name="20% - Accent3 5 4 2 2" xfId="5113"/>
    <cellStyle name="20% - Accent3 5 4 2 3" xfId="5114"/>
    <cellStyle name="20% - Accent3 5 4 3" xfId="5115"/>
    <cellStyle name="20% - Accent3 5 4 3 2" xfId="5116"/>
    <cellStyle name="20% - Accent3 5 4 3 3" xfId="5117"/>
    <cellStyle name="20% - Accent3 5 4 4" xfId="5118"/>
    <cellStyle name="20% - Accent3 5 4 5" xfId="5119"/>
    <cellStyle name="20% - Accent3 5 5" xfId="5120"/>
    <cellStyle name="20% - Accent3 5 5 2" xfId="5121"/>
    <cellStyle name="20% - Accent3 5 5 2 2" xfId="5122"/>
    <cellStyle name="20% - Accent3 5 5 2 3" xfId="5123"/>
    <cellStyle name="20% - Accent3 5 5 3" xfId="5124"/>
    <cellStyle name="20% - Accent3 5 5 3 2" xfId="5125"/>
    <cellStyle name="20% - Accent3 5 5 3 3" xfId="5126"/>
    <cellStyle name="20% - Accent3 5 5 4" xfId="5127"/>
    <cellStyle name="20% - Accent3 5 5 5" xfId="5128"/>
    <cellStyle name="20% - Accent3 5 6" xfId="5129"/>
    <cellStyle name="20% - Accent3 5 6 2" xfId="5130"/>
    <cellStyle name="20% - Accent3 5 6 2 2" xfId="5131"/>
    <cellStyle name="20% - Accent3 5 6 2 3" xfId="5132"/>
    <cellStyle name="20% - Accent3 5 6 3" xfId="5133"/>
    <cellStyle name="20% - Accent3 5 6 3 2" xfId="5134"/>
    <cellStyle name="20% - Accent3 5 6 3 3" xfId="5135"/>
    <cellStyle name="20% - Accent3 5 6 4" xfId="5136"/>
    <cellStyle name="20% - Accent3 5 6 5" xfId="5137"/>
    <cellStyle name="20% - Accent3 5 7" xfId="5138"/>
    <cellStyle name="20% - Accent3 5 7 2" xfId="5139"/>
    <cellStyle name="20% - Accent3 5 7 3" xfId="5140"/>
    <cellStyle name="20% - Accent3 5 8" xfId="5141"/>
    <cellStyle name="20% - Accent3 5 8 2" xfId="5142"/>
    <cellStyle name="20% - Accent3 5 8 3" xfId="5143"/>
    <cellStyle name="20% - Accent3 5 9" xfId="5144"/>
    <cellStyle name="20% - Accent3 5_Volatility" xfId="5145"/>
    <cellStyle name="20% - Accent3 6" xfId="5146"/>
    <cellStyle name="20% - Accent3 6 10" xfId="5147"/>
    <cellStyle name="20% - Accent3 6 2" xfId="5148"/>
    <cellStyle name="20% - Accent3 6 2 2" xfId="5149"/>
    <cellStyle name="20% - Accent3 6 2 2 2" xfId="5150"/>
    <cellStyle name="20% - Accent3 6 2 2 2 2" xfId="5151"/>
    <cellStyle name="20% - Accent3 6 2 2 2 3" xfId="5152"/>
    <cellStyle name="20% - Accent3 6 2 2 3" xfId="5153"/>
    <cellStyle name="20% - Accent3 6 2 2 3 2" xfId="5154"/>
    <cellStyle name="20% - Accent3 6 2 2 3 3" xfId="5155"/>
    <cellStyle name="20% - Accent3 6 2 2 4" xfId="5156"/>
    <cellStyle name="20% - Accent3 6 2 2 5" xfId="5157"/>
    <cellStyle name="20% - Accent3 6 2 3" xfId="5158"/>
    <cellStyle name="20% - Accent3 6 2 3 2" xfId="5159"/>
    <cellStyle name="20% - Accent3 6 2 3 2 2" xfId="5160"/>
    <cellStyle name="20% - Accent3 6 2 3 2 3" xfId="5161"/>
    <cellStyle name="20% - Accent3 6 2 3 3" xfId="5162"/>
    <cellStyle name="20% - Accent3 6 2 3 3 2" xfId="5163"/>
    <cellStyle name="20% - Accent3 6 2 3 3 3" xfId="5164"/>
    <cellStyle name="20% - Accent3 6 2 3 4" xfId="5165"/>
    <cellStyle name="20% - Accent3 6 2 3 5" xfId="5166"/>
    <cellStyle name="20% - Accent3 6 2 4" xfId="5167"/>
    <cellStyle name="20% - Accent3 6 2 4 2" xfId="5168"/>
    <cellStyle name="20% - Accent3 6 2 4 2 2" xfId="5169"/>
    <cellStyle name="20% - Accent3 6 2 4 2 3" xfId="5170"/>
    <cellStyle name="20% - Accent3 6 2 4 3" xfId="5171"/>
    <cellStyle name="20% - Accent3 6 2 4 3 2" xfId="5172"/>
    <cellStyle name="20% - Accent3 6 2 4 3 3" xfId="5173"/>
    <cellStyle name="20% - Accent3 6 2 4 4" xfId="5174"/>
    <cellStyle name="20% - Accent3 6 2 4 5" xfId="5175"/>
    <cellStyle name="20% - Accent3 6 2 5" xfId="5176"/>
    <cellStyle name="20% - Accent3 6 2 5 2" xfId="5177"/>
    <cellStyle name="20% - Accent3 6 2 5 3" xfId="5178"/>
    <cellStyle name="20% - Accent3 6 2 6" xfId="5179"/>
    <cellStyle name="20% - Accent3 6 2 6 2" xfId="5180"/>
    <cellStyle name="20% - Accent3 6 2 6 3" xfId="5181"/>
    <cellStyle name="20% - Accent3 6 2 7" xfId="5182"/>
    <cellStyle name="20% - Accent3 6 2 8" xfId="5183"/>
    <cellStyle name="20% - Accent3 6 2_Volatility" xfId="5184"/>
    <cellStyle name="20% - Accent3 6 3" xfId="5185"/>
    <cellStyle name="20% - Accent3 6 3 2" xfId="5186"/>
    <cellStyle name="20% - Accent3 6 3 2 2" xfId="5187"/>
    <cellStyle name="20% - Accent3 6 3 2 2 2" xfId="5188"/>
    <cellStyle name="20% - Accent3 6 3 2 2 3" xfId="5189"/>
    <cellStyle name="20% - Accent3 6 3 2 3" xfId="5190"/>
    <cellStyle name="20% - Accent3 6 3 2 3 2" xfId="5191"/>
    <cellStyle name="20% - Accent3 6 3 2 3 3" xfId="5192"/>
    <cellStyle name="20% - Accent3 6 3 2 4" xfId="5193"/>
    <cellStyle name="20% - Accent3 6 3 2 5" xfId="5194"/>
    <cellStyle name="20% - Accent3 6 3 3" xfId="5195"/>
    <cellStyle name="20% - Accent3 6 3 3 2" xfId="5196"/>
    <cellStyle name="20% - Accent3 6 3 3 2 2" xfId="5197"/>
    <cellStyle name="20% - Accent3 6 3 3 2 3" xfId="5198"/>
    <cellStyle name="20% - Accent3 6 3 3 3" xfId="5199"/>
    <cellStyle name="20% - Accent3 6 3 3 3 2" xfId="5200"/>
    <cellStyle name="20% - Accent3 6 3 3 3 3" xfId="5201"/>
    <cellStyle name="20% - Accent3 6 3 3 4" xfId="5202"/>
    <cellStyle name="20% - Accent3 6 3 3 5" xfId="5203"/>
    <cellStyle name="20% - Accent3 6 3 4" xfId="5204"/>
    <cellStyle name="20% - Accent3 6 3 4 2" xfId="5205"/>
    <cellStyle name="20% - Accent3 6 3 4 3" xfId="5206"/>
    <cellStyle name="20% - Accent3 6 3 5" xfId="5207"/>
    <cellStyle name="20% - Accent3 6 3 5 2" xfId="5208"/>
    <cellStyle name="20% - Accent3 6 3 5 3" xfId="5209"/>
    <cellStyle name="20% - Accent3 6 3 6" xfId="5210"/>
    <cellStyle name="20% - Accent3 6 3 7" xfId="5211"/>
    <cellStyle name="20% - Accent3 6 3_Volatility" xfId="5212"/>
    <cellStyle name="20% - Accent3 6 4" xfId="5213"/>
    <cellStyle name="20% - Accent3 6 4 2" xfId="5214"/>
    <cellStyle name="20% - Accent3 6 4 2 2" xfId="5215"/>
    <cellStyle name="20% - Accent3 6 4 2 3" xfId="5216"/>
    <cellStyle name="20% - Accent3 6 4 3" xfId="5217"/>
    <cellStyle name="20% - Accent3 6 4 3 2" xfId="5218"/>
    <cellStyle name="20% - Accent3 6 4 3 3" xfId="5219"/>
    <cellStyle name="20% - Accent3 6 4 4" xfId="5220"/>
    <cellStyle name="20% - Accent3 6 4 5" xfId="5221"/>
    <cellStyle name="20% - Accent3 6 5" xfId="5222"/>
    <cellStyle name="20% - Accent3 6 5 2" xfId="5223"/>
    <cellStyle name="20% - Accent3 6 5 2 2" xfId="5224"/>
    <cellStyle name="20% - Accent3 6 5 2 3" xfId="5225"/>
    <cellStyle name="20% - Accent3 6 5 3" xfId="5226"/>
    <cellStyle name="20% - Accent3 6 5 3 2" xfId="5227"/>
    <cellStyle name="20% - Accent3 6 5 3 3" xfId="5228"/>
    <cellStyle name="20% - Accent3 6 5 4" xfId="5229"/>
    <cellStyle name="20% - Accent3 6 5 5" xfId="5230"/>
    <cellStyle name="20% - Accent3 6 6" xfId="5231"/>
    <cellStyle name="20% - Accent3 6 6 2" xfId="5232"/>
    <cellStyle name="20% - Accent3 6 6 2 2" xfId="5233"/>
    <cellStyle name="20% - Accent3 6 6 2 3" xfId="5234"/>
    <cellStyle name="20% - Accent3 6 6 3" xfId="5235"/>
    <cellStyle name="20% - Accent3 6 6 3 2" xfId="5236"/>
    <cellStyle name="20% - Accent3 6 6 3 3" xfId="5237"/>
    <cellStyle name="20% - Accent3 6 6 4" xfId="5238"/>
    <cellStyle name="20% - Accent3 6 6 5" xfId="5239"/>
    <cellStyle name="20% - Accent3 6 7" xfId="5240"/>
    <cellStyle name="20% - Accent3 6 7 2" xfId="5241"/>
    <cellStyle name="20% - Accent3 6 7 3" xfId="5242"/>
    <cellStyle name="20% - Accent3 6 8" xfId="5243"/>
    <cellStyle name="20% - Accent3 6 8 2" xfId="5244"/>
    <cellStyle name="20% - Accent3 6 8 3" xfId="5245"/>
    <cellStyle name="20% - Accent3 6 9" xfId="5246"/>
    <cellStyle name="20% - Accent3 6_Volatility" xfId="5247"/>
    <cellStyle name="20% - Accent3 7" xfId="5248"/>
    <cellStyle name="20% - Accent3 7 10" xfId="5249"/>
    <cellStyle name="20% - Accent3 7 2" xfId="5250"/>
    <cellStyle name="20% - Accent3 7 2 2" xfId="5251"/>
    <cellStyle name="20% - Accent3 7 2 2 2" xfId="5252"/>
    <cellStyle name="20% - Accent3 7 2 2 2 2" xfId="5253"/>
    <cellStyle name="20% - Accent3 7 2 2 2 3" xfId="5254"/>
    <cellStyle name="20% - Accent3 7 2 2 3" xfId="5255"/>
    <cellStyle name="20% - Accent3 7 2 2 3 2" xfId="5256"/>
    <cellStyle name="20% - Accent3 7 2 2 3 3" xfId="5257"/>
    <cellStyle name="20% - Accent3 7 2 2 4" xfId="5258"/>
    <cellStyle name="20% - Accent3 7 2 2 5" xfId="5259"/>
    <cellStyle name="20% - Accent3 7 2 3" xfId="5260"/>
    <cellStyle name="20% - Accent3 7 2 3 2" xfId="5261"/>
    <cellStyle name="20% - Accent3 7 2 3 2 2" xfId="5262"/>
    <cellStyle name="20% - Accent3 7 2 3 2 3" xfId="5263"/>
    <cellStyle name="20% - Accent3 7 2 3 3" xfId="5264"/>
    <cellStyle name="20% - Accent3 7 2 3 3 2" xfId="5265"/>
    <cellStyle name="20% - Accent3 7 2 3 3 3" xfId="5266"/>
    <cellStyle name="20% - Accent3 7 2 3 4" xfId="5267"/>
    <cellStyle name="20% - Accent3 7 2 3 5" xfId="5268"/>
    <cellStyle name="20% - Accent3 7 2 4" xfId="5269"/>
    <cellStyle name="20% - Accent3 7 2 4 2" xfId="5270"/>
    <cellStyle name="20% - Accent3 7 2 4 2 2" xfId="5271"/>
    <cellStyle name="20% - Accent3 7 2 4 2 3" xfId="5272"/>
    <cellStyle name="20% - Accent3 7 2 4 3" xfId="5273"/>
    <cellStyle name="20% - Accent3 7 2 4 3 2" xfId="5274"/>
    <cellStyle name="20% - Accent3 7 2 4 3 3" xfId="5275"/>
    <cellStyle name="20% - Accent3 7 2 4 4" xfId="5276"/>
    <cellStyle name="20% - Accent3 7 2 4 5" xfId="5277"/>
    <cellStyle name="20% - Accent3 7 2 5" xfId="5278"/>
    <cellStyle name="20% - Accent3 7 2 5 2" xfId="5279"/>
    <cellStyle name="20% - Accent3 7 2 5 3" xfId="5280"/>
    <cellStyle name="20% - Accent3 7 2 6" xfId="5281"/>
    <cellStyle name="20% - Accent3 7 2 6 2" xfId="5282"/>
    <cellStyle name="20% - Accent3 7 2 6 3" xfId="5283"/>
    <cellStyle name="20% - Accent3 7 2 7" xfId="5284"/>
    <cellStyle name="20% - Accent3 7 2 8" xfId="5285"/>
    <cellStyle name="20% - Accent3 7 2_Volatility" xfId="5286"/>
    <cellStyle name="20% - Accent3 7 3" xfId="5287"/>
    <cellStyle name="20% - Accent3 7 3 2" xfId="5288"/>
    <cellStyle name="20% - Accent3 7 3 2 2" xfId="5289"/>
    <cellStyle name="20% - Accent3 7 3 2 2 2" xfId="5290"/>
    <cellStyle name="20% - Accent3 7 3 2 2 3" xfId="5291"/>
    <cellStyle name="20% - Accent3 7 3 2 3" xfId="5292"/>
    <cellStyle name="20% - Accent3 7 3 2 3 2" xfId="5293"/>
    <cellStyle name="20% - Accent3 7 3 2 3 3" xfId="5294"/>
    <cellStyle name="20% - Accent3 7 3 2 4" xfId="5295"/>
    <cellStyle name="20% - Accent3 7 3 2 5" xfId="5296"/>
    <cellStyle name="20% - Accent3 7 3 3" xfId="5297"/>
    <cellStyle name="20% - Accent3 7 3 3 2" xfId="5298"/>
    <cellStyle name="20% - Accent3 7 3 3 2 2" xfId="5299"/>
    <cellStyle name="20% - Accent3 7 3 3 2 3" xfId="5300"/>
    <cellStyle name="20% - Accent3 7 3 3 3" xfId="5301"/>
    <cellStyle name="20% - Accent3 7 3 3 3 2" xfId="5302"/>
    <cellStyle name="20% - Accent3 7 3 3 3 3" xfId="5303"/>
    <cellStyle name="20% - Accent3 7 3 3 4" xfId="5304"/>
    <cellStyle name="20% - Accent3 7 3 3 5" xfId="5305"/>
    <cellStyle name="20% - Accent3 7 3 4" xfId="5306"/>
    <cellStyle name="20% - Accent3 7 3 4 2" xfId="5307"/>
    <cellStyle name="20% - Accent3 7 3 4 3" xfId="5308"/>
    <cellStyle name="20% - Accent3 7 3 5" xfId="5309"/>
    <cellStyle name="20% - Accent3 7 3 5 2" xfId="5310"/>
    <cellStyle name="20% - Accent3 7 3 5 3" xfId="5311"/>
    <cellStyle name="20% - Accent3 7 3 6" xfId="5312"/>
    <cellStyle name="20% - Accent3 7 3 7" xfId="5313"/>
    <cellStyle name="20% - Accent3 7 3_Volatility" xfId="5314"/>
    <cellStyle name="20% - Accent3 7 4" xfId="5315"/>
    <cellStyle name="20% - Accent3 7 4 2" xfId="5316"/>
    <cellStyle name="20% - Accent3 7 4 2 2" xfId="5317"/>
    <cellStyle name="20% - Accent3 7 4 2 3" xfId="5318"/>
    <cellStyle name="20% - Accent3 7 4 3" xfId="5319"/>
    <cellStyle name="20% - Accent3 7 4 3 2" xfId="5320"/>
    <cellStyle name="20% - Accent3 7 4 3 3" xfId="5321"/>
    <cellStyle name="20% - Accent3 7 4 4" xfId="5322"/>
    <cellStyle name="20% - Accent3 7 4 5" xfId="5323"/>
    <cellStyle name="20% - Accent3 7 5" xfId="5324"/>
    <cellStyle name="20% - Accent3 7 5 2" xfId="5325"/>
    <cellStyle name="20% - Accent3 7 5 2 2" xfId="5326"/>
    <cellStyle name="20% - Accent3 7 5 2 3" xfId="5327"/>
    <cellStyle name="20% - Accent3 7 5 3" xfId="5328"/>
    <cellStyle name="20% - Accent3 7 5 3 2" xfId="5329"/>
    <cellStyle name="20% - Accent3 7 5 3 3" xfId="5330"/>
    <cellStyle name="20% - Accent3 7 5 4" xfId="5331"/>
    <cellStyle name="20% - Accent3 7 5 5" xfId="5332"/>
    <cellStyle name="20% - Accent3 7 6" xfId="5333"/>
    <cellStyle name="20% - Accent3 7 6 2" xfId="5334"/>
    <cellStyle name="20% - Accent3 7 6 2 2" xfId="5335"/>
    <cellStyle name="20% - Accent3 7 6 2 3" xfId="5336"/>
    <cellStyle name="20% - Accent3 7 6 3" xfId="5337"/>
    <cellStyle name="20% - Accent3 7 6 3 2" xfId="5338"/>
    <cellStyle name="20% - Accent3 7 6 3 3" xfId="5339"/>
    <cellStyle name="20% - Accent3 7 6 4" xfId="5340"/>
    <cellStyle name="20% - Accent3 7 6 5" xfId="5341"/>
    <cellStyle name="20% - Accent3 7 7" xfId="5342"/>
    <cellStyle name="20% - Accent3 7 7 2" xfId="5343"/>
    <cellStyle name="20% - Accent3 7 7 3" xfId="5344"/>
    <cellStyle name="20% - Accent3 7 8" xfId="5345"/>
    <cellStyle name="20% - Accent3 7 8 2" xfId="5346"/>
    <cellStyle name="20% - Accent3 7 8 3" xfId="5347"/>
    <cellStyle name="20% - Accent3 7 9" xfId="5348"/>
    <cellStyle name="20% - Accent3 7_Volatility" xfId="5349"/>
    <cellStyle name="20% - Accent3 8" xfId="5350"/>
    <cellStyle name="20% - Accent3 8 10" xfId="5351"/>
    <cellStyle name="20% - Accent3 8 2" xfId="5352"/>
    <cellStyle name="20% - Accent3 8 2 2" xfId="5353"/>
    <cellStyle name="20% - Accent3 8 2 2 2" xfId="5354"/>
    <cellStyle name="20% - Accent3 8 2 2 2 2" xfId="5355"/>
    <cellStyle name="20% - Accent3 8 2 2 2 3" xfId="5356"/>
    <cellStyle name="20% - Accent3 8 2 2 3" xfId="5357"/>
    <cellStyle name="20% - Accent3 8 2 2 3 2" xfId="5358"/>
    <cellStyle name="20% - Accent3 8 2 2 3 3" xfId="5359"/>
    <cellStyle name="20% - Accent3 8 2 2 4" xfId="5360"/>
    <cellStyle name="20% - Accent3 8 2 2 5" xfId="5361"/>
    <cellStyle name="20% - Accent3 8 2 3" xfId="5362"/>
    <cellStyle name="20% - Accent3 8 2 3 2" xfId="5363"/>
    <cellStyle name="20% - Accent3 8 2 3 2 2" xfId="5364"/>
    <cellStyle name="20% - Accent3 8 2 3 2 3" xfId="5365"/>
    <cellStyle name="20% - Accent3 8 2 3 3" xfId="5366"/>
    <cellStyle name="20% - Accent3 8 2 3 3 2" xfId="5367"/>
    <cellStyle name="20% - Accent3 8 2 3 3 3" xfId="5368"/>
    <cellStyle name="20% - Accent3 8 2 3 4" xfId="5369"/>
    <cellStyle name="20% - Accent3 8 2 3 5" xfId="5370"/>
    <cellStyle name="20% - Accent3 8 2 4" xfId="5371"/>
    <cellStyle name="20% - Accent3 8 2 4 2" xfId="5372"/>
    <cellStyle name="20% - Accent3 8 2 4 2 2" xfId="5373"/>
    <cellStyle name="20% - Accent3 8 2 4 2 3" xfId="5374"/>
    <cellStyle name="20% - Accent3 8 2 4 3" xfId="5375"/>
    <cellStyle name="20% - Accent3 8 2 4 3 2" xfId="5376"/>
    <cellStyle name="20% - Accent3 8 2 4 3 3" xfId="5377"/>
    <cellStyle name="20% - Accent3 8 2 4 4" xfId="5378"/>
    <cellStyle name="20% - Accent3 8 2 4 5" xfId="5379"/>
    <cellStyle name="20% - Accent3 8 2 5" xfId="5380"/>
    <cellStyle name="20% - Accent3 8 2 5 2" xfId="5381"/>
    <cellStyle name="20% - Accent3 8 2 5 3" xfId="5382"/>
    <cellStyle name="20% - Accent3 8 2 6" xfId="5383"/>
    <cellStyle name="20% - Accent3 8 2 6 2" xfId="5384"/>
    <cellStyle name="20% - Accent3 8 2 6 3" xfId="5385"/>
    <cellStyle name="20% - Accent3 8 2 7" xfId="5386"/>
    <cellStyle name="20% - Accent3 8 2 8" xfId="5387"/>
    <cellStyle name="20% - Accent3 8 2_Volatility" xfId="5388"/>
    <cellStyle name="20% - Accent3 8 3" xfId="5389"/>
    <cellStyle name="20% - Accent3 8 3 2" xfId="5390"/>
    <cellStyle name="20% - Accent3 8 3 2 2" xfId="5391"/>
    <cellStyle name="20% - Accent3 8 3 2 2 2" xfId="5392"/>
    <cellStyle name="20% - Accent3 8 3 2 2 3" xfId="5393"/>
    <cellStyle name="20% - Accent3 8 3 2 3" xfId="5394"/>
    <cellStyle name="20% - Accent3 8 3 2 3 2" xfId="5395"/>
    <cellStyle name="20% - Accent3 8 3 2 3 3" xfId="5396"/>
    <cellStyle name="20% - Accent3 8 3 2 4" xfId="5397"/>
    <cellStyle name="20% - Accent3 8 3 2 5" xfId="5398"/>
    <cellStyle name="20% - Accent3 8 3 3" xfId="5399"/>
    <cellStyle name="20% - Accent3 8 3 3 2" xfId="5400"/>
    <cellStyle name="20% - Accent3 8 3 3 2 2" xfId="5401"/>
    <cellStyle name="20% - Accent3 8 3 3 2 3" xfId="5402"/>
    <cellStyle name="20% - Accent3 8 3 3 3" xfId="5403"/>
    <cellStyle name="20% - Accent3 8 3 3 3 2" xfId="5404"/>
    <cellStyle name="20% - Accent3 8 3 3 3 3" xfId="5405"/>
    <cellStyle name="20% - Accent3 8 3 3 4" xfId="5406"/>
    <cellStyle name="20% - Accent3 8 3 3 5" xfId="5407"/>
    <cellStyle name="20% - Accent3 8 3 4" xfId="5408"/>
    <cellStyle name="20% - Accent3 8 3 4 2" xfId="5409"/>
    <cellStyle name="20% - Accent3 8 3 4 3" xfId="5410"/>
    <cellStyle name="20% - Accent3 8 3 5" xfId="5411"/>
    <cellStyle name="20% - Accent3 8 3 5 2" xfId="5412"/>
    <cellStyle name="20% - Accent3 8 3 5 3" xfId="5413"/>
    <cellStyle name="20% - Accent3 8 3 6" xfId="5414"/>
    <cellStyle name="20% - Accent3 8 3 7" xfId="5415"/>
    <cellStyle name="20% - Accent3 8 3_Volatility" xfId="5416"/>
    <cellStyle name="20% - Accent3 8 4" xfId="5417"/>
    <cellStyle name="20% - Accent3 8 4 2" xfId="5418"/>
    <cellStyle name="20% - Accent3 8 4 2 2" xfId="5419"/>
    <cellStyle name="20% - Accent3 8 4 2 3" xfId="5420"/>
    <cellStyle name="20% - Accent3 8 4 3" xfId="5421"/>
    <cellStyle name="20% - Accent3 8 4 3 2" xfId="5422"/>
    <cellStyle name="20% - Accent3 8 4 3 3" xfId="5423"/>
    <cellStyle name="20% - Accent3 8 4 4" xfId="5424"/>
    <cellStyle name="20% - Accent3 8 4 5" xfId="5425"/>
    <cellStyle name="20% - Accent3 8 5" xfId="5426"/>
    <cellStyle name="20% - Accent3 8 5 2" xfId="5427"/>
    <cellStyle name="20% - Accent3 8 5 2 2" xfId="5428"/>
    <cellStyle name="20% - Accent3 8 5 2 3" xfId="5429"/>
    <cellStyle name="20% - Accent3 8 5 3" xfId="5430"/>
    <cellStyle name="20% - Accent3 8 5 3 2" xfId="5431"/>
    <cellStyle name="20% - Accent3 8 5 3 3" xfId="5432"/>
    <cellStyle name="20% - Accent3 8 5 4" xfId="5433"/>
    <cellStyle name="20% - Accent3 8 5 5" xfId="5434"/>
    <cellStyle name="20% - Accent3 8 6" xfId="5435"/>
    <cellStyle name="20% - Accent3 8 6 2" xfId="5436"/>
    <cellStyle name="20% - Accent3 8 6 2 2" xfId="5437"/>
    <cellStyle name="20% - Accent3 8 6 2 3" xfId="5438"/>
    <cellStyle name="20% - Accent3 8 6 3" xfId="5439"/>
    <cellStyle name="20% - Accent3 8 6 3 2" xfId="5440"/>
    <cellStyle name="20% - Accent3 8 6 3 3" xfId="5441"/>
    <cellStyle name="20% - Accent3 8 6 4" xfId="5442"/>
    <cellStyle name="20% - Accent3 8 6 5" xfId="5443"/>
    <cellStyle name="20% - Accent3 8 7" xfId="5444"/>
    <cellStyle name="20% - Accent3 8 7 2" xfId="5445"/>
    <cellStyle name="20% - Accent3 8 7 3" xfId="5446"/>
    <cellStyle name="20% - Accent3 8 8" xfId="5447"/>
    <cellStyle name="20% - Accent3 8 8 2" xfId="5448"/>
    <cellStyle name="20% - Accent3 8 8 3" xfId="5449"/>
    <cellStyle name="20% - Accent3 8 9" xfId="5450"/>
    <cellStyle name="20% - Accent3 8_Volatility" xfId="5451"/>
    <cellStyle name="20% - Accent3 9" xfId="5452"/>
    <cellStyle name="20% - Accent3 9 10" xfId="5453"/>
    <cellStyle name="20% - Accent3 9 2" xfId="5454"/>
    <cellStyle name="20% - Accent3 9 2 2" xfId="5455"/>
    <cellStyle name="20% - Accent3 9 2 2 2" xfId="5456"/>
    <cellStyle name="20% - Accent3 9 2 2 2 2" xfId="5457"/>
    <cellStyle name="20% - Accent3 9 2 2 2 3" xfId="5458"/>
    <cellStyle name="20% - Accent3 9 2 2 3" xfId="5459"/>
    <cellStyle name="20% - Accent3 9 2 2 3 2" xfId="5460"/>
    <cellStyle name="20% - Accent3 9 2 2 3 3" xfId="5461"/>
    <cellStyle name="20% - Accent3 9 2 2 4" xfId="5462"/>
    <cellStyle name="20% - Accent3 9 2 2 5" xfId="5463"/>
    <cellStyle name="20% - Accent3 9 2 3" xfId="5464"/>
    <cellStyle name="20% - Accent3 9 2 3 2" xfId="5465"/>
    <cellStyle name="20% - Accent3 9 2 3 2 2" xfId="5466"/>
    <cellStyle name="20% - Accent3 9 2 3 2 3" xfId="5467"/>
    <cellStyle name="20% - Accent3 9 2 3 3" xfId="5468"/>
    <cellStyle name="20% - Accent3 9 2 3 3 2" xfId="5469"/>
    <cellStyle name="20% - Accent3 9 2 3 3 3" xfId="5470"/>
    <cellStyle name="20% - Accent3 9 2 3 4" xfId="5471"/>
    <cellStyle name="20% - Accent3 9 2 3 5" xfId="5472"/>
    <cellStyle name="20% - Accent3 9 2 4" xfId="5473"/>
    <cellStyle name="20% - Accent3 9 2 4 2" xfId="5474"/>
    <cellStyle name="20% - Accent3 9 2 4 2 2" xfId="5475"/>
    <cellStyle name="20% - Accent3 9 2 4 2 3" xfId="5476"/>
    <cellStyle name="20% - Accent3 9 2 4 3" xfId="5477"/>
    <cellStyle name="20% - Accent3 9 2 4 3 2" xfId="5478"/>
    <cellStyle name="20% - Accent3 9 2 4 3 3" xfId="5479"/>
    <cellStyle name="20% - Accent3 9 2 4 4" xfId="5480"/>
    <cellStyle name="20% - Accent3 9 2 4 5" xfId="5481"/>
    <cellStyle name="20% - Accent3 9 2 5" xfId="5482"/>
    <cellStyle name="20% - Accent3 9 2 5 2" xfId="5483"/>
    <cellStyle name="20% - Accent3 9 2 5 3" xfId="5484"/>
    <cellStyle name="20% - Accent3 9 2 6" xfId="5485"/>
    <cellStyle name="20% - Accent3 9 2 6 2" xfId="5486"/>
    <cellStyle name="20% - Accent3 9 2 6 3" xfId="5487"/>
    <cellStyle name="20% - Accent3 9 2 7" xfId="5488"/>
    <cellStyle name="20% - Accent3 9 2 8" xfId="5489"/>
    <cellStyle name="20% - Accent3 9 2_Volatility" xfId="5490"/>
    <cellStyle name="20% - Accent3 9 3" xfId="5491"/>
    <cellStyle name="20% - Accent3 9 3 2" xfId="5492"/>
    <cellStyle name="20% - Accent3 9 3 2 2" xfId="5493"/>
    <cellStyle name="20% - Accent3 9 3 2 2 2" xfId="5494"/>
    <cellStyle name="20% - Accent3 9 3 2 2 3" xfId="5495"/>
    <cellStyle name="20% - Accent3 9 3 2 3" xfId="5496"/>
    <cellStyle name="20% - Accent3 9 3 2 3 2" xfId="5497"/>
    <cellStyle name="20% - Accent3 9 3 2 3 3" xfId="5498"/>
    <cellStyle name="20% - Accent3 9 3 2 4" xfId="5499"/>
    <cellStyle name="20% - Accent3 9 3 2 5" xfId="5500"/>
    <cellStyle name="20% - Accent3 9 3 3" xfId="5501"/>
    <cellStyle name="20% - Accent3 9 3 3 2" xfId="5502"/>
    <cellStyle name="20% - Accent3 9 3 3 2 2" xfId="5503"/>
    <cellStyle name="20% - Accent3 9 3 3 2 3" xfId="5504"/>
    <cellStyle name="20% - Accent3 9 3 3 3" xfId="5505"/>
    <cellStyle name="20% - Accent3 9 3 3 3 2" xfId="5506"/>
    <cellStyle name="20% - Accent3 9 3 3 3 3" xfId="5507"/>
    <cellStyle name="20% - Accent3 9 3 3 4" xfId="5508"/>
    <cellStyle name="20% - Accent3 9 3 3 5" xfId="5509"/>
    <cellStyle name="20% - Accent3 9 3 4" xfId="5510"/>
    <cellStyle name="20% - Accent3 9 3 4 2" xfId="5511"/>
    <cellStyle name="20% - Accent3 9 3 4 3" xfId="5512"/>
    <cellStyle name="20% - Accent3 9 3 5" xfId="5513"/>
    <cellStyle name="20% - Accent3 9 3 5 2" xfId="5514"/>
    <cellStyle name="20% - Accent3 9 3 5 3" xfId="5515"/>
    <cellStyle name="20% - Accent3 9 3 6" xfId="5516"/>
    <cellStyle name="20% - Accent3 9 3 7" xfId="5517"/>
    <cellStyle name="20% - Accent3 9 3_Volatility" xfId="5518"/>
    <cellStyle name="20% - Accent3 9 4" xfId="5519"/>
    <cellStyle name="20% - Accent3 9 4 2" xfId="5520"/>
    <cellStyle name="20% - Accent3 9 4 2 2" xfId="5521"/>
    <cellStyle name="20% - Accent3 9 4 2 3" xfId="5522"/>
    <cellStyle name="20% - Accent3 9 4 3" xfId="5523"/>
    <cellStyle name="20% - Accent3 9 4 3 2" xfId="5524"/>
    <cellStyle name="20% - Accent3 9 4 3 3" xfId="5525"/>
    <cellStyle name="20% - Accent3 9 4 4" xfId="5526"/>
    <cellStyle name="20% - Accent3 9 4 5" xfId="5527"/>
    <cellStyle name="20% - Accent3 9 5" xfId="5528"/>
    <cellStyle name="20% - Accent3 9 5 2" xfId="5529"/>
    <cellStyle name="20% - Accent3 9 5 2 2" xfId="5530"/>
    <cellStyle name="20% - Accent3 9 5 2 3" xfId="5531"/>
    <cellStyle name="20% - Accent3 9 5 3" xfId="5532"/>
    <cellStyle name="20% - Accent3 9 5 3 2" xfId="5533"/>
    <cellStyle name="20% - Accent3 9 5 3 3" xfId="5534"/>
    <cellStyle name="20% - Accent3 9 5 4" xfId="5535"/>
    <cellStyle name="20% - Accent3 9 5 5" xfId="5536"/>
    <cellStyle name="20% - Accent3 9 6" xfId="5537"/>
    <cellStyle name="20% - Accent3 9 6 2" xfId="5538"/>
    <cellStyle name="20% - Accent3 9 6 2 2" xfId="5539"/>
    <cellStyle name="20% - Accent3 9 6 2 3" xfId="5540"/>
    <cellStyle name="20% - Accent3 9 6 3" xfId="5541"/>
    <cellStyle name="20% - Accent3 9 6 3 2" xfId="5542"/>
    <cellStyle name="20% - Accent3 9 6 3 3" xfId="5543"/>
    <cellStyle name="20% - Accent3 9 6 4" xfId="5544"/>
    <cellStyle name="20% - Accent3 9 6 5" xfId="5545"/>
    <cellStyle name="20% - Accent3 9 7" xfId="5546"/>
    <cellStyle name="20% - Accent3 9 7 2" xfId="5547"/>
    <cellStyle name="20% - Accent3 9 7 3" xfId="5548"/>
    <cellStyle name="20% - Accent3 9 8" xfId="5549"/>
    <cellStyle name="20% - Accent3 9 8 2" xfId="5550"/>
    <cellStyle name="20% - Accent3 9 8 3" xfId="5551"/>
    <cellStyle name="20% - Accent3 9 9" xfId="5552"/>
    <cellStyle name="20% - Accent3 9_Volatility" xfId="5553"/>
    <cellStyle name="20% - Accent4" xfId="32" builtinId="42" customBuiltin="1"/>
    <cellStyle name="20% - Accent4 10" xfId="5554"/>
    <cellStyle name="20% - Accent4 10 10" xfId="5555"/>
    <cellStyle name="20% - Accent4 10 2" xfId="5556"/>
    <cellStyle name="20% - Accent4 10 2 2" xfId="5557"/>
    <cellStyle name="20% - Accent4 10 2 2 2" xfId="5558"/>
    <cellStyle name="20% - Accent4 10 2 2 2 2" xfId="5559"/>
    <cellStyle name="20% - Accent4 10 2 2 2 3" xfId="5560"/>
    <cellStyle name="20% - Accent4 10 2 2 3" xfId="5561"/>
    <cellStyle name="20% - Accent4 10 2 2 3 2" xfId="5562"/>
    <cellStyle name="20% - Accent4 10 2 2 3 3" xfId="5563"/>
    <cellStyle name="20% - Accent4 10 2 2 4" xfId="5564"/>
    <cellStyle name="20% - Accent4 10 2 2 5" xfId="5565"/>
    <cellStyle name="20% - Accent4 10 2 3" xfId="5566"/>
    <cellStyle name="20% - Accent4 10 2 3 2" xfId="5567"/>
    <cellStyle name="20% - Accent4 10 2 3 2 2" xfId="5568"/>
    <cellStyle name="20% - Accent4 10 2 3 2 3" xfId="5569"/>
    <cellStyle name="20% - Accent4 10 2 3 3" xfId="5570"/>
    <cellStyle name="20% - Accent4 10 2 3 3 2" xfId="5571"/>
    <cellStyle name="20% - Accent4 10 2 3 3 3" xfId="5572"/>
    <cellStyle name="20% - Accent4 10 2 3 4" xfId="5573"/>
    <cellStyle name="20% - Accent4 10 2 3 5" xfId="5574"/>
    <cellStyle name="20% - Accent4 10 2 4" xfId="5575"/>
    <cellStyle name="20% - Accent4 10 2 4 2" xfId="5576"/>
    <cellStyle name="20% - Accent4 10 2 4 2 2" xfId="5577"/>
    <cellStyle name="20% - Accent4 10 2 4 2 3" xfId="5578"/>
    <cellStyle name="20% - Accent4 10 2 4 3" xfId="5579"/>
    <cellStyle name="20% - Accent4 10 2 4 3 2" xfId="5580"/>
    <cellStyle name="20% - Accent4 10 2 4 3 3" xfId="5581"/>
    <cellStyle name="20% - Accent4 10 2 4 4" xfId="5582"/>
    <cellStyle name="20% - Accent4 10 2 4 5" xfId="5583"/>
    <cellStyle name="20% - Accent4 10 2 5" xfId="5584"/>
    <cellStyle name="20% - Accent4 10 2 5 2" xfId="5585"/>
    <cellStyle name="20% - Accent4 10 2 5 3" xfId="5586"/>
    <cellStyle name="20% - Accent4 10 2 6" xfId="5587"/>
    <cellStyle name="20% - Accent4 10 2 6 2" xfId="5588"/>
    <cellStyle name="20% - Accent4 10 2 6 3" xfId="5589"/>
    <cellStyle name="20% - Accent4 10 2 7" xfId="5590"/>
    <cellStyle name="20% - Accent4 10 2 8" xfId="5591"/>
    <cellStyle name="20% - Accent4 10 2_Volatility" xfId="5592"/>
    <cellStyle name="20% - Accent4 10 3" xfId="5593"/>
    <cellStyle name="20% - Accent4 10 3 2" xfId="5594"/>
    <cellStyle name="20% - Accent4 10 3 2 2" xfId="5595"/>
    <cellStyle name="20% - Accent4 10 3 2 2 2" xfId="5596"/>
    <cellStyle name="20% - Accent4 10 3 2 2 3" xfId="5597"/>
    <cellStyle name="20% - Accent4 10 3 2 3" xfId="5598"/>
    <cellStyle name="20% - Accent4 10 3 2 3 2" xfId="5599"/>
    <cellStyle name="20% - Accent4 10 3 2 3 3" xfId="5600"/>
    <cellStyle name="20% - Accent4 10 3 2 4" xfId="5601"/>
    <cellStyle name="20% - Accent4 10 3 2 5" xfId="5602"/>
    <cellStyle name="20% - Accent4 10 3 3" xfId="5603"/>
    <cellStyle name="20% - Accent4 10 3 3 2" xfId="5604"/>
    <cellStyle name="20% - Accent4 10 3 3 2 2" xfId="5605"/>
    <cellStyle name="20% - Accent4 10 3 3 2 3" xfId="5606"/>
    <cellStyle name="20% - Accent4 10 3 3 3" xfId="5607"/>
    <cellStyle name="20% - Accent4 10 3 3 3 2" xfId="5608"/>
    <cellStyle name="20% - Accent4 10 3 3 3 3" xfId="5609"/>
    <cellStyle name="20% - Accent4 10 3 3 4" xfId="5610"/>
    <cellStyle name="20% - Accent4 10 3 3 5" xfId="5611"/>
    <cellStyle name="20% - Accent4 10 3 4" xfId="5612"/>
    <cellStyle name="20% - Accent4 10 3 4 2" xfId="5613"/>
    <cellStyle name="20% - Accent4 10 3 4 3" xfId="5614"/>
    <cellStyle name="20% - Accent4 10 3 5" xfId="5615"/>
    <cellStyle name="20% - Accent4 10 3 5 2" xfId="5616"/>
    <cellStyle name="20% - Accent4 10 3 5 3" xfId="5617"/>
    <cellStyle name="20% - Accent4 10 3 6" xfId="5618"/>
    <cellStyle name="20% - Accent4 10 3 7" xfId="5619"/>
    <cellStyle name="20% - Accent4 10 3_Volatility" xfId="5620"/>
    <cellStyle name="20% - Accent4 10 4" xfId="5621"/>
    <cellStyle name="20% - Accent4 10 4 2" xfId="5622"/>
    <cellStyle name="20% - Accent4 10 4 2 2" xfId="5623"/>
    <cellStyle name="20% - Accent4 10 4 2 3" xfId="5624"/>
    <cellStyle name="20% - Accent4 10 4 3" xfId="5625"/>
    <cellStyle name="20% - Accent4 10 4 3 2" xfId="5626"/>
    <cellStyle name="20% - Accent4 10 4 3 3" xfId="5627"/>
    <cellStyle name="20% - Accent4 10 4 4" xfId="5628"/>
    <cellStyle name="20% - Accent4 10 4 5" xfId="5629"/>
    <cellStyle name="20% - Accent4 10 5" xfId="5630"/>
    <cellStyle name="20% - Accent4 10 5 2" xfId="5631"/>
    <cellStyle name="20% - Accent4 10 5 2 2" xfId="5632"/>
    <cellStyle name="20% - Accent4 10 5 2 3" xfId="5633"/>
    <cellStyle name="20% - Accent4 10 5 3" xfId="5634"/>
    <cellStyle name="20% - Accent4 10 5 3 2" xfId="5635"/>
    <cellStyle name="20% - Accent4 10 5 3 3" xfId="5636"/>
    <cellStyle name="20% - Accent4 10 5 4" xfId="5637"/>
    <cellStyle name="20% - Accent4 10 5 5" xfId="5638"/>
    <cellStyle name="20% - Accent4 10 6" xfId="5639"/>
    <cellStyle name="20% - Accent4 10 6 2" xfId="5640"/>
    <cellStyle name="20% - Accent4 10 6 2 2" xfId="5641"/>
    <cellStyle name="20% - Accent4 10 6 2 3" xfId="5642"/>
    <cellStyle name="20% - Accent4 10 6 3" xfId="5643"/>
    <cellStyle name="20% - Accent4 10 6 3 2" xfId="5644"/>
    <cellStyle name="20% - Accent4 10 6 3 3" xfId="5645"/>
    <cellStyle name="20% - Accent4 10 6 4" xfId="5646"/>
    <cellStyle name="20% - Accent4 10 6 5" xfId="5647"/>
    <cellStyle name="20% - Accent4 10 7" xfId="5648"/>
    <cellStyle name="20% - Accent4 10 7 2" xfId="5649"/>
    <cellStyle name="20% - Accent4 10 7 3" xfId="5650"/>
    <cellStyle name="20% - Accent4 10 8" xfId="5651"/>
    <cellStyle name="20% - Accent4 10 8 2" xfId="5652"/>
    <cellStyle name="20% - Accent4 10 8 3" xfId="5653"/>
    <cellStyle name="20% - Accent4 10 9" xfId="5654"/>
    <cellStyle name="20% - Accent4 10_Volatility" xfId="5655"/>
    <cellStyle name="20% - Accent4 11" xfId="5656"/>
    <cellStyle name="20% - Accent4 11 10" xfId="5657"/>
    <cellStyle name="20% - Accent4 11 2" xfId="5658"/>
    <cellStyle name="20% - Accent4 11 2 2" xfId="5659"/>
    <cellStyle name="20% - Accent4 11 2 2 2" xfId="5660"/>
    <cellStyle name="20% - Accent4 11 2 2 2 2" xfId="5661"/>
    <cellStyle name="20% - Accent4 11 2 2 2 3" xfId="5662"/>
    <cellStyle name="20% - Accent4 11 2 2 3" xfId="5663"/>
    <cellStyle name="20% - Accent4 11 2 2 3 2" xfId="5664"/>
    <cellStyle name="20% - Accent4 11 2 2 3 3" xfId="5665"/>
    <cellStyle name="20% - Accent4 11 2 2 4" xfId="5666"/>
    <cellStyle name="20% - Accent4 11 2 2 5" xfId="5667"/>
    <cellStyle name="20% - Accent4 11 2 3" xfId="5668"/>
    <cellStyle name="20% - Accent4 11 2 3 2" xfId="5669"/>
    <cellStyle name="20% - Accent4 11 2 3 2 2" xfId="5670"/>
    <cellStyle name="20% - Accent4 11 2 3 2 3" xfId="5671"/>
    <cellStyle name="20% - Accent4 11 2 3 3" xfId="5672"/>
    <cellStyle name="20% - Accent4 11 2 3 3 2" xfId="5673"/>
    <cellStyle name="20% - Accent4 11 2 3 3 3" xfId="5674"/>
    <cellStyle name="20% - Accent4 11 2 3 4" xfId="5675"/>
    <cellStyle name="20% - Accent4 11 2 3 5" xfId="5676"/>
    <cellStyle name="20% - Accent4 11 2 4" xfId="5677"/>
    <cellStyle name="20% - Accent4 11 2 4 2" xfId="5678"/>
    <cellStyle name="20% - Accent4 11 2 4 2 2" xfId="5679"/>
    <cellStyle name="20% - Accent4 11 2 4 2 3" xfId="5680"/>
    <cellStyle name="20% - Accent4 11 2 4 3" xfId="5681"/>
    <cellStyle name="20% - Accent4 11 2 4 3 2" xfId="5682"/>
    <cellStyle name="20% - Accent4 11 2 4 3 3" xfId="5683"/>
    <cellStyle name="20% - Accent4 11 2 4 4" xfId="5684"/>
    <cellStyle name="20% - Accent4 11 2 4 5" xfId="5685"/>
    <cellStyle name="20% - Accent4 11 2 5" xfId="5686"/>
    <cellStyle name="20% - Accent4 11 2 5 2" xfId="5687"/>
    <cellStyle name="20% - Accent4 11 2 5 3" xfId="5688"/>
    <cellStyle name="20% - Accent4 11 2 6" xfId="5689"/>
    <cellStyle name="20% - Accent4 11 2 6 2" xfId="5690"/>
    <cellStyle name="20% - Accent4 11 2 6 3" xfId="5691"/>
    <cellStyle name="20% - Accent4 11 2 7" xfId="5692"/>
    <cellStyle name="20% - Accent4 11 2 8" xfId="5693"/>
    <cellStyle name="20% - Accent4 11 2_Volatility" xfId="5694"/>
    <cellStyle name="20% - Accent4 11 3" xfId="5695"/>
    <cellStyle name="20% - Accent4 11 3 2" xfId="5696"/>
    <cellStyle name="20% - Accent4 11 3 2 2" xfId="5697"/>
    <cellStyle name="20% - Accent4 11 3 2 2 2" xfId="5698"/>
    <cellStyle name="20% - Accent4 11 3 2 2 3" xfId="5699"/>
    <cellStyle name="20% - Accent4 11 3 2 3" xfId="5700"/>
    <cellStyle name="20% - Accent4 11 3 2 3 2" xfId="5701"/>
    <cellStyle name="20% - Accent4 11 3 2 3 3" xfId="5702"/>
    <cellStyle name="20% - Accent4 11 3 2 4" xfId="5703"/>
    <cellStyle name="20% - Accent4 11 3 2 5" xfId="5704"/>
    <cellStyle name="20% - Accent4 11 3 3" xfId="5705"/>
    <cellStyle name="20% - Accent4 11 3 3 2" xfId="5706"/>
    <cellStyle name="20% - Accent4 11 3 3 2 2" xfId="5707"/>
    <cellStyle name="20% - Accent4 11 3 3 2 3" xfId="5708"/>
    <cellStyle name="20% - Accent4 11 3 3 3" xfId="5709"/>
    <cellStyle name="20% - Accent4 11 3 3 3 2" xfId="5710"/>
    <cellStyle name="20% - Accent4 11 3 3 3 3" xfId="5711"/>
    <cellStyle name="20% - Accent4 11 3 3 4" xfId="5712"/>
    <cellStyle name="20% - Accent4 11 3 3 5" xfId="5713"/>
    <cellStyle name="20% - Accent4 11 3 4" xfId="5714"/>
    <cellStyle name="20% - Accent4 11 3 4 2" xfId="5715"/>
    <cellStyle name="20% - Accent4 11 3 4 3" xfId="5716"/>
    <cellStyle name="20% - Accent4 11 3 5" xfId="5717"/>
    <cellStyle name="20% - Accent4 11 3 5 2" xfId="5718"/>
    <cellStyle name="20% - Accent4 11 3 5 3" xfId="5719"/>
    <cellStyle name="20% - Accent4 11 3 6" xfId="5720"/>
    <cellStyle name="20% - Accent4 11 3 7" xfId="5721"/>
    <cellStyle name="20% - Accent4 11 3_Volatility" xfId="5722"/>
    <cellStyle name="20% - Accent4 11 4" xfId="5723"/>
    <cellStyle name="20% - Accent4 11 4 2" xfId="5724"/>
    <cellStyle name="20% - Accent4 11 4 2 2" xfId="5725"/>
    <cellStyle name="20% - Accent4 11 4 2 3" xfId="5726"/>
    <cellStyle name="20% - Accent4 11 4 3" xfId="5727"/>
    <cellStyle name="20% - Accent4 11 4 3 2" xfId="5728"/>
    <cellStyle name="20% - Accent4 11 4 3 3" xfId="5729"/>
    <cellStyle name="20% - Accent4 11 4 4" xfId="5730"/>
    <cellStyle name="20% - Accent4 11 4 5" xfId="5731"/>
    <cellStyle name="20% - Accent4 11 5" xfId="5732"/>
    <cellStyle name="20% - Accent4 11 5 2" xfId="5733"/>
    <cellStyle name="20% - Accent4 11 5 2 2" xfId="5734"/>
    <cellStyle name="20% - Accent4 11 5 2 3" xfId="5735"/>
    <cellStyle name="20% - Accent4 11 5 3" xfId="5736"/>
    <cellStyle name="20% - Accent4 11 5 3 2" xfId="5737"/>
    <cellStyle name="20% - Accent4 11 5 3 3" xfId="5738"/>
    <cellStyle name="20% - Accent4 11 5 4" xfId="5739"/>
    <cellStyle name="20% - Accent4 11 5 5" xfId="5740"/>
    <cellStyle name="20% - Accent4 11 6" xfId="5741"/>
    <cellStyle name="20% - Accent4 11 6 2" xfId="5742"/>
    <cellStyle name="20% - Accent4 11 6 2 2" xfId="5743"/>
    <cellStyle name="20% - Accent4 11 6 2 3" xfId="5744"/>
    <cellStyle name="20% - Accent4 11 6 3" xfId="5745"/>
    <cellStyle name="20% - Accent4 11 6 3 2" xfId="5746"/>
    <cellStyle name="20% - Accent4 11 6 3 3" xfId="5747"/>
    <cellStyle name="20% - Accent4 11 6 4" xfId="5748"/>
    <cellStyle name="20% - Accent4 11 6 5" xfId="5749"/>
    <cellStyle name="20% - Accent4 11 7" xfId="5750"/>
    <cellStyle name="20% - Accent4 11 7 2" xfId="5751"/>
    <cellStyle name="20% - Accent4 11 7 3" xfId="5752"/>
    <cellStyle name="20% - Accent4 11 8" xfId="5753"/>
    <cellStyle name="20% - Accent4 11 8 2" xfId="5754"/>
    <cellStyle name="20% - Accent4 11 8 3" xfId="5755"/>
    <cellStyle name="20% - Accent4 11 9" xfId="5756"/>
    <cellStyle name="20% - Accent4 11_Volatility" xfId="5757"/>
    <cellStyle name="20% - Accent4 12" xfId="5758"/>
    <cellStyle name="20% - Accent4 12 10" xfId="5759"/>
    <cellStyle name="20% - Accent4 12 2" xfId="5760"/>
    <cellStyle name="20% - Accent4 12 2 2" xfId="5761"/>
    <cellStyle name="20% - Accent4 12 2 2 2" xfId="5762"/>
    <cellStyle name="20% - Accent4 12 2 2 2 2" xfId="5763"/>
    <cellStyle name="20% - Accent4 12 2 2 2 3" xfId="5764"/>
    <cellStyle name="20% - Accent4 12 2 2 3" xfId="5765"/>
    <cellStyle name="20% - Accent4 12 2 2 3 2" xfId="5766"/>
    <cellStyle name="20% - Accent4 12 2 2 3 3" xfId="5767"/>
    <cellStyle name="20% - Accent4 12 2 2 4" xfId="5768"/>
    <cellStyle name="20% - Accent4 12 2 2 5" xfId="5769"/>
    <cellStyle name="20% - Accent4 12 2 3" xfId="5770"/>
    <cellStyle name="20% - Accent4 12 2 3 2" xfId="5771"/>
    <cellStyle name="20% - Accent4 12 2 3 2 2" xfId="5772"/>
    <cellStyle name="20% - Accent4 12 2 3 2 3" xfId="5773"/>
    <cellStyle name="20% - Accent4 12 2 3 3" xfId="5774"/>
    <cellStyle name="20% - Accent4 12 2 3 3 2" xfId="5775"/>
    <cellStyle name="20% - Accent4 12 2 3 3 3" xfId="5776"/>
    <cellStyle name="20% - Accent4 12 2 3 4" xfId="5777"/>
    <cellStyle name="20% - Accent4 12 2 3 5" xfId="5778"/>
    <cellStyle name="20% - Accent4 12 2 4" xfId="5779"/>
    <cellStyle name="20% - Accent4 12 2 4 2" xfId="5780"/>
    <cellStyle name="20% - Accent4 12 2 4 2 2" xfId="5781"/>
    <cellStyle name="20% - Accent4 12 2 4 2 3" xfId="5782"/>
    <cellStyle name="20% - Accent4 12 2 4 3" xfId="5783"/>
    <cellStyle name="20% - Accent4 12 2 4 3 2" xfId="5784"/>
    <cellStyle name="20% - Accent4 12 2 4 3 3" xfId="5785"/>
    <cellStyle name="20% - Accent4 12 2 4 4" xfId="5786"/>
    <cellStyle name="20% - Accent4 12 2 4 5" xfId="5787"/>
    <cellStyle name="20% - Accent4 12 2 5" xfId="5788"/>
    <cellStyle name="20% - Accent4 12 2 5 2" xfId="5789"/>
    <cellStyle name="20% - Accent4 12 2 5 3" xfId="5790"/>
    <cellStyle name="20% - Accent4 12 2 6" xfId="5791"/>
    <cellStyle name="20% - Accent4 12 2 6 2" xfId="5792"/>
    <cellStyle name="20% - Accent4 12 2 6 3" xfId="5793"/>
    <cellStyle name="20% - Accent4 12 2 7" xfId="5794"/>
    <cellStyle name="20% - Accent4 12 2 8" xfId="5795"/>
    <cellStyle name="20% - Accent4 12 2_Volatility" xfId="5796"/>
    <cellStyle name="20% - Accent4 12 3" xfId="5797"/>
    <cellStyle name="20% - Accent4 12 3 2" xfId="5798"/>
    <cellStyle name="20% - Accent4 12 3 2 2" xfId="5799"/>
    <cellStyle name="20% - Accent4 12 3 2 2 2" xfId="5800"/>
    <cellStyle name="20% - Accent4 12 3 2 2 3" xfId="5801"/>
    <cellStyle name="20% - Accent4 12 3 2 3" xfId="5802"/>
    <cellStyle name="20% - Accent4 12 3 2 3 2" xfId="5803"/>
    <cellStyle name="20% - Accent4 12 3 2 3 3" xfId="5804"/>
    <cellStyle name="20% - Accent4 12 3 2 4" xfId="5805"/>
    <cellStyle name="20% - Accent4 12 3 2 5" xfId="5806"/>
    <cellStyle name="20% - Accent4 12 3 3" xfId="5807"/>
    <cellStyle name="20% - Accent4 12 3 3 2" xfId="5808"/>
    <cellStyle name="20% - Accent4 12 3 3 2 2" xfId="5809"/>
    <cellStyle name="20% - Accent4 12 3 3 2 3" xfId="5810"/>
    <cellStyle name="20% - Accent4 12 3 3 3" xfId="5811"/>
    <cellStyle name="20% - Accent4 12 3 3 3 2" xfId="5812"/>
    <cellStyle name="20% - Accent4 12 3 3 3 3" xfId="5813"/>
    <cellStyle name="20% - Accent4 12 3 3 4" xfId="5814"/>
    <cellStyle name="20% - Accent4 12 3 3 5" xfId="5815"/>
    <cellStyle name="20% - Accent4 12 3 4" xfId="5816"/>
    <cellStyle name="20% - Accent4 12 3 4 2" xfId="5817"/>
    <cellStyle name="20% - Accent4 12 3 4 3" xfId="5818"/>
    <cellStyle name="20% - Accent4 12 3 5" xfId="5819"/>
    <cellStyle name="20% - Accent4 12 3 5 2" xfId="5820"/>
    <cellStyle name="20% - Accent4 12 3 5 3" xfId="5821"/>
    <cellStyle name="20% - Accent4 12 3 6" xfId="5822"/>
    <cellStyle name="20% - Accent4 12 3 7" xfId="5823"/>
    <cellStyle name="20% - Accent4 12 3_Volatility" xfId="5824"/>
    <cellStyle name="20% - Accent4 12 4" xfId="5825"/>
    <cellStyle name="20% - Accent4 12 4 2" xfId="5826"/>
    <cellStyle name="20% - Accent4 12 4 2 2" xfId="5827"/>
    <cellStyle name="20% - Accent4 12 4 2 3" xfId="5828"/>
    <cellStyle name="20% - Accent4 12 4 3" xfId="5829"/>
    <cellStyle name="20% - Accent4 12 4 3 2" xfId="5830"/>
    <cellStyle name="20% - Accent4 12 4 3 3" xfId="5831"/>
    <cellStyle name="20% - Accent4 12 4 4" xfId="5832"/>
    <cellStyle name="20% - Accent4 12 4 5" xfId="5833"/>
    <cellStyle name="20% - Accent4 12 5" xfId="5834"/>
    <cellStyle name="20% - Accent4 12 5 2" xfId="5835"/>
    <cellStyle name="20% - Accent4 12 5 2 2" xfId="5836"/>
    <cellStyle name="20% - Accent4 12 5 2 3" xfId="5837"/>
    <cellStyle name="20% - Accent4 12 5 3" xfId="5838"/>
    <cellStyle name="20% - Accent4 12 5 3 2" xfId="5839"/>
    <cellStyle name="20% - Accent4 12 5 3 3" xfId="5840"/>
    <cellStyle name="20% - Accent4 12 5 4" xfId="5841"/>
    <cellStyle name="20% - Accent4 12 5 5" xfId="5842"/>
    <cellStyle name="20% - Accent4 12 6" xfId="5843"/>
    <cellStyle name="20% - Accent4 12 6 2" xfId="5844"/>
    <cellStyle name="20% - Accent4 12 6 2 2" xfId="5845"/>
    <cellStyle name="20% - Accent4 12 6 2 3" xfId="5846"/>
    <cellStyle name="20% - Accent4 12 6 3" xfId="5847"/>
    <cellStyle name="20% - Accent4 12 6 3 2" xfId="5848"/>
    <cellStyle name="20% - Accent4 12 6 3 3" xfId="5849"/>
    <cellStyle name="20% - Accent4 12 6 4" xfId="5850"/>
    <cellStyle name="20% - Accent4 12 6 5" xfId="5851"/>
    <cellStyle name="20% - Accent4 12 7" xfId="5852"/>
    <cellStyle name="20% - Accent4 12 7 2" xfId="5853"/>
    <cellStyle name="20% - Accent4 12 7 3" xfId="5854"/>
    <cellStyle name="20% - Accent4 12 8" xfId="5855"/>
    <cellStyle name="20% - Accent4 12 8 2" xfId="5856"/>
    <cellStyle name="20% - Accent4 12 8 3" xfId="5857"/>
    <cellStyle name="20% - Accent4 12 9" xfId="5858"/>
    <cellStyle name="20% - Accent4 12_Volatility" xfId="5859"/>
    <cellStyle name="20% - Accent4 13" xfId="5860"/>
    <cellStyle name="20% - Accent4 13 10" xfId="5861"/>
    <cellStyle name="20% - Accent4 13 2" xfId="5862"/>
    <cellStyle name="20% - Accent4 13 2 2" xfId="5863"/>
    <cellStyle name="20% - Accent4 13 2 2 2" xfId="5864"/>
    <cellStyle name="20% - Accent4 13 2 2 2 2" xfId="5865"/>
    <cellStyle name="20% - Accent4 13 2 2 2 3" xfId="5866"/>
    <cellStyle name="20% - Accent4 13 2 2 3" xfId="5867"/>
    <cellStyle name="20% - Accent4 13 2 2 3 2" xfId="5868"/>
    <cellStyle name="20% - Accent4 13 2 2 3 3" xfId="5869"/>
    <cellStyle name="20% - Accent4 13 2 2 4" xfId="5870"/>
    <cellStyle name="20% - Accent4 13 2 2 5" xfId="5871"/>
    <cellStyle name="20% - Accent4 13 2 3" xfId="5872"/>
    <cellStyle name="20% - Accent4 13 2 3 2" xfId="5873"/>
    <cellStyle name="20% - Accent4 13 2 3 2 2" xfId="5874"/>
    <cellStyle name="20% - Accent4 13 2 3 2 3" xfId="5875"/>
    <cellStyle name="20% - Accent4 13 2 3 3" xfId="5876"/>
    <cellStyle name="20% - Accent4 13 2 3 3 2" xfId="5877"/>
    <cellStyle name="20% - Accent4 13 2 3 3 3" xfId="5878"/>
    <cellStyle name="20% - Accent4 13 2 3 4" xfId="5879"/>
    <cellStyle name="20% - Accent4 13 2 3 5" xfId="5880"/>
    <cellStyle name="20% - Accent4 13 2 4" xfId="5881"/>
    <cellStyle name="20% - Accent4 13 2 4 2" xfId="5882"/>
    <cellStyle name="20% - Accent4 13 2 4 2 2" xfId="5883"/>
    <cellStyle name="20% - Accent4 13 2 4 2 3" xfId="5884"/>
    <cellStyle name="20% - Accent4 13 2 4 3" xfId="5885"/>
    <cellStyle name="20% - Accent4 13 2 4 3 2" xfId="5886"/>
    <cellStyle name="20% - Accent4 13 2 4 3 3" xfId="5887"/>
    <cellStyle name="20% - Accent4 13 2 4 4" xfId="5888"/>
    <cellStyle name="20% - Accent4 13 2 4 5" xfId="5889"/>
    <cellStyle name="20% - Accent4 13 2 5" xfId="5890"/>
    <cellStyle name="20% - Accent4 13 2 5 2" xfId="5891"/>
    <cellStyle name="20% - Accent4 13 2 5 3" xfId="5892"/>
    <cellStyle name="20% - Accent4 13 2 6" xfId="5893"/>
    <cellStyle name="20% - Accent4 13 2 6 2" xfId="5894"/>
    <cellStyle name="20% - Accent4 13 2 6 3" xfId="5895"/>
    <cellStyle name="20% - Accent4 13 2 7" xfId="5896"/>
    <cellStyle name="20% - Accent4 13 2 8" xfId="5897"/>
    <cellStyle name="20% - Accent4 13 2_Volatility" xfId="5898"/>
    <cellStyle name="20% - Accent4 13 3" xfId="5899"/>
    <cellStyle name="20% - Accent4 13 3 2" xfId="5900"/>
    <cellStyle name="20% - Accent4 13 3 2 2" xfId="5901"/>
    <cellStyle name="20% - Accent4 13 3 2 2 2" xfId="5902"/>
    <cellStyle name="20% - Accent4 13 3 2 2 3" xfId="5903"/>
    <cellStyle name="20% - Accent4 13 3 2 3" xfId="5904"/>
    <cellStyle name="20% - Accent4 13 3 2 3 2" xfId="5905"/>
    <cellStyle name="20% - Accent4 13 3 2 3 3" xfId="5906"/>
    <cellStyle name="20% - Accent4 13 3 2 4" xfId="5907"/>
    <cellStyle name="20% - Accent4 13 3 2 5" xfId="5908"/>
    <cellStyle name="20% - Accent4 13 3 3" xfId="5909"/>
    <cellStyle name="20% - Accent4 13 3 3 2" xfId="5910"/>
    <cellStyle name="20% - Accent4 13 3 3 2 2" xfId="5911"/>
    <cellStyle name="20% - Accent4 13 3 3 2 3" xfId="5912"/>
    <cellStyle name="20% - Accent4 13 3 3 3" xfId="5913"/>
    <cellStyle name="20% - Accent4 13 3 3 3 2" xfId="5914"/>
    <cellStyle name="20% - Accent4 13 3 3 3 3" xfId="5915"/>
    <cellStyle name="20% - Accent4 13 3 3 4" xfId="5916"/>
    <cellStyle name="20% - Accent4 13 3 3 5" xfId="5917"/>
    <cellStyle name="20% - Accent4 13 3 4" xfId="5918"/>
    <cellStyle name="20% - Accent4 13 3 4 2" xfId="5919"/>
    <cellStyle name="20% - Accent4 13 3 4 3" xfId="5920"/>
    <cellStyle name="20% - Accent4 13 3 5" xfId="5921"/>
    <cellStyle name="20% - Accent4 13 3 5 2" xfId="5922"/>
    <cellStyle name="20% - Accent4 13 3 5 3" xfId="5923"/>
    <cellStyle name="20% - Accent4 13 3 6" xfId="5924"/>
    <cellStyle name="20% - Accent4 13 3 7" xfId="5925"/>
    <cellStyle name="20% - Accent4 13 3_Volatility" xfId="5926"/>
    <cellStyle name="20% - Accent4 13 4" xfId="5927"/>
    <cellStyle name="20% - Accent4 13 4 2" xfId="5928"/>
    <cellStyle name="20% - Accent4 13 4 2 2" xfId="5929"/>
    <cellStyle name="20% - Accent4 13 4 2 3" xfId="5930"/>
    <cellStyle name="20% - Accent4 13 4 3" xfId="5931"/>
    <cellStyle name="20% - Accent4 13 4 3 2" xfId="5932"/>
    <cellStyle name="20% - Accent4 13 4 3 3" xfId="5933"/>
    <cellStyle name="20% - Accent4 13 4 4" xfId="5934"/>
    <cellStyle name="20% - Accent4 13 4 5" xfId="5935"/>
    <cellStyle name="20% - Accent4 13 5" xfId="5936"/>
    <cellStyle name="20% - Accent4 13 5 2" xfId="5937"/>
    <cellStyle name="20% - Accent4 13 5 2 2" xfId="5938"/>
    <cellStyle name="20% - Accent4 13 5 2 3" xfId="5939"/>
    <cellStyle name="20% - Accent4 13 5 3" xfId="5940"/>
    <cellStyle name="20% - Accent4 13 5 3 2" xfId="5941"/>
    <cellStyle name="20% - Accent4 13 5 3 3" xfId="5942"/>
    <cellStyle name="20% - Accent4 13 5 4" xfId="5943"/>
    <cellStyle name="20% - Accent4 13 5 5" xfId="5944"/>
    <cellStyle name="20% - Accent4 13 6" xfId="5945"/>
    <cellStyle name="20% - Accent4 13 6 2" xfId="5946"/>
    <cellStyle name="20% - Accent4 13 6 2 2" xfId="5947"/>
    <cellStyle name="20% - Accent4 13 6 2 3" xfId="5948"/>
    <cellStyle name="20% - Accent4 13 6 3" xfId="5949"/>
    <cellStyle name="20% - Accent4 13 6 3 2" xfId="5950"/>
    <cellStyle name="20% - Accent4 13 6 3 3" xfId="5951"/>
    <cellStyle name="20% - Accent4 13 6 4" xfId="5952"/>
    <cellStyle name="20% - Accent4 13 6 5" xfId="5953"/>
    <cellStyle name="20% - Accent4 13 7" xfId="5954"/>
    <cellStyle name="20% - Accent4 13 7 2" xfId="5955"/>
    <cellStyle name="20% - Accent4 13 7 3" xfId="5956"/>
    <cellStyle name="20% - Accent4 13 8" xfId="5957"/>
    <cellStyle name="20% - Accent4 13 8 2" xfId="5958"/>
    <cellStyle name="20% - Accent4 13 8 3" xfId="5959"/>
    <cellStyle name="20% - Accent4 13 9" xfId="5960"/>
    <cellStyle name="20% - Accent4 13_Volatility" xfId="5961"/>
    <cellStyle name="20% - Accent4 14" xfId="5962"/>
    <cellStyle name="20% - Accent4 14 10" xfId="5963"/>
    <cellStyle name="20% - Accent4 14 2" xfId="5964"/>
    <cellStyle name="20% - Accent4 14 2 2" xfId="5965"/>
    <cellStyle name="20% - Accent4 14 2 2 2" xfId="5966"/>
    <cellStyle name="20% - Accent4 14 2 2 2 2" xfId="5967"/>
    <cellStyle name="20% - Accent4 14 2 2 2 3" xfId="5968"/>
    <cellStyle name="20% - Accent4 14 2 2 3" xfId="5969"/>
    <cellStyle name="20% - Accent4 14 2 2 3 2" xfId="5970"/>
    <cellStyle name="20% - Accent4 14 2 2 3 3" xfId="5971"/>
    <cellStyle name="20% - Accent4 14 2 2 4" xfId="5972"/>
    <cellStyle name="20% - Accent4 14 2 2 5" xfId="5973"/>
    <cellStyle name="20% - Accent4 14 2 3" xfId="5974"/>
    <cellStyle name="20% - Accent4 14 2 3 2" xfId="5975"/>
    <cellStyle name="20% - Accent4 14 2 3 2 2" xfId="5976"/>
    <cellStyle name="20% - Accent4 14 2 3 2 3" xfId="5977"/>
    <cellStyle name="20% - Accent4 14 2 3 3" xfId="5978"/>
    <cellStyle name="20% - Accent4 14 2 3 3 2" xfId="5979"/>
    <cellStyle name="20% - Accent4 14 2 3 3 3" xfId="5980"/>
    <cellStyle name="20% - Accent4 14 2 3 4" xfId="5981"/>
    <cellStyle name="20% - Accent4 14 2 3 5" xfId="5982"/>
    <cellStyle name="20% - Accent4 14 2 4" xfId="5983"/>
    <cellStyle name="20% - Accent4 14 2 4 2" xfId="5984"/>
    <cellStyle name="20% - Accent4 14 2 4 2 2" xfId="5985"/>
    <cellStyle name="20% - Accent4 14 2 4 2 3" xfId="5986"/>
    <cellStyle name="20% - Accent4 14 2 4 3" xfId="5987"/>
    <cellStyle name="20% - Accent4 14 2 4 3 2" xfId="5988"/>
    <cellStyle name="20% - Accent4 14 2 4 3 3" xfId="5989"/>
    <cellStyle name="20% - Accent4 14 2 4 4" xfId="5990"/>
    <cellStyle name="20% - Accent4 14 2 4 5" xfId="5991"/>
    <cellStyle name="20% - Accent4 14 2 5" xfId="5992"/>
    <cellStyle name="20% - Accent4 14 2 5 2" xfId="5993"/>
    <cellStyle name="20% - Accent4 14 2 5 3" xfId="5994"/>
    <cellStyle name="20% - Accent4 14 2 6" xfId="5995"/>
    <cellStyle name="20% - Accent4 14 2 6 2" xfId="5996"/>
    <cellStyle name="20% - Accent4 14 2 6 3" xfId="5997"/>
    <cellStyle name="20% - Accent4 14 2 7" xfId="5998"/>
    <cellStyle name="20% - Accent4 14 2 8" xfId="5999"/>
    <cellStyle name="20% - Accent4 14 2_Volatility" xfId="6000"/>
    <cellStyle name="20% - Accent4 14 3" xfId="6001"/>
    <cellStyle name="20% - Accent4 14 3 2" xfId="6002"/>
    <cellStyle name="20% - Accent4 14 3 2 2" xfId="6003"/>
    <cellStyle name="20% - Accent4 14 3 2 2 2" xfId="6004"/>
    <cellStyle name="20% - Accent4 14 3 2 2 3" xfId="6005"/>
    <cellStyle name="20% - Accent4 14 3 2 3" xfId="6006"/>
    <cellStyle name="20% - Accent4 14 3 2 3 2" xfId="6007"/>
    <cellStyle name="20% - Accent4 14 3 2 3 3" xfId="6008"/>
    <cellStyle name="20% - Accent4 14 3 2 4" xfId="6009"/>
    <cellStyle name="20% - Accent4 14 3 2 5" xfId="6010"/>
    <cellStyle name="20% - Accent4 14 3 3" xfId="6011"/>
    <cellStyle name="20% - Accent4 14 3 3 2" xfId="6012"/>
    <cellStyle name="20% - Accent4 14 3 3 2 2" xfId="6013"/>
    <cellStyle name="20% - Accent4 14 3 3 2 3" xfId="6014"/>
    <cellStyle name="20% - Accent4 14 3 3 3" xfId="6015"/>
    <cellStyle name="20% - Accent4 14 3 3 3 2" xfId="6016"/>
    <cellStyle name="20% - Accent4 14 3 3 3 3" xfId="6017"/>
    <cellStyle name="20% - Accent4 14 3 3 4" xfId="6018"/>
    <cellStyle name="20% - Accent4 14 3 3 5" xfId="6019"/>
    <cellStyle name="20% - Accent4 14 3 4" xfId="6020"/>
    <cellStyle name="20% - Accent4 14 3 4 2" xfId="6021"/>
    <cellStyle name="20% - Accent4 14 3 4 3" xfId="6022"/>
    <cellStyle name="20% - Accent4 14 3 5" xfId="6023"/>
    <cellStyle name="20% - Accent4 14 3 5 2" xfId="6024"/>
    <cellStyle name="20% - Accent4 14 3 5 3" xfId="6025"/>
    <cellStyle name="20% - Accent4 14 3 6" xfId="6026"/>
    <cellStyle name="20% - Accent4 14 3 7" xfId="6027"/>
    <cellStyle name="20% - Accent4 14 3_Volatility" xfId="6028"/>
    <cellStyle name="20% - Accent4 14 4" xfId="6029"/>
    <cellStyle name="20% - Accent4 14 4 2" xfId="6030"/>
    <cellStyle name="20% - Accent4 14 4 2 2" xfId="6031"/>
    <cellStyle name="20% - Accent4 14 4 2 3" xfId="6032"/>
    <cellStyle name="20% - Accent4 14 4 3" xfId="6033"/>
    <cellStyle name="20% - Accent4 14 4 3 2" xfId="6034"/>
    <cellStyle name="20% - Accent4 14 4 3 3" xfId="6035"/>
    <cellStyle name="20% - Accent4 14 4 4" xfId="6036"/>
    <cellStyle name="20% - Accent4 14 4 5" xfId="6037"/>
    <cellStyle name="20% - Accent4 14 5" xfId="6038"/>
    <cellStyle name="20% - Accent4 14 5 2" xfId="6039"/>
    <cellStyle name="20% - Accent4 14 5 2 2" xfId="6040"/>
    <cellStyle name="20% - Accent4 14 5 2 3" xfId="6041"/>
    <cellStyle name="20% - Accent4 14 5 3" xfId="6042"/>
    <cellStyle name="20% - Accent4 14 5 3 2" xfId="6043"/>
    <cellStyle name="20% - Accent4 14 5 3 3" xfId="6044"/>
    <cellStyle name="20% - Accent4 14 5 4" xfId="6045"/>
    <cellStyle name="20% - Accent4 14 5 5" xfId="6046"/>
    <cellStyle name="20% - Accent4 14 6" xfId="6047"/>
    <cellStyle name="20% - Accent4 14 6 2" xfId="6048"/>
    <cellStyle name="20% - Accent4 14 6 2 2" xfId="6049"/>
    <cellStyle name="20% - Accent4 14 6 2 3" xfId="6050"/>
    <cellStyle name="20% - Accent4 14 6 3" xfId="6051"/>
    <cellStyle name="20% - Accent4 14 6 3 2" xfId="6052"/>
    <cellStyle name="20% - Accent4 14 6 3 3" xfId="6053"/>
    <cellStyle name="20% - Accent4 14 6 4" xfId="6054"/>
    <cellStyle name="20% - Accent4 14 6 5" xfId="6055"/>
    <cellStyle name="20% - Accent4 14 7" xfId="6056"/>
    <cellStyle name="20% - Accent4 14 7 2" xfId="6057"/>
    <cellStyle name="20% - Accent4 14 7 3" xfId="6058"/>
    <cellStyle name="20% - Accent4 14 8" xfId="6059"/>
    <cellStyle name="20% - Accent4 14 8 2" xfId="6060"/>
    <cellStyle name="20% - Accent4 14 8 3" xfId="6061"/>
    <cellStyle name="20% - Accent4 14 9" xfId="6062"/>
    <cellStyle name="20% - Accent4 14_Volatility" xfId="6063"/>
    <cellStyle name="20% - Accent4 15" xfId="6064"/>
    <cellStyle name="20% - Accent4 15 10" xfId="6065"/>
    <cellStyle name="20% - Accent4 15 2" xfId="6066"/>
    <cellStyle name="20% - Accent4 15 2 2" xfId="6067"/>
    <cellStyle name="20% - Accent4 15 2 2 2" xfId="6068"/>
    <cellStyle name="20% - Accent4 15 2 2 2 2" xfId="6069"/>
    <cellStyle name="20% - Accent4 15 2 2 2 3" xfId="6070"/>
    <cellStyle name="20% - Accent4 15 2 2 3" xfId="6071"/>
    <cellStyle name="20% - Accent4 15 2 2 3 2" xfId="6072"/>
    <cellStyle name="20% - Accent4 15 2 2 3 3" xfId="6073"/>
    <cellStyle name="20% - Accent4 15 2 2 4" xfId="6074"/>
    <cellStyle name="20% - Accent4 15 2 2 5" xfId="6075"/>
    <cellStyle name="20% - Accent4 15 2 3" xfId="6076"/>
    <cellStyle name="20% - Accent4 15 2 3 2" xfId="6077"/>
    <cellStyle name="20% - Accent4 15 2 3 2 2" xfId="6078"/>
    <cellStyle name="20% - Accent4 15 2 3 2 3" xfId="6079"/>
    <cellStyle name="20% - Accent4 15 2 3 3" xfId="6080"/>
    <cellStyle name="20% - Accent4 15 2 3 3 2" xfId="6081"/>
    <cellStyle name="20% - Accent4 15 2 3 3 3" xfId="6082"/>
    <cellStyle name="20% - Accent4 15 2 3 4" xfId="6083"/>
    <cellStyle name="20% - Accent4 15 2 3 5" xfId="6084"/>
    <cellStyle name="20% - Accent4 15 2 4" xfId="6085"/>
    <cellStyle name="20% - Accent4 15 2 4 2" xfId="6086"/>
    <cellStyle name="20% - Accent4 15 2 4 2 2" xfId="6087"/>
    <cellStyle name="20% - Accent4 15 2 4 2 3" xfId="6088"/>
    <cellStyle name="20% - Accent4 15 2 4 3" xfId="6089"/>
    <cellStyle name="20% - Accent4 15 2 4 3 2" xfId="6090"/>
    <cellStyle name="20% - Accent4 15 2 4 3 3" xfId="6091"/>
    <cellStyle name="20% - Accent4 15 2 4 4" xfId="6092"/>
    <cellStyle name="20% - Accent4 15 2 4 5" xfId="6093"/>
    <cellStyle name="20% - Accent4 15 2 5" xfId="6094"/>
    <cellStyle name="20% - Accent4 15 2 5 2" xfId="6095"/>
    <cellStyle name="20% - Accent4 15 2 5 3" xfId="6096"/>
    <cellStyle name="20% - Accent4 15 2 6" xfId="6097"/>
    <cellStyle name="20% - Accent4 15 2 6 2" xfId="6098"/>
    <cellStyle name="20% - Accent4 15 2 6 3" xfId="6099"/>
    <cellStyle name="20% - Accent4 15 2 7" xfId="6100"/>
    <cellStyle name="20% - Accent4 15 2 8" xfId="6101"/>
    <cellStyle name="20% - Accent4 15 2_Volatility" xfId="6102"/>
    <cellStyle name="20% - Accent4 15 3" xfId="6103"/>
    <cellStyle name="20% - Accent4 15 3 2" xfId="6104"/>
    <cellStyle name="20% - Accent4 15 3 2 2" xfId="6105"/>
    <cellStyle name="20% - Accent4 15 3 2 2 2" xfId="6106"/>
    <cellStyle name="20% - Accent4 15 3 2 2 3" xfId="6107"/>
    <cellStyle name="20% - Accent4 15 3 2 3" xfId="6108"/>
    <cellStyle name="20% - Accent4 15 3 2 3 2" xfId="6109"/>
    <cellStyle name="20% - Accent4 15 3 2 3 3" xfId="6110"/>
    <cellStyle name="20% - Accent4 15 3 2 4" xfId="6111"/>
    <cellStyle name="20% - Accent4 15 3 2 5" xfId="6112"/>
    <cellStyle name="20% - Accent4 15 3 3" xfId="6113"/>
    <cellStyle name="20% - Accent4 15 3 3 2" xfId="6114"/>
    <cellStyle name="20% - Accent4 15 3 3 2 2" xfId="6115"/>
    <cellStyle name="20% - Accent4 15 3 3 2 3" xfId="6116"/>
    <cellStyle name="20% - Accent4 15 3 3 3" xfId="6117"/>
    <cellStyle name="20% - Accent4 15 3 3 3 2" xfId="6118"/>
    <cellStyle name="20% - Accent4 15 3 3 3 3" xfId="6119"/>
    <cellStyle name="20% - Accent4 15 3 3 4" xfId="6120"/>
    <cellStyle name="20% - Accent4 15 3 3 5" xfId="6121"/>
    <cellStyle name="20% - Accent4 15 3 4" xfId="6122"/>
    <cellStyle name="20% - Accent4 15 3 4 2" xfId="6123"/>
    <cellStyle name="20% - Accent4 15 3 4 3" xfId="6124"/>
    <cellStyle name="20% - Accent4 15 3 5" xfId="6125"/>
    <cellStyle name="20% - Accent4 15 3 5 2" xfId="6126"/>
    <cellStyle name="20% - Accent4 15 3 5 3" xfId="6127"/>
    <cellStyle name="20% - Accent4 15 3 6" xfId="6128"/>
    <cellStyle name="20% - Accent4 15 3 7" xfId="6129"/>
    <cellStyle name="20% - Accent4 15 3_Volatility" xfId="6130"/>
    <cellStyle name="20% - Accent4 15 4" xfId="6131"/>
    <cellStyle name="20% - Accent4 15 4 2" xfId="6132"/>
    <cellStyle name="20% - Accent4 15 4 2 2" xfId="6133"/>
    <cellStyle name="20% - Accent4 15 4 2 3" xfId="6134"/>
    <cellStyle name="20% - Accent4 15 4 3" xfId="6135"/>
    <cellStyle name="20% - Accent4 15 4 3 2" xfId="6136"/>
    <cellStyle name="20% - Accent4 15 4 3 3" xfId="6137"/>
    <cellStyle name="20% - Accent4 15 4 4" xfId="6138"/>
    <cellStyle name="20% - Accent4 15 4 5" xfId="6139"/>
    <cellStyle name="20% - Accent4 15 5" xfId="6140"/>
    <cellStyle name="20% - Accent4 15 5 2" xfId="6141"/>
    <cellStyle name="20% - Accent4 15 5 2 2" xfId="6142"/>
    <cellStyle name="20% - Accent4 15 5 2 3" xfId="6143"/>
    <cellStyle name="20% - Accent4 15 5 3" xfId="6144"/>
    <cellStyle name="20% - Accent4 15 5 3 2" xfId="6145"/>
    <cellStyle name="20% - Accent4 15 5 3 3" xfId="6146"/>
    <cellStyle name="20% - Accent4 15 5 4" xfId="6147"/>
    <cellStyle name="20% - Accent4 15 5 5" xfId="6148"/>
    <cellStyle name="20% - Accent4 15 6" xfId="6149"/>
    <cellStyle name="20% - Accent4 15 6 2" xfId="6150"/>
    <cellStyle name="20% - Accent4 15 6 2 2" xfId="6151"/>
    <cellStyle name="20% - Accent4 15 6 2 3" xfId="6152"/>
    <cellStyle name="20% - Accent4 15 6 3" xfId="6153"/>
    <cellStyle name="20% - Accent4 15 6 3 2" xfId="6154"/>
    <cellStyle name="20% - Accent4 15 6 3 3" xfId="6155"/>
    <cellStyle name="20% - Accent4 15 6 4" xfId="6156"/>
    <cellStyle name="20% - Accent4 15 6 5" xfId="6157"/>
    <cellStyle name="20% - Accent4 15 7" xfId="6158"/>
    <cellStyle name="20% - Accent4 15 7 2" xfId="6159"/>
    <cellStyle name="20% - Accent4 15 7 3" xfId="6160"/>
    <cellStyle name="20% - Accent4 15 8" xfId="6161"/>
    <cellStyle name="20% - Accent4 15 8 2" xfId="6162"/>
    <cellStyle name="20% - Accent4 15 8 3" xfId="6163"/>
    <cellStyle name="20% - Accent4 15 9" xfId="6164"/>
    <cellStyle name="20% - Accent4 15_Volatility" xfId="6165"/>
    <cellStyle name="20% - Accent4 16" xfId="6166"/>
    <cellStyle name="20% - Accent4 16 2" xfId="6167"/>
    <cellStyle name="20% - Accent4 16 3" xfId="6168"/>
    <cellStyle name="20% - Accent4 17" xfId="6169"/>
    <cellStyle name="20% - Accent4 17 2" xfId="6170"/>
    <cellStyle name="20% - Accent4 17 3" xfId="6171"/>
    <cellStyle name="20% - Accent4 18" xfId="6172"/>
    <cellStyle name="20% - Accent4 18 2" xfId="6173"/>
    <cellStyle name="20% - Accent4 18 3" xfId="6174"/>
    <cellStyle name="20% - Accent4 19" xfId="6175"/>
    <cellStyle name="20% - Accent4 19 2" xfId="6176"/>
    <cellStyle name="20% - Accent4 19 3" xfId="6177"/>
    <cellStyle name="20% - Accent4 2" xfId="6178"/>
    <cellStyle name="20% - Accent4 2 10" xfId="6179"/>
    <cellStyle name="20% - Accent4 2 2" xfId="6180"/>
    <cellStyle name="20% - Accent4 2 2 2" xfId="6181"/>
    <cellStyle name="20% - Accent4 2 2 2 2" xfId="6182"/>
    <cellStyle name="20% - Accent4 2 2 2 2 2" xfId="6183"/>
    <cellStyle name="20% - Accent4 2 2 2 2 3" xfId="6184"/>
    <cellStyle name="20% - Accent4 2 2 2 3" xfId="6185"/>
    <cellStyle name="20% - Accent4 2 2 2 3 2" xfId="6186"/>
    <cellStyle name="20% - Accent4 2 2 2 3 3" xfId="6187"/>
    <cellStyle name="20% - Accent4 2 2 2 4" xfId="6188"/>
    <cellStyle name="20% - Accent4 2 2 2 5" xfId="6189"/>
    <cellStyle name="20% - Accent4 2 2 3" xfId="6190"/>
    <cellStyle name="20% - Accent4 2 2 3 2" xfId="6191"/>
    <cellStyle name="20% - Accent4 2 2 3 2 2" xfId="6192"/>
    <cellStyle name="20% - Accent4 2 2 3 2 3" xfId="6193"/>
    <cellStyle name="20% - Accent4 2 2 3 3" xfId="6194"/>
    <cellStyle name="20% - Accent4 2 2 3 3 2" xfId="6195"/>
    <cellStyle name="20% - Accent4 2 2 3 3 3" xfId="6196"/>
    <cellStyle name="20% - Accent4 2 2 3 4" xfId="6197"/>
    <cellStyle name="20% - Accent4 2 2 3 5" xfId="6198"/>
    <cellStyle name="20% - Accent4 2 2 4" xfId="6199"/>
    <cellStyle name="20% - Accent4 2 2 4 2" xfId="6200"/>
    <cellStyle name="20% - Accent4 2 2 4 2 2" xfId="6201"/>
    <cellStyle name="20% - Accent4 2 2 4 2 3" xfId="6202"/>
    <cellStyle name="20% - Accent4 2 2 4 3" xfId="6203"/>
    <cellStyle name="20% - Accent4 2 2 4 3 2" xfId="6204"/>
    <cellStyle name="20% - Accent4 2 2 4 3 3" xfId="6205"/>
    <cellStyle name="20% - Accent4 2 2 4 4" xfId="6206"/>
    <cellStyle name="20% - Accent4 2 2 4 5" xfId="6207"/>
    <cellStyle name="20% - Accent4 2 2 5" xfId="6208"/>
    <cellStyle name="20% - Accent4 2 2 5 2" xfId="6209"/>
    <cellStyle name="20% - Accent4 2 2 5 3" xfId="6210"/>
    <cellStyle name="20% - Accent4 2 2 6" xfId="6211"/>
    <cellStyle name="20% - Accent4 2 2 6 2" xfId="6212"/>
    <cellStyle name="20% - Accent4 2 2 6 3" xfId="6213"/>
    <cellStyle name="20% - Accent4 2 2 7" xfId="6214"/>
    <cellStyle name="20% - Accent4 2 2 8" xfId="6215"/>
    <cellStyle name="20% - Accent4 2 2_Volatility" xfId="6216"/>
    <cellStyle name="20% - Accent4 2 3" xfId="6217"/>
    <cellStyle name="20% - Accent4 2 3 2" xfId="6218"/>
    <cellStyle name="20% - Accent4 2 3 2 2" xfId="6219"/>
    <cellStyle name="20% - Accent4 2 3 2 2 2" xfId="6220"/>
    <cellStyle name="20% - Accent4 2 3 2 2 3" xfId="6221"/>
    <cellStyle name="20% - Accent4 2 3 2 3" xfId="6222"/>
    <cellStyle name="20% - Accent4 2 3 2 3 2" xfId="6223"/>
    <cellStyle name="20% - Accent4 2 3 2 3 3" xfId="6224"/>
    <cellStyle name="20% - Accent4 2 3 2 4" xfId="6225"/>
    <cellStyle name="20% - Accent4 2 3 2 5" xfId="6226"/>
    <cellStyle name="20% - Accent4 2 3 3" xfId="6227"/>
    <cellStyle name="20% - Accent4 2 3 3 2" xfId="6228"/>
    <cellStyle name="20% - Accent4 2 3 3 2 2" xfId="6229"/>
    <cellStyle name="20% - Accent4 2 3 3 2 3" xfId="6230"/>
    <cellStyle name="20% - Accent4 2 3 3 3" xfId="6231"/>
    <cellStyle name="20% - Accent4 2 3 3 3 2" xfId="6232"/>
    <cellStyle name="20% - Accent4 2 3 3 3 3" xfId="6233"/>
    <cellStyle name="20% - Accent4 2 3 3 4" xfId="6234"/>
    <cellStyle name="20% - Accent4 2 3 3 5" xfId="6235"/>
    <cellStyle name="20% - Accent4 2 3 4" xfId="6236"/>
    <cellStyle name="20% - Accent4 2 3 4 2" xfId="6237"/>
    <cellStyle name="20% - Accent4 2 3 4 3" xfId="6238"/>
    <cellStyle name="20% - Accent4 2 3 5" xfId="6239"/>
    <cellStyle name="20% - Accent4 2 3 5 2" xfId="6240"/>
    <cellStyle name="20% - Accent4 2 3 5 3" xfId="6241"/>
    <cellStyle name="20% - Accent4 2 3 6" xfId="6242"/>
    <cellStyle name="20% - Accent4 2 3 7" xfId="6243"/>
    <cellStyle name="20% - Accent4 2 3_Volatility" xfId="6244"/>
    <cellStyle name="20% - Accent4 2 4" xfId="6245"/>
    <cellStyle name="20% - Accent4 2 4 2" xfId="6246"/>
    <cellStyle name="20% - Accent4 2 4 2 2" xfId="6247"/>
    <cellStyle name="20% - Accent4 2 4 2 3" xfId="6248"/>
    <cellStyle name="20% - Accent4 2 4 3" xfId="6249"/>
    <cellStyle name="20% - Accent4 2 4 3 2" xfId="6250"/>
    <cellStyle name="20% - Accent4 2 4 3 3" xfId="6251"/>
    <cellStyle name="20% - Accent4 2 4 4" xfId="6252"/>
    <cellStyle name="20% - Accent4 2 4 5" xfId="6253"/>
    <cellStyle name="20% - Accent4 2 5" xfId="6254"/>
    <cellStyle name="20% - Accent4 2 5 2" xfId="6255"/>
    <cellStyle name="20% - Accent4 2 5 2 2" xfId="6256"/>
    <cellStyle name="20% - Accent4 2 5 2 3" xfId="6257"/>
    <cellStyle name="20% - Accent4 2 5 3" xfId="6258"/>
    <cellStyle name="20% - Accent4 2 5 3 2" xfId="6259"/>
    <cellStyle name="20% - Accent4 2 5 3 3" xfId="6260"/>
    <cellStyle name="20% - Accent4 2 5 4" xfId="6261"/>
    <cellStyle name="20% - Accent4 2 5 5" xfId="6262"/>
    <cellStyle name="20% - Accent4 2 6" xfId="6263"/>
    <cellStyle name="20% - Accent4 2 6 2" xfId="6264"/>
    <cellStyle name="20% - Accent4 2 6 2 2" xfId="6265"/>
    <cellStyle name="20% - Accent4 2 6 2 3" xfId="6266"/>
    <cellStyle name="20% - Accent4 2 6 3" xfId="6267"/>
    <cellStyle name="20% - Accent4 2 6 3 2" xfId="6268"/>
    <cellStyle name="20% - Accent4 2 6 3 3" xfId="6269"/>
    <cellStyle name="20% - Accent4 2 6 4" xfId="6270"/>
    <cellStyle name="20% - Accent4 2 6 5" xfId="6271"/>
    <cellStyle name="20% - Accent4 2 7" xfId="6272"/>
    <cellStyle name="20% - Accent4 2 7 2" xfId="6273"/>
    <cellStyle name="20% - Accent4 2 7 3" xfId="6274"/>
    <cellStyle name="20% - Accent4 2 8" xfId="6275"/>
    <cellStyle name="20% - Accent4 2 8 2" xfId="6276"/>
    <cellStyle name="20% - Accent4 2 8 3" xfId="6277"/>
    <cellStyle name="20% - Accent4 2 9" xfId="6278"/>
    <cellStyle name="20% - Accent4 2_Volatility" xfId="6279"/>
    <cellStyle name="20% - Accent4 3" xfId="6280"/>
    <cellStyle name="20% - Accent4 3 10" xfId="6281"/>
    <cellStyle name="20% - Accent4 3 2" xfId="6282"/>
    <cellStyle name="20% - Accent4 3 2 2" xfId="6283"/>
    <cellStyle name="20% - Accent4 3 2 2 2" xfId="6284"/>
    <cellStyle name="20% - Accent4 3 2 2 2 2" xfId="6285"/>
    <cellStyle name="20% - Accent4 3 2 2 2 3" xfId="6286"/>
    <cellStyle name="20% - Accent4 3 2 2 3" xfId="6287"/>
    <cellStyle name="20% - Accent4 3 2 2 3 2" xfId="6288"/>
    <cellStyle name="20% - Accent4 3 2 2 3 3" xfId="6289"/>
    <cellStyle name="20% - Accent4 3 2 2 4" xfId="6290"/>
    <cellStyle name="20% - Accent4 3 2 2 5" xfId="6291"/>
    <cellStyle name="20% - Accent4 3 2 3" xfId="6292"/>
    <cellStyle name="20% - Accent4 3 2 3 2" xfId="6293"/>
    <cellStyle name="20% - Accent4 3 2 3 2 2" xfId="6294"/>
    <cellStyle name="20% - Accent4 3 2 3 2 3" xfId="6295"/>
    <cellStyle name="20% - Accent4 3 2 3 3" xfId="6296"/>
    <cellStyle name="20% - Accent4 3 2 3 3 2" xfId="6297"/>
    <cellStyle name="20% - Accent4 3 2 3 3 3" xfId="6298"/>
    <cellStyle name="20% - Accent4 3 2 3 4" xfId="6299"/>
    <cellStyle name="20% - Accent4 3 2 3 5" xfId="6300"/>
    <cellStyle name="20% - Accent4 3 2 4" xfId="6301"/>
    <cellStyle name="20% - Accent4 3 2 4 2" xfId="6302"/>
    <cellStyle name="20% - Accent4 3 2 4 2 2" xfId="6303"/>
    <cellStyle name="20% - Accent4 3 2 4 2 3" xfId="6304"/>
    <cellStyle name="20% - Accent4 3 2 4 3" xfId="6305"/>
    <cellStyle name="20% - Accent4 3 2 4 3 2" xfId="6306"/>
    <cellStyle name="20% - Accent4 3 2 4 3 3" xfId="6307"/>
    <cellStyle name="20% - Accent4 3 2 4 4" xfId="6308"/>
    <cellStyle name="20% - Accent4 3 2 4 5" xfId="6309"/>
    <cellStyle name="20% - Accent4 3 2 5" xfId="6310"/>
    <cellStyle name="20% - Accent4 3 2 5 2" xfId="6311"/>
    <cellStyle name="20% - Accent4 3 2 5 3" xfId="6312"/>
    <cellStyle name="20% - Accent4 3 2 6" xfId="6313"/>
    <cellStyle name="20% - Accent4 3 2 6 2" xfId="6314"/>
    <cellStyle name="20% - Accent4 3 2 6 3" xfId="6315"/>
    <cellStyle name="20% - Accent4 3 2 7" xfId="6316"/>
    <cellStyle name="20% - Accent4 3 2 8" xfId="6317"/>
    <cellStyle name="20% - Accent4 3 2_Volatility" xfId="6318"/>
    <cellStyle name="20% - Accent4 3 3" xfId="6319"/>
    <cellStyle name="20% - Accent4 3 3 2" xfId="6320"/>
    <cellStyle name="20% - Accent4 3 3 2 2" xfId="6321"/>
    <cellStyle name="20% - Accent4 3 3 2 2 2" xfId="6322"/>
    <cellStyle name="20% - Accent4 3 3 2 2 3" xfId="6323"/>
    <cellStyle name="20% - Accent4 3 3 2 3" xfId="6324"/>
    <cellStyle name="20% - Accent4 3 3 2 3 2" xfId="6325"/>
    <cellStyle name="20% - Accent4 3 3 2 3 3" xfId="6326"/>
    <cellStyle name="20% - Accent4 3 3 2 4" xfId="6327"/>
    <cellStyle name="20% - Accent4 3 3 2 5" xfId="6328"/>
    <cellStyle name="20% - Accent4 3 3 3" xfId="6329"/>
    <cellStyle name="20% - Accent4 3 3 3 2" xfId="6330"/>
    <cellStyle name="20% - Accent4 3 3 3 2 2" xfId="6331"/>
    <cellStyle name="20% - Accent4 3 3 3 2 3" xfId="6332"/>
    <cellStyle name="20% - Accent4 3 3 3 3" xfId="6333"/>
    <cellStyle name="20% - Accent4 3 3 3 3 2" xfId="6334"/>
    <cellStyle name="20% - Accent4 3 3 3 3 3" xfId="6335"/>
    <cellStyle name="20% - Accent4 3 3 3 4" xfId="6336"/>
    <cellStyle name="20% - Accent4 3 3 3 5" xfId="6337"/>
    <cellStyle name="20% - Accent4 3 3 4" xfId="6338"/>
    <cellStyle name="20% - Accent4 3 3 4 2" xfId="6339"/>
    <cellStyle name="20% - Accent4 3 3 4 3" xfId="6340"/>
    <cellStyle name="20% - Accent4 3 3 5" xfId="6341"/>
    <cellStyle name="20% - Accent4 3 3 5 2" xfId="6342"/>
    <cellStyle name="20% - Accent4 3 3 5 3" xfId="6343"/>
    <cellStyle name="20% - Accent4 3 3 6" xfId="6344"/>
    <cellStyle name="20% - Accent4 3 3 7" xfId="6345"/>
    <cellStyle name="20% - Accent4 3 3_Volatility" xfId="6346"/>
    <cellStyle name="20% - Accent4 3 4" xfId="6347"/>
    <cellStyle name="20% - Accent4 3 4 2" xfId="6348"/>
    <cellStyle name="20% - Accent4 3 4 2 2" xfId="6349"/>
    <cellStyle name="20% - Accent4 3 4 2 3" xfId="6350"/>
    <cellStyle name="20% - Accent4 3 4 3" xfId="6351"/>
    <cellStyle name="20% - Accent4 3 4 3 2" xfId="6352"/>
    <cellStyle name="20% - Accent4 3 4 3 3" xfId="6353"/>
    <cellStyle name="20% - Accent4 3 4 4" xfId="6354"/>
    <cellStyle name="20% - Accent4 3 4 5" xfId="6355"/>
    <cellStyle name="20% - Accent4 3 5" xfId="6356"/>
    <cellStyle name="20% - Accent4 3 5 2" xfId="6357"/>
    <cellStyle name="20% - Accent4 3 5 2 2" xfId="6358"/>
    <cellStyle name="20% - Accent4 3 5 2 3" xfId="6359"/>
    <cellStyle name="20% - Accent4 3 5 3" xfId="6360"/>
    <cellStyle name="20% - Accent4 3 5 3 2" xfId="6361"/>
    <cellStyle name="20% - Accent4 3 5 3 3" xfId="6362"/>
    <cellStyle name="20% - Accent4 3 5 4" xfId="6363"/>
    <cellStyle name="20% - Accent4 3 5 5" xfId="6364"/>
    <cellStyle name="20% - Accent4 3 6" xfId="6365"/>
    <cellStyle name="20% - Accent4 3 6 2" xfId="6366"/>
    <cellStyle name="20% - Accent4 3 6 2 2" xfId="6367"/>
    <cellStyle name="20% - Accent4 3 6 2 3" xfId="6368"/>
    <cellStyle name="20% - Accent4 3 6 3" xfId="6369"/>
    <cellStyle name="20% - Accent4 3 6 3 2" xfId="6370"/>
    <cellStyle name="20% - Accent4 3 6 3 3" xfId="6371"/>
    <cellStyle name="20% - Accent4 3 6 4" xfId="6372"/>
    <cellStyle name="20% - Accent4 3 6 5" xfId="6373"/>
    <cellStyle name="20% - Accent4 3 7" xfId="6374"/>
    <cellStyle name="20% - Accent4 3 7 2" xfId="6375"/>
    <cellStyle name="20% - Accent4 3 7 3" xfId="6376"/>
    <cellStyle name="20% - Accent4 3 8" xfId="6377"/>
    <cellStyle name="20% - Accent4 3 8 2" xfId="6378"/>
    <cellStyle name="20% - Accent4 3 8 3" xfId="6379"/>
    <cellStyle name="20% - Accent4 3 9" xfId="6380"/>
    <cellStyle name="20% - Accent4 3_Volatility" xfId="6381"/>
    <cellStyle name="20% - Accent4 4" xfId="6382"/>
    <cellStyle name="20% - Accent4 4 10" xfId="6383"/>
    <cellStyle name="20% - Accent4 4 2" xfId="6384"/>
    <cellStyle name="20% - Accent4 4 2 2" xfId="6385"/>
    <cellStyle name="20% - Accent4 4 2 2 2" xfId="6386"/>
    <cellStyle name="20% - Accent4 4 2 2 2 2" xfId="6387"/>
    <cellStyle name="20% - Accent4 4 2 2 2 3" xfId="6388"/>
    <cellStyle name="20% - Accent4 4 2 2 3" xfId="6389"/>
    <cellStyle name="20% - Accent4 4 2 2 3 2" xfId="6390"/>
    <cellStyle name="20% - Accent4 4 2 2 3 3" xfId="6391"/>
    <cellStyle name="20% - Accent4 4 2 2 4" xfId="6392"/>
    <cellStyle name="20% - Accent4 4 2 2 5" xfId="6393"/>
    <cellStyle name="20% - Accent4 4 2 3" xfId="6394"/>
    <cellStyle name="20% - Accent4 4 2 3 2" xfId="6395"/>
    <cellStyle name="20% - Accent4 4 2 3 2 2" xfId="6396"/>
    <cellStyle name="20% - Accent4 4 2 3 2 3" xfId="6397"/>
    <cellStyle name="20% - Accent4 4 2 3 3" xfId="6398"/>
    <cellStyle name="20% - Accent4 4 2 3 3 2" xfId="6399"/>
    <cellStyle name="20% - Accent4 4 2 3 3 3" xfId="6400"/>
    <cellStyle name="20% - Accent4 4 2 3 4" xfId="6401"/>
    <cellStyle name="20% - Accent4 4 2 3 5" xfId="6402"/>
    <cellStyle name="20% - Accent4 4 2 4" xfId="6403"/>
    <cellStyle name="20% - Accent4 4 2 4 2" xfId="6404"/>
    <cellStyle name="20% - Accent4 4 2 4 2 2" xfId="6405"/>
    <cellStyle name="20% - Accent4 4 2 4 2 3" xfId="6406"/>
    <cellStyle name="20% - Accent4 4 2 4 3" xfId="6407"/>
    <cellStyle name="20% - Accent4 4 2 4 3 2" xfId="6408"/>
    <cellStyle name="20% - Accent4 4 2 4 3 3" xfId="6409"/>
    <cellStyle name="20% - Accent4 4 2 4 4" xfId="6410"/>
    <cellStyle name="20% - Accent4 4 2 4 5" xfId="6411"/>
    <cellStyle name="20% - Accent4 4 2 5" xfId="6412"/>
    <cellStyle name="20% - Accent4 4 2 5 2" xfId="6413"/>
    <cellStyle name="20% - Accent4 4 2 5 3" xfId="6414"/>
    <cellStyle name="20% - Accent4 4 2 6" xfId="6415"/>
    <cellStyle name="20% - Accent4 4 2 6 2" xfId="6416"/>
    <cellStyle name="20% - Accent4 4 2 6 3" xfId="6417"/>
    <cellStyle name="20% - Accent4 4 2 7" xfId="6418"/>
    <cellStyle name="20% - Accent4 4 2 8" xfId="6419"/>
    <cellStyle name="20% - Accent4 4 2_Volatility" xfId="6420"/>
    <cellStyle name="20% - Accent4 4 3" xfId="6421"/>
    <cellStyle name="20% - Accent4 4 3 2" xfId="6422"/>
    <cellStyle name="20% - Accent4 4 3 2 2" xfId="6423"/>
    <cellStyle name="20% - Accent4 4 3 2 2 2" xfId="6424"/>
    <cellStyle name="20% - Accent4 4 3 2 2 3" xfId="6425"/>
    <cellStyle name="20% - Accent4 4 3 2 3" xfId="6426"/>
    <cellStyle name="20% - Accent4 4 3 2 3 2" xfId="6427"/>
    <cellStyle name="20% - Accent4 4 3 2 3 3" xfId="6428"/>
    <cellStyle name="20% - Accent4 4 3 2 4" xfId="6429"/>
    <cellStyle name="20% - Accent4 4 3 2 5" xfId="6430"/>
    <cellStyle name="20% - Accent4 4 3 3" xfId="6431"/>
    <cellStyle name="20% - Accent4 4 3 3 2" xfId="6432"/>
    <cellStyle name="20% - Accent4 4 3 3 2 2" xfId="6433"/>
    <cellStyle name="20% - Accent4 4 3 3 2 3" xfId="6434"/>
    <cellStyle name="20% - Accent4 4 3 3 3" xfId="6435"/>
    <cellStyle name="20% - Accent4 4 3 3 3 2" xfId="6436"/>
    <cellStyle name="20% - Accent4 4 3 3 3 3" xfId="6437"/>
    <cellStyle name="20% - Accent4 4 3 3 4" xfId="6438"/>
    <cellStyle name="20% - Accent4 4 3 3 5" xfId="6439"/>
    <cellStyle name="20% - Accent4 4 3 4" xfId="6440"/>
    <cellStyle name="20% - Accent4 4 3 4 2" xfId="6441"/>
    <cellStyle name="20% - Accent4 4 3 4 3" xfId="6442"/>
    <cellStyle name="20% - Accent4 4 3 5" xfId="6443"/>
    <cellStyle name="20% - Accent4 4 3 5 2" xfId="6444"/>
    <cellStyle name="20% - Accent4 4 3 5 3" xfId="6445"/>
    <cellStyle name="20% - Accent4 4 3 6" xfId="6446"/>
    <cellStyle name="20% - Accent4 4 3 7" xfId="6447"/>
    <cellStyle name="20% - Accent4 4 3_Volatility" xfId="6448"/>
    <cellStyle name="20% - Accent4 4 4" xfId="6449"/>
    <cellStyle name="20% - Accent4 4 4 2" xfId="6450"/>
    <cellStyle name="20% - Accent4 4 4 2 2" xfId="6451"/>
    <cellStyle name="20% - Accent4 4 4 2 3" xfId="6452"/>
    <cellStyle name="20% - Accent4 4 4 3" xfId="6453"/>
    <cellStyle name="20% - Accent4 4 4 3 2" xfId="6454"/>
    <cellStyle name="20% - Accent4 4 4 3 3" xfId="6455"/>
    <cellStyle name="20% - Accent4 4 4 4" xfId="6456"/>
    <cellStyle name="20% - Accent4 4 4 5" xfId="6457"/>
    <cellStyle name="20% - Accent4 4 5" xfId="6458"/>
    <cellStyle name="20% - Accent4 4 5 2" xfId="6459"/>
    <cellStyle name="20% - Accent4 4 5 2 2" xfId="6460"/>
    <cellStyle name="20% - Accent4 4 5 2 3" xfId="6461"/>
    <cellStyle name="20% - Accent4 4 5 3" xfId="6462"/>
    <cellStyle name="20% - Accent4 4 5 3 2" xfId="6463"/>
    <cellStyle name="20% - Accent4 4 5 3 3" xfId="6464"/>
    <cellStyle name="20% - Accent4 4 5 4" xfId="6465"/>
    <cellStyle name="20% - Accent4 4 5 5" xfId="6466"/>
    <cellStyle name="20% - Accent4 4 6" xfId="6467"/>
    <cellStyle name="20% - Accent4 4 6 2" xfId="6468"/>
    <cellStyle name="20% - Accent4 4 6 2 2" xfId="6469"/>
    <cellStyle name="20% - Accent4 4 6 2 3" xfId="6470"/>
    <cellStyle name="20% - Accent4 4 6 3" xfId="6471"/>
    <cellStyle name="20% - Accent4 4 6 3 2" xfId="6472"/>
    <cellStyle name="20% - Accent4 4 6 3 3" xfId="6473"/>
    <cellStyle name="20% - Accent4 4 6 4" xfId="6474"/>
    <cellStyle name="20% - Accent4 4 6 5" xfId="6475"/>
    <cellStyle name="20% - Accent4 4 7" xfId="6476"/>
    <cellStyle name="20% - Accent4 4 7 2" xfId="6477"/>
    <cellStyle name="20% - Accent4 4 7 3" xfId="6478"/>
    <cellStyle name="20% - Accent4 4 8" xfId="6479"/>
    <cellStyle name="20% - Accent4 4 8 2" xfId="6480"/>
    <cellStyle name="20% - Accent4 4 8 3" xfId="6481"/>
    <cellStyle name="20% - Accent4 4 9" xfId="6482"/>
    <cellStyle name="20% - Accent4 4_Volatility" xfId="6483"/>
    <cellStyle name="20% - Accent4 5" xfId="6484"/>
    <cellStyle name="20% - Accent4 5 10" xfId="6485"/>
    <cellStyle name="20% - Accent4 5 2" xfId="6486"/>
    <cellStyle name="20% - Accent4 5 2 2" xfId="6487"/>
    <cellStyle name="20% - Accent4 5 2 2 2" xfId="6488"/>
    <cellStyle name="20% - Accent4 5 2 2 2 2" xfId="6489"/>
    <cellStyle name="20% - Accent4 5 2 2 2 3" xfId="6490"/>
    <cellStyle name="20% - Accent4 5 2 2 3" xfId="6491"/>
    <cellStyle name="20% - Accent4 5 2 2 3 2" xfId="6492"/>
    <cellStyle name="20% - Accent4 5 2 2 3 3" xfId="6493"/>
    <cellStyle name="20% - Accent4 5 2 2 4" xfId="6494"/>
    <cellStyle name="20% - Accent4 5 2 2 5" xfId="6495"/>
    <cellStyle name="20% - Accent4 5 2 3" xfId="6496"/>
    <cellStyle name="20% - Accent4 5 2 3 2" xfId="6497"/>
    <cellStyle name="20% - Accent4 5 2 3 2 2" xfId="6498"/>
    <cellStyle name="20% - Accent4 5 2 3 2 3" xfId="6499"/>
    <cellStyle name="20% - Accent4 5 2 3 3" xfId="6500"/>
    <cellStyle name="20% - Accent4 5 2 3 3 2" xfId="6501"/>
    <cellStyle name="20% - Accent4 5 2 3 3 3" xfId="6502"/>
    <cellStyle name="20% - Accent4 5 2 3 4" xfId="6503"/>
    <cellStyle name="20% - Accent4 5 2 3 5" xfId="6504"/>
    <cellStyle name="20% - Accent4 5 2 4" xfId="6505"/>
    <cellStyle name="20% - Accent4 5 2 4 2" xfId="6506"/>
    <cellStyle name="20% - Accent4 5 2 4 2 2" xfId="6507"/>
    <cellStyle name="20% - Accent4 5 2 4 2 3" xfId="6508"/>
    <cellStyle name="20% - Accent4 5 2 4 3" xfId="6509"/>
    <cellStyle name="20% - Accent4 5 2 4 3 2" xfId="6510"/>
    <cellStyle name="20% - Accent4 5 2 4 3 3" xfId="6511"/>
    <cellStyle name="20% - Accent4 5 2 4 4" xfId="6512"/>
    <cellStyle name="20% - Accent4 5 2 4 5" xfId="6513"/>
    <cellStyle name="20% - Accent4 5 2 5" xfId="6514"/>
    <cellStyle name="20% - Accent4 5 2 5 2" xfId="6515"/>
    <cellStyle name="20% - Accent4 5 2 5 3" xfId="6516"/>
    <cellStyle name="20% - Accent4 5 2 6" xfId="6517"/>
    <cellStyle name="20% - Accent4 5 2 6 2" xfId="6518"/>
    <cellStyle name="20% - Accent4 5 2 6 3" xfId="6519"/>
    <cellStyle name="20% - Accent4 5 2 7" xfId="6520"/>
    <cellStyle name="20% - Accent4 5 2 8" xfId="6521"/>
    <cellStyle name="20% - Accent4 5 2_Volatility" xfId="6522"/>
    <cellStyle name="20% - Accent4 5 3" xfId="6523"/>
    <cellStyle name="20% - Accent4 5 3 2" xfId="6524"/>
    <cellStyle name="20% - Accent4 5 3 2 2" xfId="6525"/>
    <cellStyle name="20% - Accent4 5 3 2 2 2" xfId="6526"/>
    <cellStyle name="20% - Accent4 5 3 2 2 3" xfId="6527"/>
    <cellStyle name="20% - Accent4 5 3 2 3" xfId="6528"/>
    <cellStyle name="20% - Accent4 5 3 2 3 2" xfId="6529"/>
    <cellStyle name="20% - Accent4 5 3 2 3 3" xfId="6530"/>
    <cellStyle name="20% - Accent4 5 3 2 4" xfId="6531"/>
    <cellStyle name="20% - Accent4 5 3 2 5" xfId="6532"/>
    <cellStyle name="20% - Accent4 5 3 3" xfId="6533"/>
    <cellStyle name="20% - Accent4 5 3 3 2" xfId="6534"/>
    <cellStyle name="20% - Accent4 5 3 3 2 2" xfId="6535"/>
    <cellStyle name="20% - Accent4 5 3 3 2 3" xfId="6536"/>
    <cellStyle name="20% - Accent4 5 3 3 3" xfId="6537"/>
    <cellStyle name="20% - Accent4 5 3 3 3 2" xfId="6538"/>
    <cellStyle name="20% - Accent4 5 3 3 3 3" xfId="6539"/>
    <cellStyle name="20% - Accent4 5 3 3 4" xfId="6540"/>
    <cellStyle name="20% - Accent4 5 3 3 5" xfId="6541"/>
    <cellStyle name="20% - Accent4 5 3 4" xfId="6542"/>
    <cellStyle name="20% - Accent4 5 3 4 2" xfId="6543"/>
    <cellStyle name="20% - Accent4 5 3 4 3" xfId="6544"/>
    <cellStyle name="20% - Accent4 5 3 5" xfId="6545"/>
    <cellStyle name="20% - Accent4 5 3 5 2" xfId="6546"/>
    <cellStyle name="20% - Accent4 5 3 5 3" xfId="6547"/>
    <cellStyle name="20% - Accent4 5 3 6" xfId="6548"/>
    <cellStyle name="20% - Accent4 5 3 7" xfId="6549"/>
    <cellStyle name="20% - Accent4 5 3_Volatility" xfId="6550"/>
    <cellStyle name="20% - Accent4 5 4" xfId="6551"/>
    <cellStyle name="20% - Accent4 5 4 2" xfId="6552"/>
    <cellStyle name="20% - Accent4 5 4 2 2" xfId="6553"/>
    <cellStyle name="20% - Accent4 5 4 2 3" xfId="6554"/>
    <cellStyle name="20% - Accent4 5 4 3" xfId="6555"/>
    <cellStyle name="20% - Accent4 5 4 3 2" xfId="6556"/>
    <cellStyle name="20% - Accent4 5 4 3 3" xfId="6557"/>
    <cellStyle name="20% - Accent4 5 4 4" xfId="6558"/>
    <cellStyle name="20% - Accent4 5 4 5" xfId="6559"/>
    <cellStyle name="20% - Accent4 5 5" xfId="6560"/>
    <cellStyle name="20% - Accent4 5 5 2" xfId="6561"/>
    <cellStyle name="20% - Accent4 5 5 2 2" xfId="6562"/>
    <cellStyle name="20% - Accent4 5 5 2 3" xfId="6563"/>
    <cellStyle name="20% - Accent4 5 5 3" xfId="6564"/>
    <cellStyle name="20% - Accent4 5 5 3 2" xfId="6565"/>
    <cellStyle name="20% - Accent4 5 5 3 3" xfId="6566"/>
    <cellStyle name="20% - Accent4 5 5 4" xfId="6567"/>
    <cellStyle name="20% - Accent4 5 5 5" xfId="6568"/>
    <cellStyle name="20% - Accent4 5 6" xfId="6569"/>
    <cellStyle name="20% - Accent4 5 6 2" xfId="6570"/>
    <cellStyle name="20% - Accent4 5 6 2 2" xfId="6571"/>
    <cellStyle name="20% - Accent4 5 6 2 3" xfId="6572"/>
    <cellStyle name="20% - Accent4 5 6 3" xfId="6573"/>
    <cellStyle name="20% - Accent4 5 6 3 2" xfId="6574"/>
    <cellStyle name="20% - Accent4 5 6 3 3" xfId="6575"/>
    <cellStyle name="20% - Accent4 5 6 4" xfId="6576"/>
    <cellStyle name="20% - Accent4 5 6 5" xfId="6577"/>
    <cellStyle name="20% - Accent4 5 7" xfId="6578"/>
    <cellStyle name="20% - Accent4 5 7 2" xfId="6579"/>
    <cellStyle name="20% - Accent4 5 7 3" xfId="6580"/>
    <cellStyle name="20% - Accent4 5 8" xfId="6581"/>
    <cellStyle name="20% - Accent4 5 8 2" xfId="6582"/>
    <cellStyle name="20% - Accent4 5 8 3" xfId="6583"/>
    <cellStyle name="20% - Accent4 5 9" xfId="6584"/>
    <cellStyle name="20% - Accent4 5_Volatility" xfId="6585"/>
    <cellStyle name="20% - Accent4 6" xfId="6586"/>
    <cellStyle name="20% - Accent4 6 10" xfId="6587"/>
    <cellStyle name="20% - Accent4 6 2" xfId="6588"/>
    <cellStyle name="20% - Accent4 6 2 2" xfId="6589"/>
    <cellStyle name="20% - Accent4 6 2 2 2" xfId="6590"/>
    <cellStyle name="20% - Accent4 6 2 2 2 2" xfId="6591"/>
    <cellStyle name="20% - Accent4 6 2 2 2 3" xfId="6592"/>
    <cellStyle name="20% - Accent4 6 2 2 3" xfId="6593"/>
    <cellStyle name="20% - Accent4 6 2 2 3 2" xfId="6594"/>
    <cellStyle name="20% - Accent4 6 2 2 3 3" xfId="6595"/>
    <cellStyle name="20% - Accent4 6 2 2 4" xfId="6596"/>
    <cellStyle name="20% - Accent4 6 2 2 5" xfId="6597"/>
    <cellStyle name="20% - Accent4 6 2 3" xfId="6598"/>
    <cellStyle name="20% - Accent4 6 2 3 2" xfId="6599"/>
    <cellStyle name="20% - Accent4 6 2 3 2 2" xfId="6600"/>
    <cellStyle name="20% - Accent4 6 2 3 2 3" xfId="6601"/>
    <cellStyle name="20% - Accent4 6 2 3 3" xfId="6602"/>
    <cellStyle name="20% - Accent4 6 2 3 3 2" xfId="6603"/>
    <cellStyle name="20% - Accent4 6 2 3 3 3" xfId="6604"/>
    <cellStyle name="20% - Accent4 6 2 3 4" xfId="6605"/>
    <cellStyle name="20% - Accent4 6 2 3 5" xfId="6606"/>
    <cellStyle name="20% - Accent4 6 2 4" xfId="6607"/>
    <cellStyle name="20% - Accent4 6 2 4 2" xfId="6608"/>
    <cellStyle name="20% - Accent4 6 2 4 2 2" xfId="6609"/>
    <cellStyle name="20% - Accent4 6 2 4 2 3" xfId="6610"/>
    <cellStyle name="20% - Accent4 6 2 4 3" xfId="6611"/>
    <cellStyle name="20% - Accent4 6 2 4 3 2" xfId="6612"/>
    <cellStyle name="20% - Accent4 6 2 4 3 3" xfId="6613"/>
    <cellStyle name="20% - Accent4 6 2 4 4" xfId="6614"/>
    <cellStyle name="20% - Accent4 6 2 4 5" xfId="6615"/>
    <cellStyle name="20% - Accent4 6 2 5" xfId="6616"/>
    <cellStyle name="20% - Accent4 6 2 5 2" xfId="6617"/>
    <cellStyle name="20% - Accent4 6 2 5 3" xfId="6618"/>
    <cellStyle name="20% - Accent4 6 2 6" xfId="6619"/>
    <cellStyle name="20% - Accent4 6 2 6 2" xfId="6620"/>
    <cellStyle name="20% - Accent4 6 2 6 3" xfId="6621"/>
    <cellStyle name="20% - Accent4 6 2 7" xfId="6622"/>
    <cellStyle name="20% - Accent4 6 2 8" xfId="6623"/>
    <cellStyle name="20% - Accent4 6 2_Volatility" xfId="6624"/>
    <cellStyle name="20% - Accent4 6 3" xfId="6625"/>
    <cellStyle name="20% - Accent4 6 3 2" xfId="6626"/>
    <cellStyle name="20% - Accent4 6 3 2 2" xfId="6627"/>
    <cellStyle name="20% - Accent4 6 3 2 2 2" xfId="6628"/>
    <cellStyle name="20% - Accent4 6 3 2 2 3" xfId="6629"/>
    <cellStyle name="20% - Accent4 6 3 2 3" xfId="6630"/>
    <cellStyle name="20% - Accent4 6 3 2 3 2" xfId="6631"/>
    <cellStyle name="20% - Accent4 6 3 2 3 3" xfId="6632"/>
    <cellStyle name="20% - Accent4 6 3 2 4" xfId="6633"/>
    <cellStyle name="20% - Accent4 6 3 2 5" xfId="6634"/>
    <cellStyle name="20% - Accent4 6 3 3" xfId="6635"/>
    <cellStyle name="20% - Accent4 6 3 3 2" xfId="6636"/>
    <cellStyle name="20% - Accent4 6 3 3 2 2" xfId="6637"/>
    <cellStyle name="20% - Accent4 6 3 3 2 3" xfId="6638"/>
    <cellStyle name="20% - Accent4 6 3 3 3" xfId="6639"/>
    <cellStyle name="20% - Accent4 6 3 3 3 2" xfId="6640"/>
    <cellStyle name="20% - Accent4 6 3 3 3 3" xfId="6641"/>
    <cellStyle name="20% - Accent4 6 3 3 4" xfId="6642"/>
    <cellStyle name="20% - Accent4 6 3 3 5" xfId="6643"/>
    <cellStyle name="20% - Accent4 6 3 4" xfId="6644"/>
    <cellStyle name="20% - Accent4 6 3 4 2" xfId="6645"/>
    <cellStyle name="20% - Accent4 6 3 4 3" xfId="6646"/>
    <cellStyle name="20% - Accent4 6 3 5" xfId="6647"/>
    <cellStyle name="20% - Accent4 6 3 5 2" xfId="6648"/>
    <cellStyle name="20% - Accent4 6 3 5 3" xfId="6649"/>
    <cellStyle name="20% - Accent4 6 3 6" xfId="6650"/>
    <cellStyle name="20% - Accent4 6 3 7" xfId="6651"/>
    <cellStyle name="20% - Accent4 6 3_Volatility" xfId="6652"/>
    <cellStyle name="20% - Accent4 6 4" xfId="6653"/>
    <cellStyle name="20% - Accent4 6 4 2" xfId="6654"/>
    <cellStyle name="20% - Accent4 6 4 2 2" xfId="6655"/>
    <cellStyle name="20% - Accent4 6 4 2 3" xfId="6656"/>
    <cellStyle name="20% - Accent4 6 4 3" xfId="6657"/>
    <cellStyle name="20% - Accent4 6 4 3 2" xfId="6658"/>
    <cellStyle name="20% - Accent4 6 4 3 3" xfId="6659"/>
    <cellStyle name="20% - Accent4 6 4 4" xfId="6660"/>
    <cellStyle name="20% - Accent4 6 4 5" xfId="6661"/>
    <cellStyle name="20% - Accent4 6 5" xfId="6662"/>
    <cellStyle name="20% - Accent4 6 5 2" xfId="6663"/>
    <cellStyle name="20% - Accent4 6 5 2 2" xfId="6664"/>
    <cellStyle name="20% - Accent4 6 5 2 3" xfId="6665"/>
    <cellStyle name="20% - Accent4 6 5 3" xfId="6666"/>
    <cellStyle name="20% - Accent4 6 5 3 2" xfId="6667"/>
    <cellStyle name="20% - Accent4 6 5 3 3" xfId="6668"/>
    <cellStyle name="20% - Accent4 6 5 4" xfId="6669"/>
    <cellStyle name="20% - Accent4 6 5 5" xfId="6670"/>
    <cellStyle name="20% - Accent4 6 6" xfId="6671"/>
    <cellStyle name="20% - Accent4 6 6 2" xfId="6672"/>
    <cellStyle name="20% - Accent4 6 6 2 2" xfId="6673"/>
    <cellStyle name="20% - Accent4 6 6 2 3" xfId="6674"/>
    <cellStyle name="20% - Accent4 6 6 3" xfId="6675"/>
    <cellStyle name="20% - Accent4 6 6 3 2" xfId="6676"/>
    <cellStyle name="20% - Accent4 6 6 3 3" xfId="6677"/>
    <cellStyle name="20% - Accent4 6 6 4" xfId="6678"/>
    <cellStyle name="20% - Accent4 6 6 5" xfId="6679"/>
    <cellStyle name="20% - Accent4 6 7" xfId="6680"/>
    <cellStyle name="20% - Accent4 6 7 2" xfId="6681"/>
    <cellStyle name="20% - Accent4 6 7 3" xfId="6682"/>
    <cellStyle name="20% - Accent4 6 8" xfId="6683"/>
    <cellStyle name="20% - Accent4 6 8 2" xfId="6684"/>
    <cellStyle name="20% - Accent4 6 8 3" xfId="6685"/>
    <cellStyle name="20% - Accent4 6 9" xfId="6686"/>
    <cellStyle name="20% - Accent4 6_Volatility" xfId="6687"/>
    <cellStyle name="20% - Accent4 7" xfId="6688"/>
    <cellStyle name="20% - Accent4 7 10" xfId="6689"/>
    <cellStyle name="20% - Accent4 7 2" xfId="6690"/>
    <cellStyle name="20% - Accent4 7 2 2" xfId="6691"/>
    <cellStyle name="20% - Accent4 7 2 2 2" xfId="6692"/>
    <cellStyle name="20% - Accent4 7 2 2 2 2" xfId="6693"/>
    <cellStyle name="20% - Accent4 7 2 2 2 3" xfId="6694"/>
    <cellStyle name="20% - Accent4 7 2 2 3" xfId="6695"/>
    <cellStyle name="20% - Accent4 7 2 2 3 2" xfId="6696"/>
    <cellStyle name="20% - Accent4 7 2 2 3 3" xfId="6697"/>
    <cellStyle name="20% - Accent4 7 2 2 4" xfId="6698"/>
    <cellStyle name="20% - Accent4 7 2 2 5" xfId="6699"/>
    <cellStyle name="20% - Accent4 7 2 3" xfId="6700"/>
    <cellStyle name="20% - Accent4 7 2 3 2" xfId="6701"/>
    <cellStyle name="20% - Accent4 7 2 3 2 2" xfId="6702"/>
    <cellStyle name="20% - Accent4 7 2 3 2 3" xfId="6703"/>
    <cellStyle name="20% - Accent4 7 2 3 3" xfId="6704"/>
    <cellStyle name="20% - Accent4 7 2 3 3 2" xfId="6705"/>
    <cellStyle name="20% - Accent4 7 2 3 3 3" xfId="6706"/>
    <cellStyle name="20% - Accent4 7 2 3 4" xfId="6707"/>
    <cellStyle name="20% - Accent4 7 2 3 5" xfId="6708"/>
    <cellStyle name="20% - Accent4 7 2 4" xfId="6709"/>
    <cellStyle name="20% - Accent4 7 2 4 2" xfId="6710"/>
    <cellStyle name="20% - Accent4 7 2 4 2 2" xfId="6711"/>
    <cellStyle name="20% - Accent4 7 2 4 2 3" xfId="6712"/>
    <cellStyle name="20% - Accent4 7 2 4 3" xfId="6713"/>
    <cellStyle name="20% - Accent4 7 2 4 3 2" xfId="6714"/>
    <cellStyle name="20% - Accent4 7 2 4 3 3" xfId="6715"/>
    <cellStyle name="20% - Accent4 7 2 4 4" xfId="6716"/>
    <cellStyle name="20% - Accent4 7 2 4 5" xfId="6717"/>
    <cellStyle name="20% - Accent4 7 2 5" xfId="6718"/>
    <cellStyle name="20% - Accent4 7 2 5 2" xfId="6719"/>
    <cellStyle name="20% - Accent4 7 2 5 3" xfId="6720"/>
    <cellStyle name="20% - Accent4 7 2 6" xfId="6721"/>
    <cellStyle name="20% - Accent4 7 2 6 2" xfId="6722"/>
    <cellStyle name="20% - Accent4 7 2 6 3" xfId="6723"/>
    <cellStyle name="20% - Accent4 7 2 7" xfId="6724"/>
    <cellStyle name="20% - Accent4 7 2 8" xfId="6725"/>
    <cellStyle name="20% - Accent4 7 2_Volatility" xfId="6726"/>
    <cellStyle name="20% - Accent4 7 3" xfId="6727"/>
    <cellStyle name="20% - Accent4 7 3 2" xfId="6728"/>
    <cellStyle name="20% - Accent4 7 3 2 2" xfId="6729"/>
    <cellStyle name="20% - Accent4 7 3 2 2 2" xfId="6730"/>
    <cellStyle name="20% - Accent4 7 3 2 2 3" xfId="6731"/>
    <cellStyle name="20% - Accent4 7 3 2 3" xfId="6732"/>
    <cellStyle name="20% - Accent4 7 3 2 3 2" xfId="6733"/>
    <cellStyle name="20% - Accent4 7 3 2 3 3" xfId="6734"/>
    <cellStyle name="20% - Accent4 7 3 2 4" xfId="6735"/>
    <cellStyle name="20% - Accent4 7 3 2 5" xfId="6736"/>
    <cellStyle name="20% - Accent4 7 3 3" xfId="6737"/>
    <cellStyle name="20% - Accent4 7 3 3 2" xfId="6738"/>
    <cellStyle name="20% - Accent4 7 3 3 2 2" xfId="6739"/>
    <cellStyle name="20% - Accent4 7 3 3 2 3" xfId="6740"/>
    <cellStyle name="20% - Accent4 7 3 3 3" xfId="6741"/>
    <cellStyle name="20% - Accent4 7 3 3 3 2" xfId="6742"/>
    <cellStyle name="20% - Accent4 7 3 3 3 3" xfId="6743"/>
    <cellStyle name="20% - Accent4 7 3 3 4" xfId="6744"/>
    <cellStyle name="20% - Accent4 7 3 3 5" xfId="6745"/>
    <cellStyle name="20% - Accent4 7 3 4" xfId="6746"/>
    <cellStyle name="20% - Accent4 7 3 4 2" xfId="6747"/>
    <cellStyle name="20% - Accent4 7 3 4 3" xfId="6748"/>
    <cellStyle name="20% - Accent4 7 3 5" xfId="6749"/>
    <cellStyle name="20% - Accent4 7 3 5 2" xfId="6750"/>
    <cellStyle name="20% - Accent4 7 3 5 3" xfId="6751"/>
    <cellStyle name="20% - Accent4 7 3 6" xfId="6752"/>
    <cellStyle name="20% - Accent4 7 3 7" xfId="6753"/>
    <cellStyle name="20% - Accent4 7 3_Volatility" xfId="6754"/>
    <cellStyle name="20% - Accent4 7 4" xfId="6755"/>
    <cellStyle name="20% - Accent4 7 4 2" xfId="6756"/>
    <cellStyle name="20% - Accent4 7 4 2 2" xfId="6757"/>
    <cellStyle name="20% - Accent4 7 4 2 3" xfId="6758"/>
    <cellStyle name="20% - Accent4 7 4 3" xfId="6759"/>
    <cellStyle name="20% - Accent4 7 4 3 2" xfId="6760"/>
    <cellStyle name="20% - Accent4 7 4 3 3" xfId="6761"/>
    <cellStyle name="20% - Accent4 7 4 4" xfId="6762"/>
    <cellStyle name="20% - Accent4 7 4 5" xfId="6763"/>
    <cellStyle name="20% - Accent4 7 5" xfId="6764"/>
    <cellStyle name="20% - Accent4 7 5 2" xfId="6765"/>
    <cellStyle name="20% - Accent4 7 5 2 2" xfId="6766"/>
    <cellStyle name="20% - Accent4 7 5 2 3" xfId="6767"/>
    <cellStyle name="20% - Accent4 7 5 3" xfId="6768"/>
    <cellStyle name="20% - Accent4 7 5 3 2" xfId="6769"/>
    <cellStyle name="20% - Accent4 7 5 3 3" xfId="6770"/>
    <cellStyle name="20% - Accent4 7 5 4" xfId="6771"/>
    <cellStyle name="20% - Accent4 7 5 5" xfId="6772"/>
    <cellStyle name="20% - Accent4 7 6" xfId="6773"/>
    <cellStyle name="20% - Accent4 7 6 2" xfId="6774"/>
    <cellStyle name="20% - Accent4 7 6 2 2" xfId="6775"/>
    <cellStyle name="20% - Accent4 7 6 2 3" xfId="6776"/>
    <cellStyle name="20% - Accent4 7 6 3" xfId="6777"/>
    <cellStyle name="20% - Accent4 7 6 3 2" xfId="6778"/>
    <cellStyle name="20% - Accent4 7 6 3 3" xfId="6779"/>
    <cellStyle name="20% - Accent4 7 6 4" xfId="6780"/>
    <cellStyle name="20% - Accent4 7 6 5" xfId="6781"/>
    <cellStyle name="20% - Accent4 7 7" xfId="6782"/>
    <cellStyle name="20% - Accent4 7 7 2" xfId="6783"/>
    <cellStyle name="20% - Accent4 7 7 3" xfId="6784"/>
    <cellStyle name="20% - Accent4 7 8" xfId="6785"/>
    <cellStyle name="20% - Accent4 7 8 2" xfId="6786"/>
    <cellStyle name="20% - Accent4 7 8 3" xfId="6787"/>
    <cellStyle name="20% - Accent4 7 9" xfId="6788"/>
    <cellStyle name="20% - Accent4 7_Volatility" xfId="6789"/>
    <cellStyle name="20% - Accent4 8" xfId="6790"/>
    <cellStyle name="20% - Accent4 8 10" xfId="6791"/>
    <cellStyle name="20% - Accent4 8 2" xfId="6792"/>
    <cellStyle name="20% - Accent4 8 2 2" xfId="6793"/>
    <cellStyle name="20% - Accent4 8 2 2 2" xfId="6794"/>
    <cellStyle name="20% - Accent4 8 2 2 2 2" xfId="6795"/>
    <cellStyle name="20% - Accent4 8 2 2 2 3" xfId="6796"/>
    <cellStyle name="20% - Accent4 8 2 2 3" xfId="6797"/>
    <cellStyle name="20% - Accent4 8 2 2 3 2" xfId="6798"/>
    <cellStyle name="20% - Accent4 8 2 2 3 3" xfId="6799"/>
    <cellStyle name="20% - Accent4 8 2 2 4" xfId="6800"/>
    <cellStyle name="20% - Accent4 8 2 2 5" xfId="6801"/>
    <cellStyle name="20% - Accent4 8 2 3" xfId="6802"/>
    <cellStyle name="20% - Accent4 8 2 3 2" xfId="6803"/>
    <cellStyle name="20% - Accent4 8 2 3 2 2" xfId="6804"/>
    <cellStyle name="20% - Accent4 8 2 3 2 3" xfId="6805"/>
    <cellStyle name="20% - Accent4 8 2 3 3" xfId="6806"/>
    <cellStyle name="20% - Accent4 8 2 3 3 2" xfId="6807"/>
    <cellStyle name="20% - Accent4 8 2 3 3 3" xfId="6808"/>
    <cellStyle name="20% - Accent4 8 2 3 4" xfId="6809"/>
    <cellStyle name="20% - Accent4 8 2 3 5" xfId="6810"/>
    <cellStyle name="20% - Accent4 8 2 4" xfId="6811"/>
    <cellStyle name="20% - Accent4 8 2 4 2" xfId="6812"/>
    <cellStyle name="20% - Accent4 8 2 4 2 2" xfId="6813"/>
    <cellStyle name="20% - Accent4 8 2 4 2 3" xfId="6814"/>
    <cellStyle name="20% - Accent4 8 2 4 3" xfId="6815"/>
    <cellStyle name="20% - Accent4 8 2 4 3 2" xfId="6816"/>
    <cellStyle name="20% - Accent4 8 2 4 3 3" xfId="6817"/>
    <cellStyle name="20% - Accent4 8 2 4 4" xfId="6818"/>
    <cellStyle name="20% - Accent4 8 2 4 5" xfId="6819"/>
    <cellStyle name="20% - Accent4 8 2 5" xfId="6820"/>
    <cellStyle name="20% - Accent4 8 2 5 2" xfId="6821"/>
    <cellStyle name="20% - Accent4 8 2 5 3" xfId="6822"/>
    <cellStyle name="20% - Accent4 8 2 6" xfId="6823"/>
    <cellStyle name="20% - Accent4 8 2 6 2" xfId="6824"/>
    <cellStyle name="20% - Accent4 8 2 6 3" xfId="6825"/>
    <cellStyle name="20% - Accent4 8 2 7" xfId="6826"/>
    <cellStyle name="20% - Accent4 8 2 8" xfId="6827"/>
    <cellStyle name="20% - Accent4 8 2_Volatility" xfId="6828"/>
    <cellStyle name="20% - Accent4 8 3" xfId="6829"/>
    <cellStyle name="20% - Accent4 8 3 2" xfId="6830"/>
    <cellStyle name="20% - Accent4 8 3 2 2" xfId="6831"/>
    <cellStyle name="20% - Accent4 8 3 2 2 2" xfId="6832"/>
    <cellStyle name="20% - Accent4 8 3 2 2 3" xfId="6833"/>
    <cellStyle name="20% - Accent4 8 3 2 3" xfId="6834"/>
    <cellStyle name="20% - Accent4 8 3 2 3 2" xfId="6835"/>
    <cellStyle name="20% - Accent4 8 3 2 3 3" xfId="6836"/>
    <cellStyle name="20% - Accent4 8 3 2 4" xfId="6837"/>
    <cellStyle name="20% - Accent4 8 3 2 5" xfId="6838"/>
    <cellStyle name="20% - Accent4 8 3 3" xfId="6839"/>
    <cellStyle name="20% - Accent4 8 3 3 2" xfId="6840"/>
    <cellStyle name="20% - Accent4 8 3 3 2 2" xfId="6841"/>
    <cellStyle name="20% - Accent4 8 3 3 2 3" xfId="6842"/>
    <cellStyle name="20% - Accent4 8 3 3 3" xfId="6843"/>
    <cellStyle name="20% - Accent4 8 3 3 3 2" xfId="6844"/>
    <cellStyle name="20% - Accent4 8 3 3 3 3" xfId="6845"/>
    <cellStyle name="20% - Accent4 8 3 3 4" xfId="6846"/>
    <cellStyle name="20% - Accent4 8 3 3 5" xfId="6847"/>
    <cellStyle name="20% - Accent4 8 3 4" xfId="6848"/>
    <cellStyle name="20% - Accent4 8 3 4 2" xfId="6849"/>
    <cellStyle name="20% - Accent4 8 3 4 3" xfId="6850"/>
    <cellStyle name="20% - Accent4 8 3 5" xfId="6851"/>
    <cellStyle name="20% - Accent4 8 3 5 2" xfId="6852"/>
    <cellStyle name="20% - Accent4 8 3 5 3" xfId="6853"/>
    <cellStyle name="20% - Accent4 8 3 6" xfId="6854"/>
    <cellStyle name="20% - Accent4 8 3 7" xfId="6855"/>
    <cellStyle name="20% - Accent4 8 3_Volatility" xfId="6856"/>
    <cellStyle name="20% - Accent4 8 4" xfId="6857"/>
    <cellStyle name="20% - Accent4 8 4 2" xfId="6858"/>
    <cellStyle name="20% - Accent4 8 4 2 2" xfId="6859"/>
    <cellStyle name="20% - Accent4 8 4 2 3" xfId="6860"/>
    <cellStyle name="20% - Accent4 8 4 3" xfId="6861"/>
    <cellStyle name="20% - Accent4 8 4 3 2" xfId="6862"/>
    <cellStyle name="20% - Accent4 8 4 3 3" xfId="6863"/>
    <cellStyle name="20% - Accent4 8 4 4" xfId="6864"/>
    <cellStyle name="20% - Accent4 8 4 5" xfId="6865"/>
    <cellStyle name="20% - Accent4 8 5" xfId="6866"/>
    <cellStyle name="20% - Accent4 8 5 2" xfId="6867"/>
    <cellStyle name="20% - Accent4 8 5 2 2" xfId="6868"/>
    <cellStyle name="20% - Accent4 8 5 2 3" xfId="6869"/>
    <cellStyle name="20% - Accent4 8 5 3" xfId="6870"/>
    <cellStyle name="20% - Accent4 8 5 3 2" xfId="6871"/>
    <cellStyle name="20% - Accent4 8 5 3 3" xfId="6872"/>
    <cellStyle name="20% - Accent4 8 5 4" xfId="6873"/>
    <cellStyle name="20% - Accent4 8 5 5" xfId="6874"/>
    <cellStyle name="20% - Accent4 8 6" xfId="6875"/>
    <cellStyle name="20% - Accent4 8 6 2" xfId="6876"/>
    <cellStyle name="20% - Accent4 8 6 2 2" xfId="6877"/>
    <cellStyle name="20% - Accent4 8 6 2 3" xfId="6878"/>
    <cellStyle name="20% - Accent4 8 6 3" xfId="6879"/>
    <cellStyle name="20% - Accent4 8 6 3 2" xfId="6880"/>
    <cellStyle name="20% - Accent4 8 6 3 3" xfId="6881"/>
    <cellStyle name="20% - Accent4 8 6 4" xfId="6882"/>
    <cellStyle name="20% - Accent4 8 6 5" xfId="6883"/>
    <cellStyle name="20% - Accent4 8 7" xfId="6884"/>
    <cellStyle name="20% - Accent4 8 7 2" xfId="6885"/>
    <cellStyle name="20% - Accent4 8 7 3" xfId="6886"/>
    <cellStyle name="20% - Accent4 8 8" xfId="6887"/>
    <cellStyle name="20% - Accent4 8 8 2" xfId="6888"/>
    <cellStyle name="20% - Accent4 8 8 3" xfId="6889"/>
    <cellStyle name="20% - Accent4 8 9" xfId="6890"/>
    <cellStyle name="20% - Accent4 8_Volatility" xfId="6891"/>
    <cellStyle name="20% - Accent4 9" xfId="6892"/>
    <cellStyle name="20% - Accent4 9 10" xfId="6893"/>
    <cellStyle name="20% - Accent4 9 2" xfId="6894"/>
    <cellStyle name="20% - Accent4 9 2 2" xfId="6895"/>
    <cellStyle name="20% - Accent4 9 2 2 2" xfId="6896"/>
    <cellStyle name="20% - Accent4 9 2 2 2 2" xfId="6897"/>
    <cellStyle name="20% - Accent4 9 2 2 2 3" xfId="6898"/>
    <cellStyle name="20% - Accent4 9 2 2 3" xfId="6899"/>
    <cellStyle name="20% - Accent4 9 2 2 3 2" xfId="6900"/>
    <cellStyle name="20% - Accent4 9 2 2 3 3" xfId="6901"/>
    <cellStyle name="20% - Accent4 9 2 2 4" xfId="6902"/>
    <cellStyle name="20% - Accent4 9 2 2 5" xfId="6903"/>
    <cellStyle name="20% - Accent4 9 2 3" xfId="6904"/>
    <cellStyle name="20% - Accent4 9 2 3 2" xfId="6905"/>
    <cellStyle name="20% - Accent4 9 2 3 2 2" xfId="6906"/>
    <cellStyle name="20% - Accent4 9 2 3 2 3" xfId="6907"/>
    <cellStyle name="20% - Accent4 9 2 3 3" xfId="6908"/>
    <cellStyle name="20% - Accent4 9 2 3 3 2" xfId="6909"/>
    <cellStyle name="20% - Accent4 9 2 3 3 3" xfId="6910"/>
    <cellStyle name="20% - Accent4 9 2 3 4" xfId="6911"/>
    <cellStyle name="20% - Accent4 9 2 3 5" xfId="6912"/>
    <cellStyle name="20% - Accent4 9 2 4" xfId="6913"/>
    <cellStyle name="20% - Accent4 9 2 4 2" xfId="6914"/>
    <cellStyle name="20% - Accent4 9 2 4 2 2" xfId="6915"/>
    <cellStyle name="20% - Accent4 9 2 4 2 3" xfId="6916"/>
    <cellStyle name="20% - Accent4 9 2 4 3" xfId="6917"/>
    <cellStyle name="20% - Accent4 9 2 4 3 2" xfId="6918"/>
    <cellStyle name="20% - Accent4 9 2 4 3 3" xfId="6919"/>
    <cellStyle name="20% - Accent4 9 2 4 4" xfId="6920"/>
    <cellStyle name="20% - Accent4 9 2 4 5" xfId="6921"/>
    <cellStyle name="20% - Accent4 9 2 5" xfId="6922"/>
    <cellStyle name="20% - Accent4 9 2 5 2" xfId="6923"/>
    <cellStyle name="20% - Accent4 9 2 5 3" xfId="6924"/>
    <cellStyle name="20% - Accent4 9 2 6" xfId="6925"/>
    <cellStyle name="20% - Accent4 9 2 6 2" xfId="6926"/>
    <cellStyle name="20% - Accent4 9 2 6 3" xfId="6927"/>
    <cellStyle name="20% - Accent4 9 2 7" xfId="6928"/>
    <cellStyle name="20% - Accent4 9 2 8" xfId="6929"/>
    <cellStyle name="20% - Accent4 9 2_Volatility" xfId="6930"/>
    <cellStyle name="20% - Accent4 9 3" xfId="6931"/>
    <cellStyle name="20% - Accent4 9 3 2" xfId="6932"/>
    <cellStyle name="20% - Accent4 9 3 2 2" xfId="6933"/>
    <cellStyle name="20% - Accent4 9 3 2 2 2" xfId="6934"/>
    <cellStyle name="20% - Accent4 9 3 2 2 3" xfId="6935"/>
    <cellStyle name="20% - Accent4 9 3 2 3" xfId="6936"/>
    <cellStyle name="20% - Accent4 9 3 2 3 2" xfId="6937"/>
    <cellStyle name="20% - Accent4 9 3 2 3 3" xfId="6938"/>
    <cellStyle name="20% - Accent4 9 3 2 4" xfId="6939"/>
    <cellStyle name="20% - Accent4 9 3 2 5" xfId="6940"/>
    <cellStyle name="20% - Accent4 9 3 3" xfId="6941"/>
    <cellStyle name="20% - Accent4 9 3 3 2" xfId="6942"/>
    <cellStyle name="20% - Accent4 9 3 3 2 2" xfId="6943"/>
    <cellStyle name="20% - Accent4 9 3 3 2 3" xfId="6944"/>
    <cellStyle name="20% - Accent4 9 3 3 3" xfId="6945"/>
    <cellStyle name="20% - Accent4 9 3 3 3 2" xfId="6946"/>
    <cellStyle name="20% - Accent4 9 3 3 3 3" xfId="6947"/>
    <cellStyle name="20% - Accent4 9 3 3 4" xfId="6948"/>
    <cellStyle name="20% - Accent4 9 3 3 5" xfId="6949"/>
    <cellStyle name="20% - Accent4 9 3 4" xfId="6950"/>
    <cellStyle name="20% - Accent4 9 3 4 2" xfId="6951"/>
    <cellStyle name="20% - Accent4 9 3 4 3" xfId="6952"/>
    <cellStyle name="20% - Accent4 9 3 5" xfId="6953"/>
    <cellStyle name="20% - Accent4 9 3 5 2" xfId="6954"/>
    <cellStyle name="20% - Accent4 9 3 5 3" xfId="6955"/>
    <cellStyle name="20% - Accent4 9 3 6" xfId="6956"/>
    <cellStyle name="20% - Accent4 9 3 7" xfId="6957"/>
    <cellStyle name="20% - Accent4 9 3_Volatility" xfId="6958"/>
    <cellStyle name="20% - Accent4 9 4" xfId="6959"/>
    <cellStyle name="20% - Accent4 9 4 2" xfId="6960"/>
    <cellStyle name="20% - Accent4 9 4 2 2" xfId="6961"/>
    <cellStyle name="20% - Accent4 9 4 2 3" xfId="6962"/>
    <cellStyle name="20% - Accent4 9 4 3" xfId="6963"/>
    <cellStyle name="20% - Accent4 9 4 3 2" xfId="6964"/>
    <cellStyle name="20% - Accent4 9 4 3 3" xfId="6965"/>
    <cellStyle name="20% - Accent4 9 4 4" xfId="6966"/>
    <cellStyle name="20% - Accent4 9 4 5" xfId="6967"/>
    <cellStyle name="20% - Accent4 9 5" xfId="6968"/>
    <cellStyle name="20% - Accent4 9 5 2" xfId="6969"/>
    <cellStyle name="20% - Accent4 9 5 2 2" xfId="6970"/>
    <cellStyle name="20% - Accent4 9 5 2 3" xfId="6971"/>
    <cellStyle name="20% - Accent4 9 5 3" xfId="6972"/>
    <cellStyle name="20% - Accent4 9 5 3 2" xfId="6973"/>
    <cellStyle name="20% - Accent4 9 5 3 3" xfId="6974"/>
    <cellStyle name="20% - Accent4 9 5 4" xfId="6975"/>
    <cellStyle name="20% - Accent4 9 5 5" xfId="6976"/>
    <cellStyle name="20% - Accent4 9 6" xfId="6977"/>
    <cellStyle name="20% - Accent4 9 6 2" xfId="6978"/>
    <cellStyle name="20% - Accent4 9 6 2 2" xfId="6979"/>
    <cellStyle name="20% - Accent4 9 6 2 3" xfId="6980"/>
    <cellStyle name="20% - Accent4 9 6 3" xfId="6981"/>
    <cellStyle name="20% - Accent4 9 6 3 2" xfId="6982"/>
    <cellStyle name="20% - Accent4 9 6 3 3" xfId="6983"/>
    <cellStyle name="20% - Accent4 9 6 4" xfId="6984"/>
    <cellStyle name="20% - Accent4 9 6 5" xfId="6985"/>
    <cellStyle name="20% - Accent4 9 7" xfId="6986"/>
    <cellStyle name="20% - Accent4 9 7 2" xfId="6987"/>
    <cellStyle name="20% - Accent4 9 7 3" xfId="6988"/>
    <cellStyle name="20% - Accent4 9 8" xfId="6989"/>
    <cellStyle name="20% - Accent4 9 8 2" xfId="6990"/>
    <cellStyle name="20% - Accent4 9 8 3" xfId="6991"/>
    <cellStyle name="20% - Accent4 9 9" xfId="6992"/>
    <cellStyle name="20% - Accent4 9_Volatility" xfId="6993"/>
    <cellStyle name="20% - Accent5" xfId="36" builtinId="46" customBuiltin="1"/>
    <cellStyle name="20% - Accent5 10" xfId="6994"/>
    <cellStyle name="20% - Accent5 10 10" xfId="6995"/>
    <cellStyle name="20% - Accent5 10 2" xfId="6996"/>
    <cellStyle name="20% - Accent5 10 2 2" xfId="6997"/>
    <cellStyle name="20% - Accent5 10 2 2 2" xfId="6998"/>
    <cellStyle name="20% - Accent5 10 2 2 2 2" xfId="6999"/>
    <cellStyle name="20% - Accent5 10 2 2 2 3" xfId="7000"/>
    <cellStyle name="20% - Accent5 10 2 2 3" xfId="7001"/>
    <cellStyle name="20% - Accent5 10 2 2 3 2" xfId="7002"/>
    <cellStyle name="20% - Accent5 10 2 2 3 3" xfId="7003"/>
    <cellStyle name="20% - Accent5 10 2 2 4" xfId="7004"/>
    <cellStyle name="20% - Accent5 10 2 2 5" xfId="7005"/>
    <cellStyle name="20% - Accent5 10 2 3" xfId="7006"/>
    <cellStyle name="20% - Accent5 10 2 3 2" xfId="7007"/>
    <cellStyle name="20% - Accent5 10 2 3 2 2" xfId="7008"/>
    <cellStyle name="20% - Accent5 10 2 3 2 3" xfId="7009"/>
    <cellStyle name="20% - Accent5 10 2 3 3" xfId="7010"/>
    <cellStyle name="20% - Accent5 10 2 3 3 2" xfId="7011"/>
    <cellStyle name="20% - Accent5 10 2 3 3 3" xfId="7012"/>
    <cellStyle name="20% - Accent5 10 2 3 4" xfId="7013"/>
    <cellStyle name="20% - Accent5 10 2 3 5" xfId="7014"/>
    <cellStyle name="20% - Accent5 10 2 4" xfId="7015"/>
    <cellStyle name="20% - Accent5 10 2 4 2" xfId="7016"/>
    <cellStyle name="20% - Accent5 10 2 4 2 2" xfId="7017"/>
    <cellStyle name="20% - Accent5 10 2 4 2 3" xfId="7018"/>
    <cellStyle name="20% - Accent5 10 2 4 3" xfId="7019"/>
    <cellStyle name="20% - Accent5 10 2 4 3 2" xfId="7020"/>
    <cellStyle name="20% - Accent5 10 2 4 3 3" xfId="7021"/>
    <cellStyle name="20% - Accent5 10 2 4 4" xfId="7022"/>
    <cellStyle name="20% - Accent5 10 2 4 5" xfId="7023"/>
    <cellStyle name="20% - Accent5 10 2 5" xfId="7024"/>
    <cellStyle name="20% - Accent5 10 2 5 2" xfId="7025"/>
    <cellStyle name="20% - Accent5 10 2 5 3" xfId="7026"/>
    <cellStyle name="20% - Accent5 10 2 6" xfId="7027"/>
    <cellStyle name="20% - Accent5 10 2 6 2" xfId="7028"/>
    <cellStyle name="20% - Accent5 10 2 6 3" xfId="7029"/>
    <cellStyle name="20% - Accent5 10 2 7" xfId="7030"/>
    <cellStyle name="20% - Accent5 10 2 8" xfId="7031"/>
    <cellStyle name="20% - Accent5 10 2_Volatility" xfId="7032"/>
    <cellStyle name="20% - Accent5 10 3" xfId="7033"/>
    <cellStyle name="20% - Accent5 10 3 2" xfId="7034"/>
    <cellStyle name="20% - Accent5 10 3 2 2" xfId="7035"/>
    <cellStyle name="20% - Accent5 10 3 2 2 2" xfId="7036"/>
    <cellStyle name="20% - Accent5 10 3 2 2 3" xfId="7037"/>
    <cellStyle name="20% - Accent5 10 3 2 3" xfId="7038"/>
    <cellStyle name="20% - Accent5 10 3 2 3 2" xfId="7039"/>
    <cellStyle name="20% - Accent5 10 3 2 3 3" xfId="7040"/>
    <cellStyle name="20% - Accent5 10 3 2 4" xfId="7041"/>
    <cellStyle name="20% - Accent5 10 3 2 5" xfId="7042"/>
    <cellStyle name="20% - Accent5 10 3 3" xfId="7043"/>
    <cellStyle name="20% - Accent5 10 3 3 2" xfId="7044"/>
    <cellStyle name="20% - Accent5 10 3 3 2 2" xfId="7045"/>
    <cellStyle name="20% - Accent5 10 3 3 2 3" xfId="7046"/>
    <cellStyle name="20% - Accent5 10 3 3 3" xfId="7047"/>
    <cellStyle name="20% - Accent5 10 3 3 3 2" xfId="7048"/>
    <cellStyle name="20% - Accent5 10 3 3 3 3" xfId="7049"/>
    <cellStyle name="20% - Accent5 10 3 3 4" xfId="7050"/>
    <cellStyle name="20% - Accent5 10 3 3 5" xfId="7051"/>
    <cellStyle name="20% - Accent5 10 3 4" xfId="7052"/>
    <cellStyle name="20% - Accent5 10 3 4 2" xfId="7053"/>
    <cellStyle name="20% - Accent5 10 3 4 3" xfId="7054"/>
    <cellStyle name="20% - Accent5 10 3 5" xfId="7055"/>
    <cellStyle name="20% - Accent5 10 3 5 2" xfId="7056"/>
    <cellStyle name="20% - Accent5 10 3 5 3" xfId="7057"/>
    <cellStyle name="20% - Accent5 10 3 6" xfId="7058"/>
    <cellStyle name="20% - Accent5 10 3 7" xfId="7059"/>
    <cellStyle name="20% - Accent5 10 3_Volatility" xfId="7060"/>
    <cellStyle name="20% - Accent5 10 4" xfId="7061"/>
    <cellStyle name="20% - Accent5 10 4 2" xfId="7062"/>
    <cellStyle name="20% - Accent5 10 4 2 2" xfId="7063"/>
    <cellStyle name="20% - Accent5 10 4 2 3" xfId="7064"/>
    <cellStyle name="20% - Accent5 10 4 3" xfId="7065"/>
    <cellStyle name="20% - Accent5 10 4 3 2" xfId="7066"/>
    <cellStyle name="20% - Accent5 10 4 3 3" xfId="7067"/>
    <cellStyle name="20% - Accent5 10 4 4" xfId="7068"/>
    <cellStyle name="20% - Accent5 10 4 5" xfId="7069"/>
    <cellStyle name="20% - Accent5 10 5" xfId="7070"/>
    <cellStyle name="20% - Accent5 10 5 2" xfId="7071"/>
    <cellStyle name="20% - Accent5 10 5 2 2" xfId="7072"/>
    <cellStyle name="20% - Accent5 10 5 2 3" xfId="7073"/>
    <cellStyle name="20% - Accent5 10 5 3" xfId="7074"/>
    <cellStyle name="20% - Accent5 10 5 3 2" xfId="7075"/>
    <cellStyle name="20% - Accent5 10 5 3 3" xfId="7076"/>
    <cellStyle name="20% - Accent5 10 5 4" xfId="7077"/>
    <cellStyle name="20% - Accent5 10 5 5" xfId="7078"/>
    <cellStyle name="20% - Accent5 10 6" xfId="7079"/>
    <cellStyle name="20% - Accent5 10 6 2" xfId="7080"/>
    <cellStyle name="20% - Accent5 10 6 2 2" xfId="7081"/>
    <cellStyle name="20% - Accent5 10 6 2 3" xfId="7082"/>
    <cellStyle name="20% - Accent5 10 6 3" xfId="7083"/>
    <cellStyle name="20% - Accent5 10 6 3 2" xfId="7084"/>
    <cellStyle name="20% - Accent5 10 6 3 3" xfId="7085"/>
    <cellStyle name="20% - Accent5 10 6 4" xfId="7086"/>
    <cellStyle name="20% - Accent5 10 6 5" xfId="7087"/>
    <cellStyle name="20% - Accent5 10 7" xfId="7088"/>
    <cellStyle name="20% - Accent5 10 7 2" xfId="7089"/>
    <cellStyle name="20% - Accent5 10 7 3" xfId="7090"/>
    <cellStyle name="20% - Accent5 10 8" xfId="7091"/>
    <cellStyle name="20% - Accent5 10 8 2" xfId="7092"/>
    <cellStyle name="20% - Accent5 10 8 3" xfId="7093"/>
    <cellStyle name="20% - Accent5 10 9" xfId="7094"/>
    <cellStyle name="20% - Accent5 10_Volatility" xfId="7095"/>
    <cellStyle name="20% - Accent5 11" xfId="7096"/>
    <cellStyle name="20% - Accent5 11 10" xfId="7097"/>
    <cellStyle name="20% - Accent5 11 2" xfId="7098"/>
    <cellStyle name="20% - Accent5 11 2 2" xfId="7099"/>
    <cellStyle name="20% - Accent5 11 2 2 2" xfId="7100"/>
    <cellStyle name="20% - Accent5 11 2 2 2 2" xfId="7101"/>
    <cellStyle name="20% - Accent5 11 2 2 2 3" xfId="7102"/>
    <cellStyle name="20% - Accent5 11 2 2 3" xfId="7103"/>
    <cellStyle name="20% - Accent5 11 2 2 3 2" xfId="7104"/>
    <cellStyle name="20% - Accent5 11 2 2 3 3" xfId="7105"/>
    <cellStyle name="20% - Accent5 11 2 2 4" xfId="7106"/>
    <cellStyle name="20% - Accent5 11 2 2 5" xfId="7107"/>
    <cellStyle name="20% - Accent5 11 2 3" xfId="7108"/>
    <cellStyle name="20% - Accent5 11 2 3 2" xfId="7109"/>
    <cellStyle name="20% - Accent5 11 2 3 2 2" xfId="7110"/>
    <cellStyle name="20% - Accent5 11 2 3 2 3" xfId="7111"/>
    <cellStyle name="20% - Accent5 11 2 3 3" xfId="7112"/>
    <cellStyle name="20% - Accent5 11 2 3 3 2" xfId="7113"/>
    <cellStyle name="20% - Accent5 11 2 3 3 3" xfId="7114"/>
    <cellStyle name="20% - Accent5 11 2 3 4" xfId="7115"/>
    <cellStyle name="20% - Accent5 11 2 3 5" xfId="7116"/>
    <cellStyle name="20% - Accent5 11 2 4" xfId="7117"/>
    <cellStyle name="20% - Accent5 11 2 4 2" xfId="7118"/>
    <cellStyle name="20% - Accent5 11 2 4 2 2" xfId="7119"/>
    <cellStyle name="20% - Accent5 11 2 4 2 3" xfId="7120"/>
    <cellStyle name="20% - Accent5 11 2 4 3" xfId="7121"/>
    <cellStyle name="20% - Accent5 11 2 4 3 2" xfId="7122"/>
    <cellStyle name="20% - Accent5 11 2 4 3 3" xfId="7123"/>
    <cellStyle name="20% - Accent5 11 2 4 4" xfId="7124"/>
    <cellStyle name="20% - Accent5 11 2 4 5" xfId="7125"/>
    <cellStyle name="20% - Accent5 11 2 5" xfId="7126"/>
    <cellStyle name="20% - Accent5 11 2 5 2" xfId="7127"/>
    <cellStyle name="20% - Accent5 11 2 5 3" xfId="7128"/>
    <cellStyle name="20% - Accent5 11 2 6" xfId="7129"/>
    <cellStyle name="20% - Accent5 11 2 6 2" xfId="7130"/>
    <cellStyle name="20% - Accent5 11 2 6 3" xfId="7131"/>
    <cellStyle name="20% - Accent5 11 2 7" xfId="7132"/>
    <cellStyle name="20% - Accent5 11 2 8" xfId="7133"/>
    <cellStyle name="20% - Accent5 11 2_Volatility" xfId="7134"/>
    <cellStyle name="20% - Accent5 11 3" xfId="7135"/>
    <cellStyle name="20% - Accent5 11 3 2" xfId="7136"/>
    <cellStyle name="20% - Accent5 11 3 2 2" xfId="7137"/>
    <cellStyle name="20% - Accent5 11 3 2 2 2" xfId="7138"/>
    <cellStyle name="20% - Accent5 11 3 2 2 3" xfId="7139"/>
    <cellStyle name="20% - Accent5 11 3 2 3" xfId="7140"/>
    <cellStyle name="20% - Accent5 11 3 2 3 2" xfId="7141"/>
    <cellStyle name="20% - Accent5 11 3 2 3 3" xfId="7142"/>
    <cellStyle name="20% - Accent5 11 3 2 4" xfId="7143"/>
    <cellStyle name="20% - Accent5 11 3 2 5" xfId="7144"/>
    <cellStyle name="20% - Accent5 11 3 3" xfId="7145"/>
    <cellStyle name="20% - Accent5 11 3 3 2" xfId="7146"/>
    <cellStyle name="20% - Accent5 11 3 3 2 2" xfId="7147"/>
    <cellStyle name="20% - Accent5 11 3 3 2 3" xfId="7148"/>
    <cellStyle name="20% - Accent5 11 3 3 3" xfId="7149"/>
    <cellStyle name="20% - Accent5 11 3 3 3 2" xfId="7150"/>
    <cellStyle name="20% - Accent5 11 3 3 3 3" xfId="7151"/>
    <cellStyle name="20% - Accent5 11 3 3 4" xfId="7152"/>
    <cellStyle name="20% - Accent5 11 3 3 5" xfId="7153"/>
    <cellStyle name="20% - Accent5 11 3 4" xfId="7154"/>
    <cellStyle name="20% - Accent5 11 3 4 2" xfId="7155"/>
    <cellStyle name="20% - Accent5 11 3 4 3" xfId="7156"/>
    <cellStyle name="20% - Accent5 11 3 5" xfId="7157"/>
    <cellStyle name="20% - Accent5 11 3 5 2" xfId="7158"/>
    <cellStyle name="20% - Accent5 11 3 5 3" xfId="7159"/>
    <cellStyle name="20% - Accent5 11 3 6" xfId="7160"/>
    <cellStyle name="20% - Accent5 11 3 7" xfId="7161"/>
    <cellStyle name="20% - Accent5 11 3_Volatility" xfId="7162"/>
    <cellStyle name="20% - Accent5 11 4" xfId="7163"/>
    <cellStyle name="20% - Accent5 11 4 2" xfId="7164"/>
    <cellStyle name="20% - Accent5 11 4 2 2" xfId="7165"/>
    <cellStyle name="20% - Accent5 11 4 2 3" xfId="7166"/>
    <cellStyle name="20% - Accent5 11 4 3" xfId="7167"/>
    <cellStyle name="20% - Accent5 11 4 3 2" xfId="7168"/>
    <cellStyle name="20% - Accent5 11 4 3 3" xfId="7169"/>
    <cellStyle name="20% - Accent5 11 4 4" xfId="7170"/>
    <cellStyle name="20% - Accent5 11 4 5" xfId="7171"/>
    <cellStyle name="20% - Accent5 11 5" xfId="7172"/>
    <cellStyle name="20% - Accent5 11 5 2" xfId="7173"/>
    <cellStyle name="20% - Accent5 11 5 2 2" xfId="7174"/>
    <cellStyle name="20% - Accent5 11 5 2 3" xfId="7175"/>
    <cellStyle name="20% - Accent5 11 5 3" xfId="7176"/>
    <cellStyle name="20% - Accent5 11 5 3 2" xfId="7177"/>
    <cellStyle name="20% - Accent5 11 5 3 3" xfId="7178"/>
    <cellStyle name="20% - Accent5 11 5 4" xfId="7179"/>
    <cellStyle name="20% - Accent5 11 5 5" xfId="7180"/>
    <cellStyle name="20% - Accent5 11 6" xfId="7181"/>
    <cellStyle name="20% - Accent5 11 6 2" xfId="7182"/>
    <cellStyle name="20% - Accent5 11 6 2 2" xfId="7183"/>
    <cellStyle name="20% - Accent5 11 6 2 3" xfId="7184"/>
    <cellStyle name="20% - Accent5 11 6 3" xfId="7185"/>
    <cellStyle name="20% - Accent5 11 6 3 2" xfId="7186"/>
    <cellStyle name="20% - Accent5 11 6 3 3" xfId="7187"/>
    <cellStyle name="20% - Accent5 11 6 4" xfId="7188"/>
    <cellStyle name="20% - Accent5 11 6 5" xfId="7189"/>
    <cellStyle name="20% - Accent5 11 7" xfId="7190"/>
    <cellStyle name="20% - Accent5 11 7 2" xfId="7191"/>
    <cellStyle name="20% - Accent5 11 7 3" xfId="7192"/>
    <cellStyle name="20% - Accent5 11 8" xfId="7193"/>
    <cellStyle name="20% - Accent5 11 8 2" xfId="7194"/>
    <cellStyle name="20% - Accent5 11 8 3" xfId="7195"/>
    <cellStyle name="20% - Accent5 11 9" xfId="7196"/>
    <cellStyle name="20% - Accent5 11_Volatility" xfId="7197"/>
    <cellStyle name="20% - Accent5 12" xfId="7198"/>
    <cellStyle name="20% - Accent5 12 10" xfId="7199"/>
    <cellStyle name="20% - Accent5 12 2" xfId="7200"/>
    <cellStyle name="20% - Accent5 12 2 2" xfId="7201"/>
    <cellStyle name="20% - Accent5 12 2 2 2" xfId="7202"/>
    <cellStyle name="20% - Accent5 12 2 2 2 2" xfId="7203"/>
    <cellStyle name="20% - Accent5 12 2 2 2 3" xfId="7204"/>
    <cellStyle name="20% - Accent5 12 2 2 3" xfId="7205"/>
    <cellStyle name="20% - Accent5 12 2 2 3 2" xfId="7206"/>
    <cellStyle name="20% - Accent5 12 2 2 3 3" xfId="7207"/>
    <cellStyle name="20% - Accent5 12 2 2 4" xfId="7208"/>
    <cellStyle name="20% - Accent5 12 2 2 5" xfId="7209"/>
    <cellStyle name="20% - Accent5 12 2 3" xfId="7210"/>
    <cellStyle name="20% - Accent5 12 2 3 2" xfId="7211"/>
    <cellStyle name="20% - Accent5 12 2 3 2 2" xfId="7212"/>
    <cellStyle name="20% - Accent5 12 2 3 2 3" xfId="7213"/>
    <cellStyle name="20% - Accent5 12 2 3 3" xfId="7214"/>
    <cellStyle name="20% - Accent5 12 2 3 3 2" xfId="7215"/>
    <cellStyle name="20% - Accent5 12 2 3 3 3" xfId="7216"/>
    <cellStyle name="20% - Accent5 12 2 3 4" xfId="7217"/>
    <cellStyle name="20% - Accent5 12 2 3 5" xfId="7218"/>
    <cellStyle name="20% - Accent5 12 2 4" xfId="7219"/>
    <cellStyle name="20% - Accent5 12 2 4 2" xfId="7220"/>
    <cellStyle name="20% - Accent5 12 2 4 2 2" xfId="7221"/>
    <cellStyle name="20% - Accent5 12 2 4 2 3" xfId="7222"/>
    <cellStyle name="20% - Accent5 12 2 4 3" xfId="7223"/>
    <cellStyle name="20% - Accent5 12 2 4 3 2" xfId="7224"/>
    <cellStyle name="20% - Accent5 12 2 4 3 3" xfId="7225"/>
    <cellStyle name="20% - Accent5 12 2 4 4" xfId="7226"/>
    <cellStyle name="20% - Accent5 12 2 4 5" xfId="7227"/>
    <cellStyle name="20% - Accent5 12 2 5" xfId="7228"/>
    <cellStyle name="20% - Accent5 12 2 5 2" xfId="7229"/>
    <cellStyle name="20% - Accent5 12 2 5 3" xfId="7230"/>
    <cellStyle name="20% - Accent5 12 2 6" xfId="7231"/>
    <cellStyle name="20% - Accent5 12 2 6 2" xfId="7232"/>
    <cellStyle name="20% - Accent5 12 2 6 3" xfId="7233"/>
    <cellStyle name="20% - Accent5 12 2 7" xfId="7234"/>
    <cellStyle name="20% - Accent5 12 2 8" xfId="7235"/>
    <cellStyle name="20% - Accent5 12 2_Volatility" xfId="7236"/>
    <cellStyle name="20% - Accent5 12 3" xfId="7237"/>
    <cellStyle name="20% - Accent5 12 3 2" xfId="7238"/>
    <cellStyle name="20% - Accent5 12 3 2 2" xfId="7239"/>
    <cellStyle name="20% - Accent5 12 3 2 2 2" xfId="7240"/>
    <cellStyle name="20% - Accent5 12 3 2 2 3" xfId="7241"/>
    <cellStyle name="20% - Accent5 12 3 2 3" xfId="7242"/>
    <cellStyle name="20% - Accent5 12 3 2 3 2" xfId="7243"/>
    <cellStyle name="20% - Accent5 12 3 2 3 3" xfId="7244"/>
    <cellStyle name="20% - Accent5 12 3 2 4" xfId="7245"/>
    <cellStyle name="20% - Accent5 12 3 2 5" xfId="7246"/>
    <cellStyle name="20% - Accent5 12 3 3" xfId="7247"/>
    <cellStyle name="20% - Accent5 12 3 3 2" xfId="7248"/>
    <cellStyle name="20% - Accent5 12 3 3 2 2" xfId="7249"/>
    <cellStyle name="20% - Accent5 12 3 3 2 3" xfId="7250"/>
    <cellStyle name="20% - Accent5 12 3 3 3" xfId="7251"/>
    <cellStyle name="20% - Accent5 12 3 3 3 2" xfId="7252"/>
    <cellStyle name="20% - Accent5 12 3 3 3 3" xfId="7253"/>
    <cellStyle name="20% - Accent5 12 3 3 4" xfId="7254"/>
    <cellStyle name="20% - Accent5 12 3 3 5" xfId="7255"/>
    <cellStyle name="20% - Accent5 12 3 4" xfId="7256"/>
    <cellStyle name="20% - Accent5 12 3 4 2" xfId="7257"/>
    <cellStyle name="20% - Accent5 12 3 4 3" xfId="7258"/>
    <cellStyle name="20% - Accent5 12 3 5" xfId="7259"/>
    <cellStyle name="20% - Accent5 12 3 5 2" xfId="7260"/>
    <cellStyle name="20% - Accent5 12 3 5 3" xfId="7261"/>
    <cellStyle name="20% - Accent5 12 3 6" xfId="7262"/>
    <cellStyle name="20% - Accent5 12 3 7" xfId="7263"/>
    <cellStyle name="20% - Accent5 12 3_Volatility" xfId="7264"/>
    <cellStyle name="20% - Accent5 12 4" xfId="7265"/>
    <cellStyle name="20% - Accent5 12 4 2" xfId="7266"/>
    <cellStyle name="20% - Accent5 12 4 2 2" xfId="7267"/>
    <cellStyle name="20% - Accent5 12 4 2 3" xfId="7268"/>
    <cellStyle name="20% - Accent5 12 4 3" xfId="7269"/>
    <cellStyle name="20% - Accent5 12 4 3 2" xfId="7270"/>
    <cellStyle name="20% - Accent5 12 4 3 3" xfId="7271"/>
    <cellStyle name="20% - Accent5 12 4 4" xfId="7272"/>
    <cellStyle name="20% - Accent5 12 4 5" xfId="7273"/>
    <cellStyle name="20% - Accent5 12 5" xfId="7274"/>
    <cellStyle name="20% - Accent5 12 5 2" xfId="7275"/>
    <cellStyle name="20% - Accent5 12 5 2 2" xfId="7276"/>
    <cellStyle name="20% - Accent5 12 5 2 3" xfId="7277"/>
    <cellStyle name="20% - Accent5 12 5 3" xfId="7278"/>
    <cellStyle name="20% - Accent5 12 5 3 2" xfId="7279"/>
    <cellStyle name="20% - Accent5 12 5 3 3" xfId="7280"/>
    <cellStyle name="20% - Accent5 12 5 4" xfId="7281"/>
    <cellStyle name="20% - Accent5 12 5 5" xfId="7282"/>
    <cellStyle name="20% - Accent5 12 6" xfId="7283"/>
    <cellStyle name="20% - Accent5 12 6 2" xfId="7284"/>
    <cellStyle name="20% - Accent5 12 6 2 2" xfId="7285"/>
    <cellStyle name="20% - Accent5 12 6 2 3" xfId="7286"/>
    <cellStyle name="20% - Accent5 12 6 3" xfId="7287"/>
    <cellStyle name="20% - Accent5 12 6 3 2" xfId="7288"/>
    <cellStyle name="20% - Accent5 12 6 3 3" xfId="7289"/>
    <cellStyle name="20% - Accent5 12 6 4" xfId="7290"/>
    <cellStyle name="20% - Accent5 12 6 5" xfId="7291"/>
    <cellStyle name="20% - Accent5 12 7" xfId="7292"/>
    <cellStyle name="20% - Accent5 12 7 2" xfId="7293"/>
    <cellStyle name="20% - Accent5 12 7 3" xfId="7294"/>
    <cellStyle name="20% - Accent5 12 8" xfId="7295"/>
    <cellStyle name="20% - Accent5 12 8 2" xfId="7296"/>
    <cellStyle name="20% - Accent5 12 8 3" xfId="7297"/>
    <cellStyle name="20% - Accent5 12 9" xfId="7298"/>
    <cellStyle name="20% - Accent5 12_Volatility" xfId="7299"/>
    <cellStyle name="20% - Accent5 13" xfId="7300"/>
    <cellStyle name="20% - Accent5 13 10" xfId="7301"/>
    <cellStyle name="20% - Accent5 13 2" xfId="7302"/>
    <cellStyle name="20% - Accent5 13 2 2" xfId="7303"/>
    <cellStyle name="20% - Accent5 13 2 2 2" xfId="7304"/>
    <cellStyle name="20% - Accent5 13 2 2 2 2" xfId="7305"/>
    <cellStyle name="20% - Accent5 13 2 2 2 3" xfId="7306"/>
    <cellStyle name="20% - Accent5 13 2 2 3" xfId="7307"/>
    <cellStyle name="20% - Accent5 13 2 2 3 2" xfId="7308"/>
    <cellStyle name="20% - Accent5 13 2 2 3 3" xfId="7309"/>
    <cellStyle name="20% - Accent5 13 2 2 4" xfId="7310"/>
    <cellStyle name="20% - Accent5 13 2 2 5" xfId="7311"/>
    <cellStyle name="20% - Accent5 13 2 3" xfId="7312"/>
    <cellStyle name="20% - Accent5 13 2 3 2" xfId="7313"/>
    <cellStyle name="20% - Accent5 13 2 3 2 2" xfId="7314"/>
    <cellStyle name="20% - Accent5 13 2 3 2 3" xfId="7315"/>
    <cellStyle name="20% - Accent5 13 2 3 3" xfId="7316"/>
    <cellStyle name="20% - Accent5 13 2 3 3 2" xfId="7317"/>
    <cellStyle name="20% - Accent5 13 2 3 3 3" xfId="7318"/>
    <cellStyle name="20% - Accent5 13 2 3 4" xfId="7319"/>
    <cellStyle name="20% - Accent5 13 2 3 5" xfId="7320"/>
    <cellStyle name="20% - Accent5 13 2 4" xfId="7321"/>
    <cellStyle name="20% - Accent5 13 2 4 2" xfId="7322"/>
    <cellStyle name="20% - Accent5 13 2 4 2 2" xfId="7323"/>
    <cellStyle name="20% - Accent5 13 2 4 2 3" xfId="7324"/>
    <cellStyle name="20% - Accent5 13 2 4 3" xfId="7325"/>
    <cellStyle name="20% - Accent5 13 2 4 3 2" xfId="7326"/>
    <cellStyle name="20% - Accent5 13 2 4 3 3" xfId="7327"/>
    <cellStyle name="20% - Accent5 13 2 4 4" xfId="7328"/>
    <cellStyle name="20% - Accent5 13 2 4 5" xfId="7329"/>
    <cellStyle name="20% - Accent5 13 2 5" xfId="7330"/>
    <cellStyle name="20% - Accent5 13 2 5 2" xfId="7331"/>
    <cellStyle name="20% - Accent5 13 2 5 3" xfId="7332"/>
    <cellStyle name="20% - Accent5 13 2 6" xfId="7333"/>
    <cellStyle name="20% - Accent5 13 2 6 2" xfId="7334"/>
    <cellStyle name="20% - Accent5 13 2 6 3" xfId="7335"/>
    <cellStyle name="20% - Accent5 13 2 7" xfId="7336"/>
    <cellStyle name="20% - Accent5 13 2 8" xfId="7337"/>
    <cellStyle name="20% - Accent5 13 2_Volatility" xfId="7338"/>
    <cellStyle name="20% - Accent5 13 3" xfId="7339"/>
    <cellStyle name="20% - Accent5 13 3 2" xfId="7340"/>
    <cellStyle name="20% - Accent5 13 3 2 2" xfId="7341"/>
    <cellStyle name="20% - Accent5 13 3 2 2 2" xfId="7342"/>
    <cellStyle name="20% - Accent5 13 3 2 2 3" xfId="7343"/>
    <cellStyle name="20% - Accent5 13 3 2 3" xfId="7344"/>
    <cellStyle name="20% - Accent5 13 3 2 3 2" xfId="7345"/>
    <cellStyle name="20% - Accent5 13 3 2 3 3" xfId="7346"/>
    <cellStyle name="20% - Accent5 13 3 2 4" xfId="7347"/>
    <cellStyle name="20% - Accent5 13 3 2 5" xfId="7348"/>
    <cellStyle name="20% - Accent5 13 3 3" xfId="7349"/>
    <cellStyle name="20% - Accent5 13 3 3 2" xfId="7350"/>
    <cellStyle name="20% - Accent5 13 3 3 2 2" xfId="7351"/>
    <cellStyle name="20% - Accent5 13 3 3 2 3" xfId="7352"/>
    <cellStyle name="20% - Accent5 13 3 3 3" xfId="7353"/>
    <cellStyle name="20% - Accent5 13 3 3 3 2" xfId="7354"/>
    <cellStyle name="20% - Accent5 13 3 3 3 3" xfId="7355"/>
    <cellStyle name="20% - Accent5 13 3 3 4" xfId="7356"/>
    <cellStyle name="20% - Accent5 13 3 3 5" xfId="7357"/>
    <cellStyle name="20% - Accent5 13 3 4" xfId="7358"/>
    <cellStyle name="20% - Accent5 13 3 4 2" xfId="7359"/>
    <cellStyle name="20% - Accent5 13 3 4 3" xfId="7360"/>
    <cellStyle name="20% - Accent5 13 3 5" xfId="7361"/>
    <cellStyle name="20% - Accent5 13 3 5 2" xfId="7362"/>
    <cellStyle name="20% - Accent5 13 3 5 3" xfId="7363"/>
    <cellStyle name="20% - Accent5 13 3 6" xfId="7364"/>
    <cellStyle name="20% - Accent5 13 3 7" xfId="7365"/>
    <cellStyle name="20% - Accent5 13 3_Volatility" xfId="7366"/>
    <cellStyle name="20% - Accent5 13 4" xfId="7367"/>
    <cellStyle name="20% - Accent5 13 4 2" xfId="7368"/>
    <cellStyle name="20% - Accent5 13 4 2 2" xfId="7369"/>
    <cellStyle name="20% - Accent5 13 4 2 3" xfId="7370"/>
    <cellStyle name="20% - Accent5 13 4 3" xfId="7371"/>
    <cellStyle name="20% - Accent5 13 4 3 2" xfId="7372"/>
    <cellStyle name="20% - Accent5 13 4 3 3" xfId="7373"/>
    <cellStyle name="20% - Accent5 13 4 4" xfId="7374"/>
    <cellStyle name="20% - Accent5 13 4 5" xfId="7375"/>
    <cellStyle name="20% - Accent5 13 5" xfId="7376"/>
    <cellStyle name="20% - Accent5 13 5 2" xfId="7377"/>
    <cellStyle name="20% - Accent5 13 5 2 2" xfId="7378"/>
    <cellStyle name="20% - Accent5 13 5 2 3" xfId="7379"/>
    <cellStyle name="20% - Accent5 13 5 3" xfId="7380"/>
    <cellStyle name="20% - Accent5 13 5 3 2" xfId="7381"/>
    <cellStyle name="20% - Accent5 13 5 3 3" xfId="7382"/>
    <cellStyle name="20% - Accent5 13 5 4" xfId="7383"/>
    <cellStyle name="20% - Accent5 13 5 5" xfId="7384"/>
    <cellStyle name="20% - Accent5 13 6" xfId="7385"/>
    <cellStyle name="20% - Accent5 13 6 2" xfId="7386"/>
    <cellStyle name="20% - Accent5 13 6 2 2" xfId="7387"/>
    <cellStyle name="20% - Accent5 13 6 2 3" xfId="7388"/>
    <cellStyle name="20% - Accent5 13 6 3" xfId="7389"/>
    <cellStyle name="20% - Accent5 13 6 3 2" xfId="7390"/>
    <cellStyle name="20% - Accent5 13 6 3 3" xfId="7391"/>
    <cellStyle name="20% - Accent5 13 6 4" xfId="7392"/>
    <cellStyle name="20% - Accent5 13 6 5" xfId="7393"/>
    <cellStyle name="20% - Accent5 13 7" xfId="7394"/>
    <cellStyle name="20% - Accent5 13 7 2" xfId="7395"/>
    <cellStyle name="20% - Accent5 13 7 3" xfId="7396"/>
    <cellStyle name="20% - Accent5 13 8" xfId="7397"/>
    <cellStyle name="20% - Accent5 13 8 2" xfId="7398"/>
    <cellStyle name="20% - Accent5 13 8 3" xfId="7399"/>
    <cellStyle name="20% - Accent5 13 9" xfId="7400"/>
    <cellStyle name="20% - Accent5 13_Volatility" xfId="7401"/>
    <cellStyle name="20% - Accent5 14" xfId="7402"/>
    <cellStyle name="20% - Accent5 14 10" xfId="7403"/>
    <cellStyle name="20% - Accent5 14 2" xfId="7404"/>
    <cellStyle name="20% - Accent5 14 2 2" xfId="7405"/>
    <cellStyle name="20% - Accent5 14 2 2 2" xfId="7406"/>
    <cellStyle name="20% - Accent5 14 2 2 2 2" xfId="7407"/>
    <cellStyle name="20% - Accent5 14 2 2 2 3" xfId="7408"/>
    <cellStyle name="20% - Accent5 14 2 2 3" xfId="7409"/>
    <cellStyle name="20% - Accent5 14 2 2 3 2" xfId="7410"/>
    <cellStyle name="20% - Accent5 14 2 2 3 3" xfId="7411"/>
    <cellStyle name="20% - Accent5 14 2 2 4" xfId="7412"/>
    <cellStyle name="20% - Accent5 14 2 2 5" xfId="7413"/>
    <cellStyle name="20% - Accent5 14 2 3" xfId="7414"/>
    <cellStyle name="20% - Accent5 14 2 3 2" xfId="7415"/>
    <cellStyle name="20% - Accent5 14 2 3 2 2" xfId="7416"/>
    <cellStyle name="20% - Accent5 14 2 3 2 3" xfId="7417"/>
    <cellStyle name="20% - Accent5 14 2 3 3" xfId="7418"/>
    <cellStyle name="20% - Accent5 14 2 3 3 2" xfId="7419"/>
    <cellStyle name="20% - Accent5 14 2 3 3 3" xfId="7420"/>
    <cellStyle name="20% - Accent5 14 2 3 4" xfId="7421"/>
    <cellStyle name="20% - Accent5 14 2 3 5" xfId="7422"/>
    <cellStyle name="20% - Accent5 14 2 4" xfId="7423"/>
    <cellStyle name="20% - Accent5 14 2 4 2" xfId="7424"/>
    <cellStyle name="20% - Accent5 14 2 4 2 2" xfId="7425"/>
    <cellStyle name="20% - Accent5 14 2 4 2 3" xfId="7426"/>
    <cellStyle name="20% - Accent5 14 2 4 3" xfId="7427"/>
    <cellStyle name="20% - Accent5 14 2 4 3 2" xfId="7428"/>
    <cellStyle name="20% - Accent5 14 2 4 3 3" xfId="7429"/>
    <cellStyle name="20% - Accent5 14 2 4 4" xfId="7430"/>
    <cellStyle name="20% - Accent5 14 2 4 5" xfId="7431"/>
    <cellStyle name="20% - Accent5 14 2 5" xfId="7432"/>
    <cellStyle name="20% - Accent5 14 2 5 2" xfId="7433"/>
    <cellStyle name="20% - Accent5 14 2 5 3" xfId="7434"/>
    <cellStyle name="20% - Accent5 14 2 6" xfId="7435"/>
    <cellStyle name="20% - Accent5 14 2 6 2" xfId="7436"/>
    <cellStyle name="20% - Accent5 14 2 6 3" xfId="7437"/>
    <cellStyle name="20% - Accent5 14 2 7" xfId="7438"/>
    <cellStyle name="20% - Accent5 14 2 8" xfId="7439"/>
    <cellStyle name="20% - Accent5 14 2_Volatility" xfId="7440"/>
    <cellStyle name="20% - Accent5 14 3" xfId="7441"/>
    <cellStyle name="20% - Accent5 14 3 2" xfId="7442"/>
    <cellStyle name="20% - Accent5 14 3 2 2" xfId="7443"/>
    <cellStyle name="20% - Accent5 14 3 2 2 2" xfId="7444"/>
    <cellStyle name="20% - Accent5 14 3 2 2 3" xfId="7445"/>
    <cellStyle name="20% - Accent5 14 3 2 3" xfId="7446"/>
    <cellStyle name="20% - Accent5 14 3 2 3 2" xfId="7447"/>
    <cellStyle name="20% - Accent5 14 3 2 3 3" xfId="7448"/>
    <cellStyle name="20% - Accent5 14 3 2 4" xfId="7449"/>
    <cellStyle name="20% - Accent5 14 3 2 5" xfId="7450"/>
    <cellStyle name="20% - Accent5 14 3 3" xfId="7451"/>
    <cellStyle name="20% - Accent5 14 3 3 2" xfId="7452"/>
    <cellStyle name="20% - Accent5 14 3 3 2 2" xfId="7453"/>
    <cellStyle name="20% - Accent5 14 3 3 2 3" xfId="7454"/>
    <cellStyle name="20% - Accent5 14 3 3 3" xfId="7455"/>
    <cellStyle name="20% - Accent5 14 3 3 3 2" xfId="7456"/>
    <cellStyle name="20% - Accent5 14 3 3 3 3" xfId="7457"/>
    <cellStyle name="20% - Accent5 14 3 3 4" xfId="7458"/>
    <cellStyle name="20% - Accent5 14 3 3 5" xfId="7459"/>
    <cellStyle name="20% - Accent5 14 3 4" xfId="7460"/>
    <cellStyle name="20% - Accent5 14 3 4 2" xfId="7461"/>
    <cellStyle name="20% - Accent5 14 3 4 3" xfId="7462"/>
    <cellStyle name="20% - Accent5 14 3 5" xfId="7463"/>
    <cellStyle name="20% - Accent5 14 3 5 2" xfId="7464"/>
    <cellStyle name="20% - Accent5 14 3 5 3" xfId="7465"/>
    <cellStyle name="20% - Accent5 14 3 6" xfId="7466"/>
    <cellStyle name="20% - Accent5 14 3 7" xfId="7467"/>
    <cellStyle name="20% - Accent5 14 3_Volatility" xfId="7468"/>
    <cellStyle name="20% - Accent5 14 4" xfId="7469"/>
    <cellStyle name="20% - Accent5 14 4 2" xfId="7470"/>
    <cellStyle name="20% - Accent5 14 4 2 2" xfId="7471"/>
    <cellStyle name="20% - Accent5 14 4 2 3" xfId="7472"/>
    <cellStyle name="20% - Accent5 14 4 3" xfId="7473"/>
    <cellStyle name="20% - Accent5 14 4 3 2" xfId="7474"/>
    <cellStyle name="20% - Accent5 14 4 3 3" xfId="7475"/>
    <cellStyle name="20% - Accent5 14 4 4" xfId="7476"/>
    <cellStyle name="20% - Accent5 14 4 5" xfId="7477"/>
    <cellStyle name="20% - Accent5 14 5" xfId="7478"/>
    <cellStyle name="20% - Accent5 14 5 2" xfId="7479"/>
    <cellStyle name="20% - Accent5 14 5 2 2" xfId="7480"/>
    <cellStyle name="20% - Accent5 14 5 2 3" xfId="7481"/>
    <cellStyle name="20% - Accent5 14 5 3" xfId="7482"/>
    <cellStyle name="20% - Accent5 14 5 3 2" xfId="7483"/>
    <cellStyle name="20% - Accent5 14 5 3 3" xfId="7484"/>
    <cellStyle name="20% - Accent5 14 5 4" xfId="7485"/>
    <cellStyle name="20% - Accent5 14 5 5" xfId="7486"/>
    <cellStyle name="20% - Accent5 14 6" xfId="7487"/>
    <cellStyle name="20% - Accent5 14 6 2" xfId="7488"/>
    <cellStyle name="20% - Accent5 14 6 2 2" xfId="7489"/>
    <cellStyle name="20% - Accent5 14 6 2 3" xfId="7490"/>
    <cellStyle name="20% - Accent5 14 6 3" xfId="7491"/>
    <cellStyle name="20% - Accent5 14 6 3 2" xfId="7492"/>
    <cellStyle name="20% - Accent5 14 6 3 3" xfId="7493"/>
    <cellStyle name="20% - Accent5 14 6 4" xfId="7494"/>
    <cellStyle name="20% - Accent5 14 6 5" xfId="7495"/>
    <cellStyle name="20% - Accent5 14 7" xfId="7496"/>
    <cellStyle name="20% - Accent5 14 7 2" xfId="7497"/>
    <cellStyle name="20% - Accent5 14 7 3" xfId="7498"/>
    <cellStyle name="20% - Accent5 14 8" xfId="7499"/>
    <cellStyle name="20% - Accent5 14 8 2" xfId="7500"/>
    <cellStyle name="20% - Accent5 14 8 3" xfId="7501"/>
    <cellStyle name="20% - Accent5 14 9" xfId="7502"/>
    <cellStyle name="20% - Accent5 14_Volatility" xfId="7503"/>
    <cellStyle name="20% - Accent5 15" xfId="7504"/>
    <cellStyle name="20% - Accent5 15 10" xfId="7505"/>
    <cellStyle name="20% - Accent5 15 2" xfId="7506"/>
    <cellStyle name="20% - Accent5 15 2 2" xfId="7507"/>
    <cellStyle name="20% - Accent5 15 2 2 2" xfId="7508"/>
    <cellStyle name="20% - Accent5 15 2 2 2 2" xfId="7509"/>
    <cellStyle name="20% - Accent5 15 2 2 2 3" xfId="7510"/>
    <cellStyle name="20% - Accent5 15 2 2 3" xfId="7511"/>
    <cellStyle name="20% - Accent5 15 2 2 3 2" xfId="7512"/>
    <cellStyle name="20% - Accent5 15 2 2 3 3" xfId="7513"/>
    <cellStyle name="20% - Accent5 15 2 2 4" xfId="7514"/>
    <cellStyle name="20% - Accent5 15 2 2 5" xfId="7515"/>
    <cellStyle name="20% - Accent5 15 2 3" xfId="7516"/>
    <cellStyle name="20% - Accent5 15 2 3 2" xfId="7517"/>
    <cellStyle name="20% - Accent5 15 2 3 2 2" xfId="7518"/>
    <cellStyle name="20% - Accent5 15 2 3 2 3" xfId="7519"/>
    <cellStyle name="20% - Accent5 15 2 3 3" xfId="7520"/>
    <cellStyle name="20% - Accent5 15 2 3 3 2" xfId="7521"/>
    <cellStyle name="20% - Accent5 15 2 3 3 3" xfId="7522"/>
    <cellStyle name="20% - Accent5 15 2 3 4" xfId="7523"/>
    <cellStyle name="20% - Accent5 15 2 3 5" xfId="7524"/>
    <cellStyle name="20% - Accent5 15 2 4" xfId="7525"/>
    <cellStyle name="20% - Accent5 15 2 4 2" xfId="7526"/>
    <cellStyle name="20% - Accent5 15 2 4 2 2" xfId="7527"/>
    <cellStyle name="20% - Accent5 15 2 4 2 3" xfId="7528"/>
    <cellStyle name="20% - Accent5 15 2 4 3" xfId="7529"/>
    <cellStyle name="20% - Accent5 15 2 4 3 2" xfId="7530"/>
    <cellStyle name="20% - Accent5 15 2 4 3 3" xfId="7531"/>
    <cellStyle name="20% - Accent5 15 2 4 4" xfId="7532"/>
    <cellStyle name="20% - Accent5 15 2 4 5" xfId="7533"/>
    <cellStyle name="20% - Accent5 15 2 5" xfId="7534"/>
    <cellStyle name="20% - Accent5 15 2 5 2" xfId="7535"/>
    <cellStyle name="20% - Accent5 15 2 5 3" xfId="7536"/>
    <cellStyle name="20% - Accent5 15 2 6" xfId="7537"/>
    <cellStyle name="20% - Accent5 15 2 6 2" xfId="7538"/>
    <cellStyle name="20% - Accent5 15 2 6 3" xfId="7539"/>
    <cellStyle name="20% - Accent5 15 2 7" xfId="7540"/>
    <cellStyle name="20% - Accent5 15 2 8" xfId="7541"/>
    <cellStyle name="20% - Accent5 15 2_Volatility" xfId="7542"/>
    <cellStyle name="20% - Accent5 15 3" xfId="7543"/>
    <cellStyle name="20% - Accent5 15 3 2" xfId="7544"/>
    <cellStyle name="20% - Accent5 15 3 2 2" xfId="7545"/>
    <cellStyle name="20% - Accent5 15 3 2 2 2" xfId="7546"/>
    <cellStyle name="20% - Accent5 15 3 2 2 3" xfId="7547"/>
    <cellStyle name="20% - Accent5 15 3 2 3" xfId="7548"/>
    <cellStyle name="20% - Accent5 15 3 2 3 2" xfId="7549"/>
    <cellStyle name="20% - Accent5 15 3 2 3 3" xfId="7550"/>
    <cellStyle name="20% - Accent5 15 3 2 4" xfId="7551"/>
    <cellStyle name="20% - Accent5 15 3 2 5" xfId="7552"/>
    <cellStyle name="20% - Accent5 15 3 3" xfId="7553"/>
    <cellStyle name="20% - Accent5 15 3 3 2" xfId="7554"/>
    <cellStyle name="20% - Accent5 15 3 3 2 2" xfId="7555"/>
    <cellStyle name="20% - Accent5 15 3 3 2 3" xfId="7556"/>
    <cellStyle name="20% - Accent5 15 3 3 3" xfId="7557"/>
    <cellStyle name="20% - Accent5 15 3 3 3 2" xfId="7558"/>
    <cellStyle name="20% - Accent5 15 3 3 3 3" xfId="7559"/>
    <cellStyle name="20% - Accent5 15 3 3 4" xfId="7560"/>
    <cellStyle name="20% - Accent5 15 3 3 5" xfId="7561"/>
    <cellStyle name="20% - Accent5 15 3 4" xfId="7562"/>
    <cellStyle name="20% - Accent5 15 3 4 2" xfId="7563"/>
    <cellStyle name="20% - Accent5 15 3 4 3" xfId="7564"/>
    <cellStyle name="20% - Accent5 15 3 5" xfId="7565"/>
    <cellStyle name="20% - Accent5 15 3 5 2" xfId="7566"/>
    <cellStyle name="20% - Accent5 15 3 5 3" xfId="7567"/>
    <cellStyle name="20% - Accent5 15 3 6" xfId="7568"/>
    <cellStyle name="20% - Accent5 15 3 7" xfId="7569"/>
    <cellStyle name="20% - Accent5 15 3_Volatility" xfId="7570"/>
    <cellStyle name="20% - Accent5 15 4" xfId="7571"/>
    <cellStyle name="20% - Accent5 15 4 2" xfId="7572"/>
    <cellStyle name="20% - Accent5 15 4 2 2" xfId="7573"/>
    <cellStyle name="20% - Accent5 15 4 2 3" xfId="7574"/>
    <cellStyle name="20% - Accent5 15 4 3" xfId="7575"/>
    <cellStyle name="20% - Accent5 15 4 3 2" xfId="7576"/>
    <cellStyle name="20% - Accent5 15 4 3 3" xfId="7577"/>
    <cellStyle name="20% - Accent5 15 4 4" xfId="7578"/>
    <cellStyle name="20% - Accent5 15 4 5" xfId="7579"/>
    <cellStyle name="20% - Accent5 15 5" xfId="7580"/>
    <cellStyle name="20% - Accent5 15 5 2" xfId="7581"/>
    <cellStyle name="20% - Accent5 15 5 2 2" xfId="7582"/>
    <cellStyle name="20% - Accent5 15 5 2 3" xfId="7583"/>
    <cellStyle name="20% - Accent5 15 5 3" xfId="7584"/>
    <cellStyle name="20% - Accent5 15 5 3 2" xfId="7585"/>
    <cellStyle name="20% - Accent5 15 5 3 3" xfId="7586"/>
    <cellStyle name="20% - Accent5 15 5 4" xfId="7587"/>
    <cellStyle name="20% - Accent5 15 5 5" xfId="7588"/>
    <cellStyle name="20% - Accent5 15 6" xfId="7589"/>
    <cellStyle name="20% - Accent5 15 6 2" xfId="7590"/>
    <cellStyle name="20% - Accent5 15 6 2 2" xfId="7591"/>
    <cellStyle name="20% - Accent5 15 6 2 3" xfId="7592"/>
    <cellStyle name="20% - Accent5 15 6 3" xfId="7593"/>
    <cellStyle name="20% - Accent5 15 6 3 2" xfId="7594"/>
    <cellStyle name="20% - Accent5 15 6 3 3" xfId="7595"/>
    <cellStyle name="20% - Accent5 15 6 4" xfId="7596"/>
    <cellStyle name="20% - Accent5 15 6 5" xfId="7597"/>
    <cellStyle name="20% - Accent5 15 7" xfId="7598"/>
    <cellStyle name="20% - Accent5 15 7 2" xfId="7599"/>
    <cellStyle name="20% - Accent5 15 7 3" xfId="7600"/>
    <cellStyle name="20% - Accent5 15 8" xfId="7601"/>
    <cellStyle name="20% - Accent5 15 8 2" xfId="7602"/>
    <cellStyle name="20% - Accent5 15 8 3" xfId="7603"/>
    <cellStyle name="20% - Accent5 15 9" xfId="7604"/>
    <cellStyle name="20% - Accent5 15_Volatility" xfId="7605"/>
    <cellStyle name="20% - Accent5 16" xfId="7606"/>
    <cellStyle name="20% - Accent5 16 2" xfId="7607"/>
    <cellStyle name="20% - Accent5 16 3" xfId="7608"/>
    <cellStyle name="20% - Accent5 17" xfId="7609"/>
    <cellStyle name="20% - Accent5 17 2" xfId="7610"/>
    <cellStyle name="20% - Accent5 17 3" xfId="7611"/>
    <cellStyle name="20% - Accent5 18" xfId="7612"/>
    <cellStyle name="20% - Accent5 18 2" xfId="7613"/>
    <cellStyle name="20% - Accent5 18 3" xfId="7614"/>
    <cellStyle name="20% - Accent5 19" xfId="7615"/>
    <cellStyle name="20% - Accent5 19 2" xfId="7616"/>
    <cellStyle name="20% - Accent5 19 3" xfId="7617"/>
    <cellStyle name="20% - Accent5 2" xfId="7618"/>
    <cellStyle name="20% - Accent5 2 10" xfId="7619"/>
    <cellStyle name="20% - Accent5 2 2" xfId="7620"/>
    <cellStyle name="20% - Accent5 2 2 2" xfId="7621"/>
    <cellStyle name="20% - Accent5 2 2 2 2" xfId="7622"/>
    <cellStyle name="20% - Accent5 2 2 2 2 2" xfId="7623"/>
    <cellStyle name="20% - Accent5 2 2 2 2 3" xfId="7624"/>
    <cellStyle name="20% - Accent5 2 2 2 3" xfId="7625"/>
    <cellStyle name="20% - Accent5 2 2 2 3 2" xfId="7626"/>
    <cellStyle name="20% - Accent5 2 2 2 3 3" xfId="7627"/>
    <cellStyle name="20% - Accent5 2 2 2 4" xfId="7628"/>
    <cellStyle name="20% - Accent5 2 2 2 5" xfId="7629"/>
    <cellStyle name="20% - Accent5 2 2 3" xfId="7630"/>
    <cellStyle name="20% - Accent5 2 2 3 2" xfId="7631"/>
    <cellStyle name="20% - Accent5 2 2 3 2 2" xfId="7632"/>
    <cellStyle name="20% - Accent5 2 2 3 2 3" xfId="7633"/>
    <cellStyle name="20% - Accent5 2 2 3 3" xfId="7634"/>
    <cellStyle name="20% - Accent5 2 2 3 3 2" xfId="7635"/>
    <cellStyle name="20% - Accent5 2 2 3 3 3" xfId="7636"/>
    <cellStyle name="20% - Accent5 2 2 3 4" xfId="7637"/>
    <cellStyle name="20% - Accent5 2 2 3 5" xfId="7638"/>
    <cellStyle name="20% - Accent5 2 2 4" xfId="7639"/>
    <cellStyle name="20% - Accent5 2 2 4 2" xfId="7640"/>
    <cellStyle name="20% - Accent5 2 2 4 2 2" xfId="7641"/>
    <cellStyle name="20% - Accent5 2 2 4 2 3" xfId="7642"/>
    <cellStyle name="20% - Accent5 2 2 4 3" xfId="7643"/>
    <cellStyle name="20% - Accent5 2 2 4 3 2" xfId="7644"/>
    <cellStyle name="20% - Accent5 2 2 4 3 3" xfId="7645"/>
    <cellStyle name="20% - Accent5 2 2 4 4" xfId="7646"/>
    <cellStyle name="20% - Accent5 2 2 4 5" xfId="7647"/>
    <cellStyle name="20% - Accent5 2 2 5" xfId="7648"/>
    <cellStyle name="20% - Accent5 2 2 5 2" xfId="7649"/>
    <cellStyle name="20% - Accent5 2 2 5 3" xfId="7650"/>
    <cellStyle name="20% - Accent5 2 2 6" xfId="7651"/>
    <cellStyle name="20% - Accent5 2 2 6 2" xfId="7652"/>
    <cellStyle name="20% - Accent5 2 2 6 3" xfId="7653"/>
    <cellStyle name="20% - Accent5 2 2 7" xfId="7654"/>
    <cellStyle name="20% - Accent5 2 2 8" xfId="7655"/>
    <cellStyle name="20% - Accent5 2 2_Volatility" xfId="7656"/>
    <cellStyle name="20% - Accent5 2 3" xfId="7657"/>
    <cellStyle name="20% - Accent5 2 3 2" xfId="7658"/>
    <cellStyle name="20% - Accent5 2 3 2 2" xfId="7659"/>
    <cellStyle name="20% - Accent5 2 3 2 2 2" xfId="7660"/>
    <cellStyle name="20% - Accent5 2 3 2 2 3" xfId="7661"/>
    <cellStyle name="20% - Accent5 2 3 2 3" xfId="7662"/>
    <cellStyle name="20% - Accent5 2 3 2 3 2" xfId="7663"/>
    <cellStyle name="20% - Accent5 2 3 2 3 3" xfId="7664"/>
    <cellStyle name="20% - Accent5 2 3 2 4" xfId="7665"/>
    <cellStyle name="20% - Accent5 2 3 2 5" xfId="7666"/>
    <cellStyle name="20% - Accent5 2 3 3" xfId="7667"/>
    <cellStyle name="20% - Accent5 2 3 3 2" xfId="7668"/>
    <cellStyle name="20% - Accent5 2 3 3 2 2" xfId="7669"/>
    <cellStyle name="20% - Accent5 2 3 3 2 3" xfId="7670"/>
    <cellStyle name="20% - Accent5 2 3 3 3" xfId="7671"/>
    <cellStyle name="20% - Accent5 2 3 3 3 2" xfId="7672"/>
    <cellStyle name="20% - Accent5 2 3 3 3 3" xfId="7673"/>
    <cellStyle name="20% - Accent5 2 3 3 4" xfId="7674"/>
    <cellStyle name="20% - Accent5 2 3 3 5" xfId="7675"/>
    <cellStyle name="20% - Accent5 2 3 4" xfId="7676"/>
    <cellStyle name="20% - Accent5 2 3 4 2" xfId="7677"/>
    <cellStyle name="20% - Accent5 2 3 4 3" xfId="7678"/>
    <cellStyle name="20% - Accent5 2 3 5" xfId="7679"/>
    <cellStyle name="20% - Accent5 2 3 5 2" xfId="7680"/>
    <cellStyle name="20% - Accent5 2 3 5 3" xfId="7681"/>
    <cellStyle name="20% - Accent5 2 3 6" xfId="7682"/>
    <cellStyle name="20% - Accent5 2 3 7" xfId="7683"/>
    <cellStyle name="20% - Accent5 2 3_Volatility" xfId="7684"/>
    <cellStyle name="20% - Accent5 2 4" xfId="7685"/>
    <cellStyle name="20% - Accent5 2 4 2" xfId="7686"/>
    <cellStyle name="20% - Accent5 2 4 2 2" xfId="7687"/>
    <cellStyle name="20% - Accent5 2 4 2 3" xfId="7688"/>
    <cellStyle name="20% - Accent5 2 4 3" xfId="7689"/>
    <cellStyle name="20% - Accent5 2 4 3 2" xfId="7690"/>
    <cellStyle name="20% - Accent5 2 4 3 3" xfId="7691"/>
    <cellStyle name="20% - Accent5 2 4 4" xfId="7692"/>
    <cellStyle name="20% - Accent5 2 4 5" xfId="7693"/>
    <cellStyle name="20% - Accent5 2 5" xfId="7694"/>
    <cellStyle name="20% - Accent5 2 5 2" xfId="7695"/>
    <cellStyle name="20% - Accent5 2 5 2 2" xfId="7696"/>
    <cellStyle name="20% - Accent5 2 5 2 3" xfId="7697"/>
    <cellStyle name="20% - Accent5 2 5 3" xfId="7698"/>
    <cellStyle name="20% - Accent5 2 5 3 2" xfId="7699"/>
    <cellStyle name="20% - Accent5 2 5 3 3" xfId="7700"/>
    <cellStyle name="20% - Accent5 2 5 4" xfId="7701"/>
    <cellStyle name="20% - Accent5 2 5 5" xfId="7702"/>
    <cellStyle name="20% - Accent5 2 6" xfId="7703"/>
    <cellStyle name="20% - Accent5 2 6 2" xfId="7704"/>
    <cellStyle name="20% - Accent5 2 6 2 2" xfId="7705"/>
    <cellStyle name="20% - Accent5 2 6 2 3" xfId="7706"/>
    <cellStyle name="20% - Accent5 2 6 3" xfId="7707"/>
    <cellStyle name="20% - Accent5 2 6 3 2" xfId="7708"/>
    <cellStyle name="20% - Accent5 2 6 3 3" xfId="7709"/>
    <cellStyle name="20% - Accent5 2 6 4" xfId="7710"/>
    <cellStyle name="20% - Accent5 2 6 5" xfId="7711"/>
    <cellStyle name="20% - Accent5 2 7" xfId="7712"/>
    <cellStyle name="20% - Accent5 2 7 2" xfId="7713"/>
    <cellStyle name="20% - Accent5 2 7 3" xfId="7714"/>
    <cellStyle name="20% - Accent5 2 8" xfId="7715"/>
    <cellStyle name="20% - Accent5 2 8 2" xfId="7716"/>
    <cellStyle name="20% - Accent5 2 8 3" xfId="7717"/>
    <cellStyle name="20% - Accent5 2 9" xfId="7718"/>
    <cellStyle name="20% - Accent5 2_Volatility" xfId="7719"/>
    <cellStyle name="20% - Accent5 3" xfId="7720"/>
    <cellStyle name="20% - Accent5 3 10" xfId="7721"/>
    <cellStyle name="20% - Accent5 3 2" xfId="7722"/>
    <cellStyle name="20% - Accent5 3 2 2" xfId="7723"/>
    <cellStyle name="20% - Accent5 3 2 2 2" xfId="7724"/>
    <cellStyle name="20% - Accent5 3 2 2 2 2" xfId="7725"/>
    <cellStyle name="20% - Accent5 3 2 2 2 3" xfId="7726"/>
    <cellStyle name="20% - Accent5 3 2 2 3" xfId="7727"/>
    <cellStyle name="20% - Accent5 3 2 2 3 2" xfId="7728"/>
    <cellStyle name="20% - Accent5 3 2 2 3 3" xfId="7729"/>
    <cellStyle name="20% - Accent5 3 2 2 4" xfId="7730"/>
    <cellStyle name="20% - Accent5 3 2 2 5" xfId="7731"/>
    <cellStyle name="20% - Accent5 3 2 3" xfId="7732"/>
    <cellStyle name="20% - Accent5 3 2 3 2" xfId="7733"/>
    <cellStyle name="20% - Accent5 3 2 3 2 2" xfId="7734"/>
    <cellStyle name="20% - Accent5 3 2 3 2 3" xfId="7735"/>
    <cellStyle name="20% - Accent5 3 2 3 3" xfId="7736"/>
    <cellStyle name="20% - Accent5 3 2 3 3 2" xfId="7737"/>
    <cellStyle name="20% - Accent5 3 2 3 3 3" xfId="7738"/>
    <cellStyle name="20% - Accent5 3 2 3 4" xfId="7739"/>
    <cellStyle name="20% - Accent5 3 2 3 5" xfId="7740"/>
    <cellStyle name="20% - Accent5 3 2 4" xfId="7741"/>
    <cellStyle name="20% - Accent5 3 2 4 2" xfId="7742"/>
    <cellStyle name="20% - Accent5 3 2 4 2 2" xfId="7743"/>
    <cellStyle name="20% - Accent5 3 2 4 2 3" xfId="7744"/>
    <cellStyle name="20% - Accent5 3 2 4 3" xfId="7745"/>
    <cellStyle name="20% - Accent5 3 2 4 3 2" xfId="7746"/>
    <cellStyle name="20% - Accent5 3 2 4 3 3" xfId="7747"/>
    <cellStyle name="20% - Accent5 3 2 4 4" xfId="7748"/>
    <cellStyle name="20% - Accent5 3 2 4 5" xfId="7749"/>
    <cellStyle name="20% - Accent5 3 2 5" xfId="7750"/>
    <cellStyle name="20% - Accent5 3 2 5 2" xfId="7751"/>
    <cellStyle name="20% - Accent5 3 2 5 3" xfId="7752"/>
    <cellStyle name="20% - Accent5 3 2 6" xfId="7753"/>
    <cellStyle name="20% - Accent5 3 2 6 2" xfId="7754"/>
    <cellStyle name="20% - Accent5 3 2 6 3" xfId="7755"/>
    <cellStyle name="20% - Accent5 3 2 7" xfId="7756"/>
    <cellStyle name="20% - Accent5 3 2 8" xfId="7757"/>
    <cellStyle name="20% - Accent5 3 2_Volatility" xfId="7758"/>
    <cellStyle name="20% - Accent5 3 3" xfId="7759"/>
    <cellStyle name="20% - Accent5 3 3 2" xfId="7760"/>
    <cellStyle name="20% - Accent5 3 3 2 2" xfId="7761"/>
    <cellStyle name="20% - Accent5 3 3 2 2 2" xfId="7762"/>
    <cellStyle name="20% - Accent5 3 3 2 2 3" xfId="7763"/>
    <cellStyle name="20% - Accent5 3 3 2 3" xfId="7764"/>
    <cellStyle name="20% - Accent5 3 3 2 3 2" xfId="7765"/>
    <cellStyle name="20% - Accent5 3 3 2 3 3" xfId="7766"/>
    <cellStyle name="20% - Accent5 3 3 2 4" xfId="7767"/>
    <cellStyle name="20% - Accent5 3 3 2 5" xfId="7768"/>
    <cellStyle name="20% - Accent5 3 3 3" xfId="7769"/>
    <cellStyle name="20% - Accent5 3 3 3 2" xfId="7770"/>
    <cellStyle name="20% - Accent5 3 3 3 2 2" xfId="7771"/>
    <cellStyle name="20% - Accent5 3 3 3 2 3" xfId="7772"/>
    <cellStyle name="20% - Accent5 3 3 3 3" xfId="7773"/>
    <cellStyle name="20% - Accent5 3 3 3 3 2" xfId="7774"/>
    <cellStyle name="20% - Accent5 3 3 3 3 3" xfId="7775"/>
    <cellStyle name="20% - Accent5 3 3 3 4" xfId="7776"/>
    <cellStyle name="20% - Accent5 3 3 3 5" xfId="7777"/>
    <cellStyle name="20% - Accent5 3 3 4" xfId="7778"/>
    <cellStyle name="20% - Accent5 3 3 4 2" xfId="7779"/>
    <cellStyle name="20% - Accent5 3 3 4 3" xfId="7780"/>
    <cellStyle name="20% - Accent5 3 3 5" xfId="7781"/>
    <cellStyle name="20% - Accent5 3 3 5 2" xfId="7782"/>
    <cellStyle name="20% - Accent5 3 3 5 3" xfId="7783"/>
    <cellStyle name="20% - Accent5 3 3 6" xfId="7784"/>
    <cellStyle name="20% - Accent5 3 3 7" xfId="7785"/>
    <cellStyle name="20% - Accent5 3 3_Volatility" xfId="7786"/>
    <cellStyle name="20% - Accent5 3 4" xfId="7787"/>
    <cellStyle name="20% - Accent5 3 4 2" xfId="7788"/>
    <cellStyle name="20% - Accent5 3 4 2 2" xfId="7789"/>
    <cellStyle name="20% - Accent5 3 4 2 3" xfId="7790"/>
    <cellStyle name="20% - Accent5 3 4 3" xfId="7791"/>
    <cellStyle name="20% - Accent5 3 4 3 2" xfId="7792"/>
    <cellStyle name="20% - Accent5 3 4 3 3" xfId="7793"/>
    <cellStyle name="20% - Accent5 3 4 4" xfId="7794"/>
    <cellStyle name="20% - Accent5 3 4 5" xfId="7795"/>
    <cellStyle name="20% - Accent5 3 5" xfId="7796"/>
    <cellStyle name="20% - Accent5 3 5 2" xfId="7797"/>
    <cellStyle name="20% - Accent5 3 5 2 2" xfId="7798"/>
    <cellStyle name="20% - Accent5 3 5 2 3" xfId="7799"/>
    <cellStyle name="20% - Accent5 3 5 3" xfId="7800"/>
    <cellStyle name="20% - Accent5 3 5 3 2" xfId="7801"/>
    <cellStyle name="20% - Accent5 3 5 3 3" xfId="7802"/>
    <cellStyle name="20% - Accent5 3 5 4" xfId="7803"/>
    <cellStyle name="20% - Accent5 3 5 5" xfId="7804"/>
    <cellStyle name="20% - Accent5 3 6" xfId="7805"/>
    <cellStyle name="20% - Accent5 3 6 2" xfId="7806"/>
    <cellStyle name="20% - Accent5 3 6 2 2" xfId="7807"/>
    <cellStyle name="20% - Accent5 3 6 2 3" xfId="7808"/>
    <cellStyle name="20% - Accent5 3 6 3" xfId="7809"/>
    <cellStyle name="20% - Accent5 3 6 3 2" xfId="7810"/>
    <cellStyle name="20% - Accent5 3 6 3 3" xfId="7811"/>
    <cellStyle name="20% - Accent5 3 6 4" xfId="7812"/>
    <cellStyle name="20% - Accent5 3 6 5" xfId="7813"/>
    <cellStyle name="20% - Accent5 3 7" xfId="7814"/>
    <cellStyle name="20% - Accent5 3 7 2" xfId="7815"/>
    <cellStyle name="20% - Accent5 3 7 3" xfId="7816"/>
    <cellStyle name="20% - Accent5 3 8" xfId="7817"/>
    <cellStyle name="20% - Accent5 3 8 2" xfId="7818"/>
    <cellStyle name="20% - Accent5 3 8 3" xfId="7819"/>
    <cellStyle name="20% - Accent5 3 9" xfId="7820"/>
    <cellStyle name="20% - Accent5 3_Volatility" xfId="7821"/>
    <cellStyle name="20% - Accent5 4" xfId="7822"/>
    <cellStyle name="20% - Accent5 4 10" xfId="7823"/>
    <cellStyle name="20% - Accent5 4 2" xfId="7824"/>
    <cellStyle name="20% - Accent5 4 2 2" xfId="7825"/>
    <cellStyle name="20% - Accent5 4 2 2 2" xfId="7826"/>
    <cellStyle name="20% - Accent5 4 2 2 2 2" xfId="7827"/>
    <cellStyle name="20% - Accent5 4 2 2 2 3" xfId="7828"/>
    <cellStyle name="20% - Accent5 4 2 2 3" xfId="7829"/>
    <cellStyle name="20% - Accent5 4 2 2 3 2" xfId="7830"/>
    <cellStyle name="20% - Accent5 4 2 2 3 3" xfId="7831"/>
    <cellStyle name="20% - Accent5 4 2 2 4" xfId="7832"/>
    <cellStyle name="20% - Accent5 4 2 2 5" xfId="7833"/>
    <cellStyle name="20% - Accent5 4 2 3" xfId="7834"/>
    <cellStyle name="20% - Accent5 4 2 3 2" xfId="7835"/>
    <cellStyle name="20% - Accent5 4 2 3 2 2" xfId="7836"/>
    <cellStyle name="20% - Accent5 4 2 3 2 3" xfId="7837"/>
    <cellStyle name="20% - Accent5 4 2 3 3" xfId="7838"/>
    <cellStyle name="20% - Accent5 4 2 3 3 2" xfId="7839"/>
    <cellStyle name="20% - Accent5 4 2 3 3 3" xfId="7840"/>
    <cellStyle name="20% - Accent5 4 2 3 4" xfId="7841"/>
    <cellStyle name="20% - Accent5 4 2 3 5" xfId="7842"/>
    <cellStyle name="20% - Accent5 4 2 4" xfId="7843"/>
    <cellStyle name="20% - Accent5 4 2 4 2" xfId="7844"/>
    <cellStyle name="20% - Accent5 4 2 4 2 2" xfId="7845"/>
    <cellStyle name="20% - Accent5 4 2 4 2 3" xfId="7846"/>
    <cellStyle name="20% - Accent5 4 2 4 3" xfId="7847"/>
    <cellStyle name="20% - Accent5 4 2 4 3 2" xfId="7848"/>
    <cellStyle name="20% - Accent5 4 2 4 3 3" xfId="7849"/>
    <cellStyle name="20% - Accent5 4 2 4 4" xfId="7850"/>
    <cellStyle name="20% - Accent5 4 2 4 5" xfId="7851"/>
    <cellStyle name="20% - Accent5 4 2 5" xfId="7852"/>
    <cellStyle name="20% - Accent5 4 2 5 2" xfId="7853"/>
    <cellStyle name="20% - Accent5 4 2 5 3" xfId="7854"/>
    <cellStyle name="20% - Accent5 4 2 6" xfId="7855"/>
    <cellStyle name="20% - Accent5 4 2 6 2" xfId="7856"/>
    <cellStyle name="20% - Accent5 4 2 6 3" xfId="7857"/>
    <cellStyle name="20% - Accent5 4 2 7" xfId="7858"/>
    <cellStyle name="20% - Accent5 4 2 8" xfId="7859"/>
    <cellStyle name="20% - Accent5 4 2_Volatility" xfId="7860"/>
    <cellStyle name="20% - Accent5 4 3" xfId="7861"/>
    <cellStyle name="20% - Accent5 4 3 2" xfId="7862"/>
    <cellStyle name="20% - Accent5 4 3 2 2" xfId="7863"/>
    <cellStyle name="20% - Accent5 4 3 2 2 2" xfId="7864"/>
    <cellStyle name="20% - Accent5 4 3 2 2 3" xfId="7865"/>
    <cellStyle name="20% - Accent5 4 3 2 3" xfId="7866"/>
    <cellStyle name="20% - Accent5 4 3 2 3 2" xfId="7867"/>
    <cellStyle name="20% - Accent5 4 3 2 3 3" xfId="7868"/>
    <cellStyle name="20% - Accent5 4 3 2 4" xfId="7869"/>
    <cellStyle name="20% - Accent5 4 3 2 5" xfId="7870"/>
    <cellStyle name="20% - Accent5 4 3 3" xfId="7871"/>
    <cellStyle name="20% - Accent5 4 3 3 2" xfId="7872"/>
    <cellStyle name="20% - Accent5 4 3 3 2 2" xfId="7873"/>
    <cellStyle name="20% - Accent5 4 3 3 2 3" xfId="7874"/>
    <cellStyle name="20% - Accent5 4 3 3 3" xfId="7875"/>
    <cellStyle name="20% - Accent5 4 3 3 3 2" xfId="7876"/>
    <cellStyle name="20% - Accent5 4 3 3 3 3" xfId="7877"/>
    <cellStyle name="20% - Accent5 4 3 3 4" xfId="7878"/>
    <cellStyle name="20% - Accent5 4 3 3 5" xfId="7879"/>
    <cellStyle name="20% - Accent5 4 3 4" xfId="7880"/>
    <cellStyle name="20% - Accent5 4 3 4 2" xfId="7881"/>
    <cellStyle name="20% - Accent5 4 3 4 3" xfId="7882"/>
    <cellStyle name="20% - Accent5 4 3 5" xfId="7883"/>
    <cellStyle name="20% - Accent5 4 3 5 2" xfId="7884"/>
    <cellStyle name="20% - Accent5 4 3 5 3" xfId="7885"/>
    <cellStyle name="20% - Accent5 4 3 6" xfId="7886"/>
    <cellStyle name="20% - Accent5 4 3 7" xfId="7887"/>
    <cellStyle name="20% - Accent5 4 3_Volatility" xfId="7888"/>
    <cellStyle name="20% - Accent5 4 4" xfId="7889"/>
    <cellStyle name="20% - Accent5 4 4 2" xfId="7890"/>
    <cellStyle name="20% - Accent5 4 4 2 2" xfId="7891"/>
    <cellStyle name="20% - Accent5 4 4 2 3" xfId="7892"/>
    <cellStyle name="20% - Accent5 4 4 3" xfId="7893"/>
    <cellStyle name="20% - Accent5 4 4 3 2" xfId="7894"/>
    <cellStyle name="20% - Accent5 4 4 3 3" xfId="7895"/>
    <cellStyle name="20% - Accent5 4 4 4" xfId="7896"/>
    <cellStyle name="20% - Accent5 4 4 5" xfId="7897"/>
    <cellStyle name="20% - Accent5 4 5" xfId="7898"/>
    <cellStyle name="20% - Accent5 4 5 2" xfId="7899"/>
    <cellStyle name="20% - Accent5 4 5 2 2" xfId="7900"/>
    <cellStyle name="20% - Accent5 4 5 2 3" xfId="7901"/>
    <cellStyle name="20% - Accent5 4 5 3" xfId="7902"/>
    <cellStyle name="20% - Accent5 4 5 3 2" xfId="7903"/>
    <cellStyle name="20% - Accent5 4 5 3 3" xfId="7904"/>
    <cellStyle name="20% - Accent5 4 5 4" xfId="7905"/>
    <cellStyle name="20% - Accent5 4 5 5" xfId="7906"/>
    <cellStyle name="20% - Accent5 4 6" xfId="7907"/>
    <cellStyle name="20% - Accent5 4 6 2" xfId="7908"/>
    <cellStyle name="20% - Accent5 4 6 2 2" xfId="7909"/>
    <cellStyle name="20% - Accent5 4 6 2 3" xfId="7910"/>
    <cellStyle name="20% - Accent5 4 6 3" xfId="7911"/>
    <cellStyle name="20% - Accent5 4 6 3 2" xfId="7912"/>
    <cellStyle name="20% - Accent5 4 6 3 3" xfId="7913"/>
    <cellStyle name="20% - Accent5 4 6 4" xfId="7914"/>
    <cellStyle name="20% - Accent5 4 6 5" xfId="7915"/>
    <cellStyle name="20% - Accent5 4 7" xfId="7916"/>
    <cellStyle name="20% - Accent5 4 7 2" xfId="7917"/>
    <cellStyle name="20% - Accent5 4 7 3" xfId="7918"/>
    <cellStyle name="20% - Accent5 4 8" xfId="7919"/>
    <cellStyle name="20% - Accent5 4 8 2" xfId="7920"/>
    <cellStyle name="20% - Accent5 4 8 3" xfId="7921"/>
    <cellStyle name="20% - Accent5 4 9" xfId="7922"/>
    <cellStyle name="20% - Accent5 4_Volatility" xfId="7923"/>
    <cellStyle name="20% - Accent5 5" xfId="7924"/>
    <cellStyle name="20% - Accent5 5 10" xfId="7925"/>
    <cellStyle name="20% - Accent5 5 2" xfId="7926"/>
    <cellStyle name="20% - Accent5 5 2 2" xfId="7927"/>
    <cellStyle name="20% - Accent5 5 2 2 2" xfId="7928"/>
    <cellStyle name="20% - Accent5 5 2 2 2 2" xfId="7929"/>
    <cellStyle name="20% - Accent5 5 2 2 2 3" xfId="7930"/>
    <cellStyle name="20% - Accent5 5 2 2 3" xfId="7931"/>
    <cellStyle name="20% - Accent5 5 2 2 3 2" xfId="7932"/>
    <cellStyle name="20% - Accent5 5 2 2 3 3" xfId="7933"/>
    <cellStyle name="20% - Accent5 5 2 2 4" xfId="7934"/>
    <cellStyle name="20% - Accent5 5 2 2 5" xfId="7935"/>
    <cellStyle name="20% - Accent5 5 2 3" xfId="7936"/>
    <cellStyle name="20% - Accent5 5 2 3 2" xfId="7937"/>
    <cellStyle name="20% - Accent5 5 2 3 2 2" xfId="7938"/>
    <cellStyle name="20% - Accent5 5 2 3 2 3" xfId="7939"/>
    <cellStyle name="20% - Accent5 5 2 3 3" xfId="7940"/>
    <cellStyle name="20% - Accent5 5 2 3 3 2" xfId="7941"/>
    <cellStyle name="20% - Accent5 5 2 3 3 3" xfId="7942"/>
    <cellStyle name="20% - Accent5 5 2 3 4" xfId="7943"/>
    <cellStyle name="20% - Accent5 5 2 3 5" xfId="7944"/>
    <cellStyle name="20% - Accent5 5 2 4" xfId="7945"/>
    <cellStyle name="20% - Accent5 5 2 4 2" xfId="7946"/>
    <cellStyle name="20% - Accent5 5 2 4 2 2" xfId="7947"/>
    <cellStyle name="20% - Accent5 5 2 4 2 3" xfId="7948"/>
    <cellStyle name="20% - Accent5 5 2 4 3" xfId="7949"/>
    <cellStyle name="20% - Accent5 5 2 4 3 2" xfId="7950"/>
    <cellStyle name="20% - Accent5 5 2 4 3 3" xfId="7951"/>
    <cellStyle name="20% - Accent5 5 2 4 4" xfId="7952"/>
    <cellStyle name="20% - Accent5 5 2 4 5" xfId="7953"/>
    <cellStyle name="20% - Accent5 5 2 5" xfId="7954"/>
    <cellStyle name="20% - Accent5 5 2 5 2" xfId="7955"/>
    <cellStyle name="20% - Accent5 5 2 5 3" xfId="7956"/>
    <cellStyle name="20% - Accent5 5 2 6" xfId="7957"/>
    <cellStyle name="20% - Accent5 5 2 6 2" xfId="7958"/>
    <cellStyle name="20% - Accent5 5 2 6 3" xfId="7959"/>
    <cellStyle name="20% - Accent5 5 2 7" xfId="7960"/>
    <cellStyle name="20% - Accent5 5 2 8" xfId="7961"/>
    <cellStyle name="20% - Accent5 5 2_Volatility" xfId="7962"/>
    <cellStyle name="20% - Accent5 5 3" xfId="7963"/>
    <cellStyle name="20% - Accent5 5 3 2" xfId="7964"/>
    <cellStyle name="20% - Accent5 5 3 2 2" xfId="7965"/>
    <cellStyle name="20% - Accent5 5 3 2 2 2" xfId="7966"/>
    <cellStyle name="20% - Accent5 5 3 2 2 3" xfId="7967"/>
    <cellStyle name="20% - Accent5 5 3 2 3" xfId="7968"/>
    <cellStyle name="20% - Accent5 5 3 2 3 2" xfId="7969"/>
    <cellStyle name="20% - Accent5 5 3 2 3 3" xfId="7970"/>
    <cellStyle name="20% - Accent5 5 3 2 4" xfId="7971"/>
    <cellStyle name="20% - Accent5 5 3 2 5" xfId="7972"/>
    <cellStyle name="20% - Accent5 5 3 3" xfId="7973"/>
    <cellStyle name="20% - Accent5 5 3 3 2" xfId="7974"/>
    <cellStyle name="20% - Accent5 5 3 3 2 2" xfId="7975"/>
    <cellStyle name="20% - Accent5 5 3 3 2 3" xfId="7976"/>
    <cellStyle name="20% - Accent5 5 3 3 3" xfId="7977"/>
    <cellStyle name="20% - Accent5 5 3 3 3 2" xfId="7978"/>
    <cellStyle name="20% - Accent5 5 3 3 3 3" xfId="7979"/>
    <cellStyle name="20% - Accent5 5 3 3 4" xfId="7980"/>
    <cellStyle name="20% - Accent5 5 3 3 5" xfId="7981"/>
    <cellStyle name="20% - Accent5 5 3 4" xfId="7982"/>
    <cellStyle name="20% - Accent5 5 3 4 2" xfId="7983"/>
    <cellStyle name="20% - Accent5 5 3 4 3" xfId="7984"/>
    <cellStyle name="20% - Accent5 5 3 5" xfId="7985"/>
    <cellStyle name="20% - Accent5 5 3 5 2" xfId="7986"/>
    <cellStyle name="20% - Accent5 5 3 5 3" xfId="7987"/>
    <cellStyle name="20% - Accent5 5 3 6" xfId="7988"/>
    <cellStyle name="20% - Accent5 5 3 7" xfId="7989"/>
    <cellStyle name="20% - Accent5 5 3_Volatility" xfId="7990"/>
    <cellStyle name="20% - Accent5 5 4" xfId="7991"/>
    <cellStyle name="20% - Accent5 5 4 2" xfId="7992"/>
    <cellStyle name="20% - Accent5 5 4 2 2" xfId="7993"/>
    <cellStyle name="20% - Accent5 5 4 2 3" xfId="7994"/>
    <cellStyle name="20% - Accent5 5 4 3" xfId="7995"/>
    <cellStyle name="20% - Accent5 5 4 3 2" xfId="7996"/>
    <cellStyle name="20% - Accent5 5 4 3 3" xfId="7997"/>
    <cellStyle name="20% - Accent5 5 4 4" xfId="7998"/>
    <cellStyle name="20% - Accent5 5 4 5" xfId="7999"/>
    <cellStyle name="20% - Accent5 5 5" xfId="8000"/>
    <cellStyle name="20% - Accent5 5 5 2" xfId="8001"/>
    <cellStyle name="20% - Accent5 5 5 2 2" xfId="8002"/>
    <cellStyle name="20% - Accent5 5 5 2 3" xfId="8003"/>
    <cellStyle name="20% - Accent5 5 5 3" xfId="8004"/>
    <cellStyle name="20% - Accent5 5 5 3 2" xfId="8005"/>
    <cellStyle name="20% - Accent5 5 5 3 3" xfId="8006"/>
    <cellStyle name="20% - Accent5 5 5 4" xfId="8007"/>
    <cellStyle name="20% - Accent5 5 5 5" xfId="8008"/>
    <cellStyle name="20% - Accent5 5 6" xfId="8009"/>
    <cellStyle name="20% - Accent5 5 6 2" xfId="8010"/>
    <cellStyle name="20% - Accent5 5 6 2 2" xfId="8011"/>
    <cellStyle name="20% - Accent5 5 6 2 3" xfId="8012"/>
    <cellStyle name="20% - Accent5 5 6 3" xfId="8013"/>
    <cellStyle name="20% - Accent5 5 6 3 2" xfId="8014"/>
    <cellStyle name="20% - Accent5 5 6 3 3" xfId="8015"/>
    <cellStyle name="20% - Accent5 5 6 4" xfId="8016"/>
    <cellStyle name="20% - Accent5 5 6 5" xfId="8017"/>
    <cellStyle name="20% - Accent5 5 7" xfId="8018"/>
    <cellStyle name="20% - Accent5 5 7 2" xfId="8019"/>
    <cellStyle name="20% - Accent5 5 7 3" xfId="8020"/>
    <cellStyle name="20% - Accent5 5 8" xfId="8021"/>
    <cellStyle name="20% - Accent5 5 8 2" xfId="8022"/>
    <cellStyle name="20% - Accent5 5 8 3" xfId="8023"/>
    <cellStyle name="20% - Accent5 5 9" xfId="8024"/>
    <cellStyle name="20% - Accent5 5_Volatility" xfId="8025"/>
    <cellStyle name="20% - Accent5 6" xfId="8026"/>
    <cellStyle name="20% - Accent5 6 10" xfId="8027"/>
    <cellStyle name="20% - Accent5 6 2" xfId="8028"/>
    <cellStyle name="20% - Accent5 6 2 2" xfId="8029"/>
    <cellStyle name="20% - Accent5 6 2 2 2" xfId="8030"/>
    <cellStyle name="20% - Accent5 6 2 2 2 2" xfId="8031"/>
    <cellStyle name="20% - Accent5 6 2 2 2 3" xfId="8032"/>
    <cellStyle name="20% - Accent5 6 2 2 3" xfId="8033"/>
    <cellStyle name="20% - Accent5 6 2 2 3 2" xfId="8034"/>
    <cellStyle name="20% - Accent5 6 2 2 3 3" xfId="8035"/>
    <cellStyle name="20% - Accent5 6 2 2 4" xfId="8036"/>
    <cellStyle name="20% - Accent5 6 2 2 5" xfId="8037"/>
    <cellStyle name="20% - Accent5 6 2 3" xfId="8038"/>
    <cellStyle name="20% - Accent5 6 2 3 2" xfId="8039"/>
    <cellStyle name="20% - Accent5 6 2 3 2 2" xfId="8040"/>
    <cellStyle name="20% - Accent5 6 2 3 2 3" xfId="8041"/>
    <cellStyle name="20% - Accent5 6 2 3 3" xfId="8042"/>
    <cellStyle name="20% - Accent5 6 2 3 3 2" xfId="8043"/>
    <cellStyle name="20% - Accent5 6 2 3 3 3" xfId="8044"/>
    <cellStyle name="20% - Accent5 6 2 3 4" xfId="8045"/>
    <cellStyle name="20% - Accent5 6 2 3 5" xfId="8046"/>
    <cellStyle name="20% - Accent5 6 2 4" xfId="8047"/>
    <cellStyle name="20% - Accent5 6 2 4 2" xfId="8048"/>
    <cellStyle name="20% - Accent5 6 2 4 2 2" xfId="8049"/>
    <cellStyle name="20% - Accent5 6 2 4 2 3" xfId="8050"/>
    <cellStyle name="20% - Accent5 6 2 4 3" xfId="8051"/>
    <cellStyle name="20% - Accent5 6 2 4 3 2" xfId="8052"/>
    <cellStyle name="20% - Accent5 6 2 4 3 3" xfId="8053"/>
    <cellStyle name="20% - Accent5 6 2 4 4" xfId="8054"/>
    <cellStyle name="20% - Accent5 6 2 4 5" xfId="8055"/>
    <cellStyle name="20% - Accent5 6 2 5" xfId="8056"/>
    <cellStyle name="20% - Accent5 6 2 5 2" xfId="8057"/>
    <cellStyle name="20% - Accent5 6 2 5 3" xfId="8058"/>
    <cellStyle name="20% - Accent5 6 2 6" xfId="8059"/>
    <cellStyle name="20% - Accent5 6 2 6 2" xfId="8060"/>
    <cellStyle name="20% - Accent5 6 2 6 3" xfId="8061"/>
    <cellStyle name="20% - Accent5 6 2 7" xfId="8062"/>
    <cellStyle name="20% - Accent5 6 2 8" xfId="8063"/>
    <cellStyle name="20% - Accent5 6 2_Volatility" xfId="8064"/>
    <cellStyle name="20% - Accent5 6 3" xfId="8065"/>
    <cellStyle name="20% - Accent5 6 3 2" xfId="8066"/>
    <cellStyle name="20% - Accent5 6 3 2 2" xfId="8067"/>
    <cellStyle name="20% - Accent5 6 3 2 2 2" xfId="8068"/>
    <cellStyle name="20% - Accent5 6 3 2 2 3" xfId="8069"/>
    <cellStyle name="20% - Accent5 6 3 2 3" xfId="8070"/>
    <cellStyle name="20% - Accent5 6 3 2 3 2" xfId="8071"/>
    <cellStyle name="20% - Accent5 6 3 2 3 3" xfId="8072"/>
    <cellStyle name="20% - Accent5 6 3 2 4" xfId="8073"/>
    <cellStyle name="20% - Accent5 6 3 2 5" xfId="8074"/>
    <cellStyle name="20% - Accent5 6 3 3" xfId="8075"/>
    <cellStyle name="20% - Accent5 6 3 3 2" xfId="8076"/>
    <cellStyle name="20% - Accent5 6 3 3 2 2" xfId="8077"/>
    <cellStyle name="20% - Accent5 6 3 3 2 3" xfId="8078"/>
    <cellStyle name="20% - Accent5 6 3 3 3" xfId="8079"/>
    <cellStyle name="20% - Accent5 6 3 3 3 2" xfId="8080"/>
    <cellStyle name="20% - Accent5 6 3 3 3 3" xfId="8081"/>
    <cellStyle name="20% - Accent5 6 3 3 4" xfId="8082"/>
    <cellStyle name="20% - Accent5 6 3 3 5" xfId="8083"/>
    <cellStyle name="20% - Accent5 6 3 4" xfId="8084"/>
    <cellStyle name="20% - Accent5 6 3 4 2" xfId="8085"/>
    <cellStyle name="20% - Accent5 6 3 4 3" xfId="8086"/>
    <cellStyle name="20% - Accent5 6 3 5" xfId="8087"/>
    <cellStyle name="20% - Accent5 6 3 5 2" xfId="8088"/>
    <cellStyle name="20% - Accent5 6 3 5 3" xfId="8089"/>
    <cellStyle name="20% - Accent5 6 3 6" xfId="8090"/>
    <cellStyle name="20% - Accent5 6 3 7" xfId="8091"/>
    <cellStyle name="20% - Accent5 6 3_Volatility" xfId="8092"/>
    <cellStyle name="20% - Accent5 6 4" xfId="8093"/>
    <cellStyle name="20% - Accent5 6 4 2" xfId="8094"/>
    <cellStyle name="20% - Accent5 6 4 2 2" xfId="8095"/>
    <cellStyle name="20% - Accent5 6 4 2 3" xfId="8096"/>
    <cellStyle name="20% - Accent5 6 4 3" xfId="8097"/>
    <cellStyle name="20% - Accent5 6 4 3 2" xfId="8098"/>
    <cellStyle name="20% - Accent5 6 4 3 3" xfId="8099"/>
    <cellStyle name="20% - Accent5 6 4 4" xfId="8100"/>
    <cellStyle name="20% - Accent5 6 4 5" xfId="8101"/>
    <cellStyle name="20% - Accent5 6 5" xfId="8102"/>
    <cellStyle name="20% - Accent5 6 5 2" xfId="8103"/>
    <cellStyle name="20% - Accent5 6 5 2 2" xfId="8104"/>
    <cellStyle name="20% - Accent5 6 5 2 3" xfId="8105"/>
    <cellStyle name="20% - Accent5 6 5 3" xfId="8106"/>
    <cellStyle name="20% - Accent5 6 5 3 2" xfId="8107"/>
    <cellStyle name="20% - Accent5 6 5 3 3" xfId="8108"/>
    <cellStyle name="20% - Accent5 6 5 4" xfId="8109"/>
    <cellStyle name="20% - Accent5 6 5 5" xfId="8110"/>
    <cellStyle name="20% - Accent5 6 6" xfId="8111"/>
    <cellStyle name="20% - Accent5 6 6 2" xfId="8112"/>
    <cellStyle name="20% - Accent5 6 6 2 2" xfId="8113"/>
    <cellStyle name="20% - Accent5 6 6 2 3" xfId="8114"/>
    <cellStyle name="20% - Accent5 6 6 3" xfId="8115"/>
    <cellStyle name="20% - Accent5 6 6 3 2" xfId="8116"/>
    <cellStyle name="20% - Accent5 6 6 3 3" xfId="8117"/>
    <cellStyle name="20% - Accent5 6 6 4" xfId="8118"/>
    <cellStyle name="20% - Accent5 6 6 5" xfId="8119"/>
    <cellStyle name="20% - Accent5 6 7" xfId="8120"/>
    <cellStyle name="20% - Accent5 6 7 2" xfId="8121"/>
    <cellStyle name="20% - Accent5 6 7 3" xfId="8122"/>
    <cellStyle name="20% - Accent5 6 8" xfId="8123"/>
    <cellStyle name="20% - Accent5 6 8 2" xfId="8124"/>
    <cellStyle name="20% - Accent5 6 8 3" xfId="8125"/>
    <cellStyle name="20% - Accent5 6 9" xfId="8126"/>
    <cellStyle name="20% - Accent5 6_Volatility" xfId="8127"/>
    <cellStyle name="20% - Accent5 7" xfId="8128"/>
    <cellStyle name="20% - Accent5 7 10" xfId="8129"/>
    <cellStyle name="20% - Accent5 7 2" xfId="8130"/>
    <cellStyle name="20% - Accent5 7 2 2" xfId="8131"/>
    <cellStyle name="20% - Accent5 7 2 2 2" xfId="8132"/>
    <cellStyle name="20% - Accent5 7 2 2 2 2" xfId="8133"/>
    <cellStyle name="20% - Accent5 7 2 2 2 3" xfId="8134"/>
    <cellStyle name="20% - Accent5 7 2 2 3" xfId="8135"/>
    <cellStyle name="20% - Accent5 7 2 2 3 2" xfId="8136"/>
    <cellStyle name="20% - Accent5 7 2 2 3 3" xfId="8137"/>
    <cellStyle name="20% - Accent5 7 2 2 4" xfId="8138"/>
    <cellStyle name="20% - Accent5 7 2 2 5" xfId="8139"/>
    <cellStyle name="20% - Accent5 7 2 3" xfId="8140"/>
    <cellStyle name="20% - Accent5 7 2 3 2" xfId="8141"/>
    <cellStyle name="20% - Accent5 7 2 3 2 2" xfId="8142"/>
    <cellStyle name="20% - Accent5 7 2 3 2 3" xfId="8143"/>
    <cellStyle name="20% - Accent5 7 2 3 3" xfId="8144"/>
    <cellStyle name="20% - Accent5 7 2 3 3 2" xfId="8145"/>
    <cellStyle name="20% - Accent5 7 2 3 3 3" xfId="8146"/>
    <cellStyle name="20% - Accent5 7 2 3 4" xfId="8147"/>
    <cellStyle name="20% - Accent5 7 2 3 5" xfId="8148"/>
    <cellStyle name="20% - Accent5 7 2 4" xfId="8149"/>
    <cellStyle name="20% - Accent5 7 2 4 2" xfId="8150"/>
    <cellStyle name="20% - Accent5 7 2 4 2 2" xfId="8151"/>
    <cellStyle name="20% - Accent5 7 2 4 2 3" xfId="8152"/>
    <cellStyle name="20% - Accent5 7 2 4 3" xfId="8153"/>
    <cellStyle name="20% - Accent5 7 2 4 3 2" xfId="8154"/>
    <cellStyle name="20% - Accent5 7 2 4 3 3" xfId="8155"/>
    <cellStyle name="20% - Accent5 7 2 4 4" xfId="8156"/>
    <cellStyle name="20% - Accent5 7 2 4 5" xfId="8157"/>
    <cellStyle name="20% - Accent5 7 2 5" xfId="8158"/>
    <cellStyle name="20% - Accent5 7 2 5 2" xfId="8159"/>
    <cellStyle name="20% - Accent5 7 2 5 3" xfId="8160"/>
    <cellStyle name="20% - Accent5 7 2 6" xfId="8161"/>
    <cellStyle name="20% - Accent5 7 2 6 2" xfId="8162"/>
    <cellStyle name="20% - Accent5 7 2 6 3" xfId="8163"/>
    <cellStyle name="20% - Accent5 7 2 7" xfId="8164"/>
    <cellStyle name="20% - Accent5 7 2 8" xfId="8165"/>
    <cellStyle name="20% - Accent5 7 2_Volatility" xfId="8166"/>
    <cellStyle name="20% - Accent5 7 3" xfId="8167"/>
    <cellStyle name="20% - Accent5 7 3 2" xfId="8168"/>
    <cellStyle name="20% - Accent5 7 3 2 2" xfId="8169"/>
    <cellStyle name="20% - Accent5 7 3 2 2 2" xfId="8170"/>
    <cellStyle name="20% - Accent5 7 3 2 2 3" xfId="8171"/>
    <cellStyle name="20% - Accent5 7 3 2 3" xfId="8172"/>
    <cellStyle name="20% - Accent5 7 3 2 3 2" xfId="8173"/>
    <cellStyle name="20% - Accent5 7 3 2 3 3" xfId="8174"/>
    <cellStyle name="20% - Accent5 7 3 2 4" xfId="8175"/>
    <cellStyle name="20% - Accent5 7 3 2 5" xfId="8176"/>
    <cellStyle name="20% - Accent5 7 3 3" xfId="8177"/>
    <cellStyle name="20% - Accent5 7 3 3 2" xfId="8178"/>
    <cellStyle name="20% - Accent5 7 3 3 2 2" xfId="8179"/>
    <cellStyle name="20% - Accent5 7 3 3 2 3" xfId="8180"/>
    <cellStyle name="20% - Accent5 7 3 3 3" xfId="8181"/>
    <cellStyle name="20% - Accent5 7 3 3 3 2" xfId="8182"/>
    <cellStyle name="20% - Accent5 7 3 3 3 3" xfId="8183"/>
    <cellStyle name="20% - Accent5 7 3 3 4" xfId="8184"/>
    <cellStyle name="20% - Accent5 7 3 3 5" xfId="8185"/>
    <cellStyle name="20% - Accent5 7 3 4" xfId="8186"/>
    <cellStyle name="20% - Accent5 7 3 4 2" xfId="8187"/>
    <cellStyle name="20% - Accent5 7 3 4 3" xfId="8188"/>
    <cellStyle name="20% - Accent5 7 3 5" xfId="8189"/>
    <cellStyle name="20% - Accent5 7 3 5 2" xfId="8190"/>
    <cellStyle name="20% - Accent5 7 3 5 3" xfId="8191"/>
    <cellStyle name="20% - Accent5 7 3 6" xfId="8192"/>
    <cellStyle name="20% - Accent5 7 3 7" xfId="8193"/>
    <cellStyle name="20% - Accent5 7 3_Volatility" xfId="8194"/>
    <cellStyle name="20% - Accent5 7 4" xfId="8195"/>
    <cellStyle name="20% - Accent5 7 4 2" xfId="8196"/>
    <cellStyle name="20% - Accent5 7 4 2 2" xfId="8197"/>
    <cellStyle name="20% - Accent5 7 4 2 3" xfId="8198"/>
    <cellStyle name="20% - Accent5 7 4 3" xfId="8199"/>
    <cellStyle name="20% - Accent5 7 4 3 2" xfId="8200"/>
    <cellStyle name="20% - Accent5 7 4 3 3" xfId="8201"/>
    <cellStyle name="20% - Accent5 7 4 4" xfId="8202"/>
    <cellStyle name="20% - Accent5 7 4 5" xfId="8203"/>
    <cellStyle name="20% - Accent5 7 5" xfId="8204"/>
    <cellStyle name="20% - Accent5 7 5 2" xfId="8205"/>
    <cellStyle name="20% - Accent5 7 5 2 2" xfId="8206"/>
    <cellStyle name="20% - Accent5 7 5 2 3" xfId="8207"/>
    <cellStyle name="20% - Accent5 7 5 3" xfId="8208"/>
    <cellStyle name="20% - Accent5 7 5 3 2" xfId="8209"/>
    <cellStyle name="20% - Accent5 7 5 3 3" xfId="8210"/>
    <cellStyle name="20% - Accent5 7 5 4" xfId="8211"/>
    <cellStyle name="20% - Accent5 7 5 5" xfId="8212"/>
    <cellStyle name="20% - Accent5 7 6" xfId="8213"/>
    <cellStyle name="20% - Accent5 7 6 2" xfId="8214"/>
    <cellStyle name="20% - Accent5 7 6 2 2" xfId="8215"/>
    <cellStyle name="20% - Accent5 7 6 2 3" xfId="8216"/>
    <cellStyle name="20% - Accent5 7 6 3" xfId="8217"/>
    <cellStyle name="20% - Accent5 7 6 3 2" xfId="8218"/>
    <cellStyle name="20% - Accent5 7 6 3 3" xfId="8219"/>
    <cellStyle name="20% - Accent5 7 6 4" xfId="8220"/>
    <cellStyle name="20% - Accent5 7 6 5" xfId="8221"/>
    <cellStyle name="20% - Accent5 7 7" xfId="8222"/>
    <cellStyle name="20% - Accent5 7 7 2" xfId="8223"/>
    <cellStyle name="20% - Accent5 7 7 3" xfId="8224"/>
    <cellStyle name="20% - Accent5 7 8" xfId="8225"/>
    <cellStyle name="20% - Accent5 7 8 2" xfId="8226"/>
    <cellStyle name="20% - Accent5 7 8 3" xfId="8227"/>
    <cellStyle name="20% - Accent5 7 9" xfId="8228"/>
    <cellStyle name="20% - Accent5 7_Volatility" xfId="8229"/>
    <cellStyle name="20% - Accent5 8" xfId="8230"/>
    <cellStyle name="20% - Accent5 8 10" xfId="8231"/>
    <cellStyle name="20% - Accent5 8 2" xfId="8232"/>
    <cellStyle name="20% - Accent5 8 2 2" xfId="8233"/>
    <cellStyle name="20% - Accent5 8 2 2 2" xfId="8234"/>
    <cellStyle name="20% - Accent5 8 2 2 2 2" xfId="8235"/>
    <cellStyle name="20% - Accent5 8 2 2 2 3" xfId="8236"/>
    <cellStyle name="20% - Accent5 8 2 2 3" xfId="8237"/>
    <cellStyle name="20% - Accent5 8 2 2 3 2" xfId="8238"/>
    <cellStyle name="20% - Accent5 8 2 2 3 3" xfId="8239"/>
    <cellStyle name="20% - Accent5 8 2 2 4" xfId="8240"/>
    <cellStyle name="20% - Accent5 8 2 2 5" xfId="8241"/>
    <cellStyle name="20% - Accent5 8 2 3" xfId="8242"/>
    <cellStyle name="20% - Accent5 8 2 3 2" xfId="8243"/>
    <cellStyle name="20% - Accent5 8 2 3 2 2" xfId="8244"/>
    <cellStyle name="20% - Accent5 8 2 3 2 3" xfId="8245"/>
    <cellStyle name="20% - Accent5 8 2 3 3" xfId="8246"/>
    <cellStyle name="20% - Accent5 8 2 3 3 2" xfId="8247"/>
    <cellStyle name="20% - Accent5 8 2 3 3 3" xfId="8248"/>
    <cellStyle name="20% - Accent5 8 2 3 4" xfId="8249"/>
    <cellStyle name="20% - Accent5 8 2 3 5" xfId="8250"/>
    <cellStyle name="20% - Accent5 8 2 4" xfId="8251"/>
    <cellStyle name="20% - Accent5 8 2 4 2" xfId="8252"/>
    <cellStyle name="20% - Accent5 8 2 4 2 2" xfId="8253"/>
    <cellStyle name="20% - Accent5 8 2 4 2 3" xfId="8254"/>
    <cellStyle name="20% - Accent5 8 2 4 3" xfId="8255"/>
    <cellStyle name="20% - Accent5 8 2 4 3 2" xfId="8256"/>
    <cellStyle name="20% - Accent5 8 2 4 3 3" xfId="8257"/>
    <cellStyle name="20% - Accent5 8 2 4 4" xfId="8258"/>
    <cellStyle name="20% - Accent5 8 2 4 5" xfId="8259"/>
    <cellStyle name="20% - Accent5 8 2 5" xfId="8260"/>
    <cellStyle name="20% - Accent5 8 2 5 2" xfId="8261"/>
    <cellStyle name="20% - Accent5 8 2 5 3" xfId="8262"/>
    <cellStyle name="20% - Accent5 8 2 6" xfId="8263"/>
    <cellStyle name="20% - Accent5 8 2 6 2" xfId="8264"/>
    <cellStyle name="20% - Accent5 8 2 6 3" xfId="8265"/>
    <cellStyle name="20% - Accent5 8 2 7" xfId="8266"/>
    <cellStyle name="20% - Accent5 8 2 8" xfId="8267"/>
    <cellStyle name="20% - Accent5 8 2_Volatility" xfId="8268"/>
    <cellStyle name="20% - Accent5 8 3" xfId="8269"/>
    <cellStyle name="20% - Accent5 8 3 2" xfId="8270"/>
    <cellStyle name="20% - Accent5 8 3 2 2" xfId="8271"/>
    <cellStyle name="20% - Accent5 8 3 2 2 2" xfId="8272"/>
    <cellStyle name="20% - Accent5 8 3 2 2 3" xfId="8273"/>
    <cellStyle name="20% - Accent5 8 3 2 3" xfId="8274"/>
    <cellStyle name="20% - Accent5 8 3 2 3 2" xfId="8275"/>
    <cellStyle name="20% - Accent5 8 3 2 3 3" xfId="8276"/>
    <cellStyle name="20% - Accent5 8 3 2 4" xfId="8277"/>
    <cellStyle name="20% - Accent5 8 3 2 5" xfId="8278"/>
    <cellStyle name="20% - Accent5 8 3 3" xfId="8279"/>
    <cellStyle name="20% - Accent5 8 3 3 2" xfId="8280"/>
    <cellStyle name="20% - Accent5 8 3 3 2 2" xfId="8281"/>
    <cellStyle name="20% - Accent5 8 3 3 2 3" xfId="8282"/>
    <cellStyle name="20% - Accent5 8 3 3 3" xfId="8283"/>
    <cellStyle name="20% - Accent5 8 3 3 3 2" xfId="8284"/>
    <cellStyle name="20% - Accent5 8 3 3 3 3" xfId="8285"/>
    <cellStyle name="20% - Accent5 8 3 3 4" xfId="8286"/>
    <cellStyle name="20% - Accent5 8 3 3 5" xfId="8287"/>
    <cellStyle name="20% - Accent5 8 3 4" xfId="8288"/>
    <cellStyle name="20% - Accent5 8 3 4 2" xfId="8289"/>
    <cellStyle name="20% - Accent5 8 3 4 3" xfId="8290"/>
    <cellStyle name="20% - Accent5 8 3 5" xfId="8291"/>
    <cellStyle name="20% - Accent5 8 3 5 2" xfId="8292"/>
    <cellStyle name="20% - Accent5 8 3 5 3" xfId="8293"/>
    <cellStyle name="20% - Accent5 8 3 6" xfId="8294"/>
    <cellStyle name="20% - Accent5 8 3 7" xfId="8295"/>
    <cellStyle name="20% - Accent5 8 3_Volatility" xfId="8296"/>
    <cellStyle name="20% - Accent5 8 4" xfId="8297"/>
    <cellStyle name="20% - Accent5 8 4 2" xfId="8298"/>
    <cellStyle name="20% - Accent5 8 4 2 2" xfId="8299"/>
    <cellStyle name="20% - Accent5 8 4 2 3" xfId="8300"/>
    <cellStyle name="20% - Accent5 8 4 3" xfId="8301"/>
    <cellStyle name="20% - Accent5 8 4 3 2" xfId="8302"/>
    <cellStyle name="20% - Accent5 8 4 3 3" xfId="8303"/>
    <cellStyle name="20% - Accent5 8 4 4" xfId="8304"/>
    <cellStyle name="20% - Accent5 8 4 5" xfId="8305"/>
    <cellStyle name="20% - Accent5 8 5" xfId="8306"/>
    <cellStyle name="20% - Accent5 8 5 2" xfId="8307"/>
    <cellStyle name="20% - Accent5 8 5 2 2" xfId="8308"/>
    <cellStyle name="20% - Accent5 8 5 2 3" xfId="8309"/>
    <cellStyle name="20% - Accent5 8 5 3" xfId="8310"/>
    <cellStyle name="20% - Accent5 8 5 3 2" xfId="8311"/>
    <cellStyle name="20% - Accent5 8 5 3 3" xfId="8312"/>
    <cellStyle name="20% - Accent5 8 5 4" xfId="8313"/>
    <cellStyle name="20% - Accent5 8 5 5" xfId="8314"/>
    <cellStyle name="20% - Accent5 8 6" xfId="8315"/>
    <cellStyle name="20% - Accent5 8 6 2" xfId="8316"/>
    <cellStyle name="20% - Accent5 8 6 2 2" xfId="8317"/>
    <cellStyle name="20% - Accent5 8 6 2 3" xfId="8318"/>
    <cellStyle name="20% - Accent5 8 6 3" xfId="8319"/>
    <cellStyle name="20% - Accent5 8 6 3 2" xfId="8320"/>
    <cellStyle name="20% - Accent5 8 6 3 3" xfId="8321"/>
    <cellStyle name="20% - Accent5 8 6 4" xfId="8322"/>
    <cellStyle name="20% - Accent5 8 6 5" xfId="8323"/>
    <cellStyle name="20% - Accent5 8 7" xfId="8324"/>
    <cellStyle name="20% - Accent5 8 7 2" xfId="8325"/>
    <cellStyle name="20% - Accent5 8 7 3" xfId="8326"/>
    <cellStyle name="20% - Accent5 8 8" xfId="8327"/>
    <cellStyle name="20% - Accent5 8 8 2" xfId="8328"/>
    <cellStyle name="20% - Accent5 8 8 3" xfId="8329"/>
    <cellStyle name="20% - Accent5 8 9" xfId="8330"/>
    <cellStyle name="20% - Accent5 8_Volatility" xfId="8331"/>
    <cellStyle name="20% - Accent5 9" xfId="8332"/>
    <cellStyle name="20% - Accent5 9 10" xfId="8333"/>
    <cellStyle name="20% - Accent5 9 2" xfId="8334"/>
    <cellStyle name="20% - Accent5 9 2 2" xfId="8335"/>
    <cellStyle name="20% - Accent5 9 2 2 2" xfId="8336"/>
    <cellStyle name="20% - Accent5 9 2 2 2 2" xfId="8337"/>
    <cellStyle name="20% - Accent5 9 2 2 2 3" xfId="8338"/>
    <cellStyle name="20% - Accent5 9 2 2 3" xfId="8339"/>
    <cellStyle name="20% - Accent5 9 2 2 3 2" xfId="8340"/>
    <cellStyle name="20% - Accent5 9 2 2 3 3" xfId="8341"/>
    <cellStyle name="20% - Accent5 9 2 2 4" xfId="8342"/>
    <cellStyle name="20% - Accent5 9 2 2 5" xfId="8343"/>
    <cellStyle name="20% - Accent5 9 2 3" xfId="8344"/>
    <cellStyle name="20% - Accent5 9 2 3 2" xfId="8345"/>
    <cellStyle name="20% - Accent5 9 2 3 2 2" xfId="8346"/>
    <cellStyle name="20% - Accent5 9 2 3 2 3" xfId="8347"/>
    <cellStyle name="20% - Accent5 9 2 3 3" xfId="8348"/>
    <cellStyle name="20% - Accent5 9 2 3 3 2" xfId="8349"/>
    <cellStyle name="20% - Accent5 9 2 3 3 3" xfId="8350"/>
    <cellStyle name="20% - Accent5 9 2 3 4" xfId="8351"/>
    <cellStyle name="20% - Accent5 9 2 3 5" xfId="8352"/>
    <cellStyle name="20% - Accent5 9 2 4" xfId="8353"/>
    <cellStyle name="20% - Accent5 9 2 4 2" xfId="8354"/>
    <cellStyle name="20% - Accent5 9 2 4 2 2" xfId="8355"/>
    <cellStyle name="20% - Accent5 9 2 4 2 3" xfId="8356"/>
    <cellStyle name="20% - Accent5 9 2 4 3" xfId="8357"/>
    <cellStyle name="20% - Accent5 9 2 4 3 2" xfId="8358"/>
    <cellStyle name="20% - Accent5 9 2 4 3 3" xfId="8359"/>
    <cellStyle name="20% - Accent5 9 2 4 4" xfId="8360"/>
    <cellStyle name="20% - Accent5 9 2 4 5" xfId="8361"/>
    <cellStyle name="20% - Accent5 9 2 5" xfId="8362"/>
    <cellStyle name="20% - Accent5 9 2 5 2" xfId="8363"/>
    <cellStyle name="20% - Accent5 9 2 5 3" xfId="8364"/>
    <cellStyle name="20% - Accent5 9 2 6" xfId="8365"/>
    <cellStyle name="20% - Accent5 9 2 6 2" xfId="8366"/>
    <cellStyle name="20% - Accent5 9 2 6 3" xfId="8367"/>
    <cellStyle name="20% - Accent5 9 2 7" xfId="8368"/>
    <cellStyle name="20% - Accent5 9 2 8" xfId="8369"/>
    <cellStyle name="20% - Accent5 9 2_Volatility" xfId="8370"/>
    <cellStyle name="20% - Accent5 9 3" xfId="8371"/>
    <cellStyle name="20% - Accent5 9 3 2" xfId="8372"/>
    <cellStyle name="20% - Accent5 9 3 2 2" xfId="8373"/>
    <cellStyle name="20% - Accent5 9 3 2 2 2" xfId="8374"/>
    <cellStyle name="20% - Accent5 9 3 2 2 3" xfId="8375"/>
    <cellStyle name="20% - Accent5 9 3 2 3" xfId="8376"/>
    <cellStyle name="20% - Accent5 9 3 2 3 2" xfId="8377"/>
    <cellStyle name="20% - Accent5 9 3 2 3 3" xfId="8378"/>
    <cellStyle name="20% - Accent5 9 3 2 4" xfId="8379"/>
    <cellStyle name="20% - Accent5 9 3 2 5" xfId="8380"/>
    <cellStyle name="20% - Accent5 9 3 3" xfId="8381"/>
    <cellStyle name="20% - Accent5 9 3 3 2" xfId="8382"/>
    <cellStyle name="20% - Accent5 9 3 3 2 2" xfId="8383"/>
    <cellStyle name="20% - Accent5 9 3 3 2 3" xfId="8384"/>
    <cellStyle name="20% - Accent5 9 3 3 3" xfId="8385"/>
    <cellStyle name="20% - Accent5 9 3 3 3 2" xfId="8386"/>
    <cellStyle name="20% - Accent5 9 3 3 3 3" xfId="8387"/>
    <cellStyle name="20% - Accent5 9 3 3 4" xfId="8388"/>
    <cellStyle name="20% - Accent5 9 3 3 5" xfId="8389"/>
    <cellStyle name="20% - Accent5 9 3 4" xfId="8390"/>
    <cellStyle name="20% - Accent5 9 3 4 2" xfId="8391"/>
    <cellStyle name="20% - Accent5 9 3 4 3" xfId="8392"/>
    <cellStyle name="20% - Accent5 9 3 5" xfId="8393"/>
    <cellStyle name="20% - Accent5 9 3 5 2" xfId="8394"/>
    <cellStyle name="20% - Accent5 9 3 5 3" xfId="8395"/>
    <cellStyle name="20% - Accent5 9 3 6" xfId="8396"/>
    <cellStyle name="20% - Accent5 9 3 7" xfId="8397"/>
    <cellStyle name="20% - Accent5 9 3_Volatility" xfId="8398"/>
    <cellStyle name="20% - Accent5 9 4" xfId="8399"/>
    <cellStyle name="20% - Accent5 9 4 2" xfId="8400"/>
    <cellStyle name="20% - Accent5 9 4 2 2" xfId="8401"/>
    <cellStyle name="20% - Accent5 9 4 2 3" xfId="8402"/>
    <cellStyle name="20% - Accent5 9 4 3" xfId="8403"/>
    <cellStyle name="20% - Accent5 9 4 3 2" xfId="8404"/>
    <cellStyle name="20% - Accent5 9 4 3 3" xfId="8405"/>
    <cellStyle name="20% - Accent5 9 4 4" xfId="8406"/>
    <cellStyle name="20% - Accent5 9 4 5" xfId="8407"/>
    <cellStyle name="20% - Accent5 9 5" xfId="8408"/>
    <cellStyle name="20% - Accent5 9 5 2" xfId="8409"/>
    <cellStyle name="20% - Accent5 9 5 2 2" xfId="8410"/>
    <cellStyle name="20% - Accent5 9 5 2 3" xfId="8411"/>
    <cellStyle name="20% - Accent5 9 5 3" xfId="8412"/>
    <cellStyle name="20% - Accent5 9 5 3 2" xfId="8413"/>
    <cellStyle name="20% - Accent5 9 5 3 3" xfId="8414"/>
    <cellStyle name="20% - Accent5 9 5 4" xfId="8415"/>
    <cellStyle name="20% - Accent5 9 5 5" xfId="8416"/>
    <cellStyle name="20% - Accent5 9 6" xfId="8417"/>
    <cellStyle name="20% - Accent5 9 6 2" xfId="8418"/>
    <cellStyle name="20% - Accent5 9 6 2 2" xfId="8419"/>
    <cellStyle name="20% - Accent5 9 6 2 3" xfId="8420"/>
    <cellStyle name="20% - Accent5 9 6 3" xfId="8421"/>
    <cellStyle name="20% - Accent5 9 6 3 2" xfId="8422"/>
    <cellStyle name="20% - Accent5 9 6 3 3" xfId="8423"/>
    <cellStyle name="20% - Accent5 9 6 4" xfId="8424"/>
    <cellStyle name="20% - Accent5 9 6 5" xfId="8425"/>
    <cellStyle name="20% - Accent5 9 7" xfId="8426"/>
    <cellStyle name="20% - Accent5 9 7 2" xfId="8427"/>
    <cellStyle name="20% - Accent5 9 7 3" xfId="8428"/>
    <cellStyle name="20% - Accent5 9 8" xfId="8429"/>
    <cellStyle name="20% - Accent5 9 8 2" xfId="8430"/>
    <cellStyle name="20% - Accent5 9 8 3" xfId="8431"/>
    <cellStyle name="20% - Accent5 9 9" xfId="8432"/>
    <cellStyle name="20% - Accent5 9_Volatility" xfId="8433"/>
    <cellStyle name="20% - Accent6" xfId="40" builtinId="50" customBuiltin="1"/>
    <cellStyle name="20% - Accent6 10" xfId="8434"/>
    <cellStyle name="20% - Accent6 10 10" xfId="8435"/>
    <cellStyle name="20% - Accent6 10 2" xfId="8436"/>
    <cellStyle name="20% - Accent6 10 2 2" xfId="8437"/>
    <cellStyle name="20% - Accent6 10 2 2 2" xfId="8438"/>
    <cellStyle name="20% - Accent6 10 2 2 2 2" xfId="8439"/>
    <cellStyle name="20% - Accent6 10 2 2 2 3" xfId="8440"/>
    <cellStyle name="20% - Accent6 10 2 2 3" xfId="8441"/>
    <cellStyle name="20% - Accent6 10 2 2 3 2" xfId="8442"/>
    <cellStyle name="20% - Accent6 10 2 2 3 3" xfId="8443"/>
    <cellStyle name="20% - Accent6 10 2 2 4" xfId="8444"/>
    <cellStyle name="20% - Accent6 10 2 2 5" xfId="8445"/>
    <cellStyle name="20% - Accent6 10 2 3" xfId="8446"/>
    <cellStyle name="20% - Accent6 10 2 3 2" xfId="8447"/>
    <cellStyle name="20% - Accent6 10 2 3 2 2" xfId="8448"/>
    <cellStyle name="20% - Accent6 10 2 3 2 3" xfId="8449"/>
    <cellStyle name="20% - Accent6 10 2 3 3" xfId="8450"/>
    <cellStyle name="20% - Accent6 10 2 3 3 2" xfId="8451"/>
    <cellStyle name="20% - Accent6 10 2 3 3 3" xfId="8452"/>
    <cellStyle name="20% - Accent6 10 2 3 4" xfId="8453"/>
    <cellStyle name="20% - Accent6 10 2 3 5" xfId="8454"/>
    <cellStyle name="20% - Accent6 10 2 4" xfId="8455"/>
    <cellStyle name="20% - Accent6 10 2 4 2" xfId="8456"/>
    <cellStyle name="20% - Accent6 10 2 4 2 2" xfId="8457"/>
    <cellStyle name="20% - Accent6 10 2 4 2 3" xfId="8458"/>
    <cellStyle name="20% - Accent6 10 2 4 3" xfId="8459"/>
    <cellStyle name="20% - Accent6 10 2 4 3 2" xfId="8460"/>
    <cellStyle name="20% - Accent6 10 2 4 3 3" xfId="8461"/>
    <cellStyle name="20% - Accent6 10 2 4 4" xfId="8462"/>
    <cellStyle name="20% - Accent6 10 2 4 5" xfId="8463"/>
    <cellStyle name="20% - Accent6 10 2 5" xfId="8464"/>
    <cellStyle name="20% - Accent6 10 2 5 2" xfId="8465"/>
    <cellStyle name="20% - Accent6 10 2 5 3" xfId="8466"/>
    <cellStyle name="20% - Accent6 10 2 6" xfId="8467"/>
    <cellStyle name="20% - Accent6 10 2 6 2" xfId="8468"/>
    <cellStyle name="20% - Accent6 10 2 6 3" xfId="8469"/>
    <cellStyle name="20% - Accent6 10 2 7" xfId="8470"/>
    <cellStyle name="20% - Accent6 10 2 8" xfId="8471"/>
    <cellStyle name="20% - Accent6 10 2_Volatility" xfId="8472"/>
    <cellStyle name="20% - Accent6 10 3" xfId="8473"/>
    <cellStyle name="20% - Accent6 10 3 2" xfId="8474"/>
    <cellStyle name="20% - Accent6 10 3 2 2" xfId="8475"/>
    <cellStyle name="20% - Accent6 10 3 2 2 2" xfId="8476"/>
    <cellStyle name="20% - Accent6 10 3 2 2 3" xfId="8477"/>
    <cellStyle name="20% - Accent6 10 3 2 3" xfId="8478"/>
    <cellStyle name="20% - Accent6 10 3 2 3 2" xfId="8479"/>
    <cellStyle name="20% - Accent6 10 3 2 3 3" xfId="8480"/>
    <cellStyle name="20% - Accent6 10 3 2 4" xfId="8481"/>
    <cellStyle name="20% - Accent6 10 3 2 5" xfId="8482"/>
    <cellStyle name="20% - Accent6 10 3 3" xfId="8483"/>
    <cellStyle name="20% - Accent6 10 3 3 2" xfId="8484"/>
    <cellStyle name="20% - Accent6 10 3 3 2 2" xfId="8485"/>
    <cellStyle name="20% - Accent6 10 3 3 2 3" xfId="8486"/>
    <cellStyle name="20% - Accent6 10 3 3 3" xfId="8487"/>
    <cellStyle name="20% - Accent6 10 3 3 3 2" xfId="8488"/>
    <cellStyle name="20% - Accent6 10 3 3 3 3" xfId="8489"/>
    <cellStyle name="20% - Accent6 10 3 3 4" xfId="8490"/>
    <cellStyle name="20% - Accent6 10 3 3 5" xfId="8491"/>
    <cellStyle name="20% - Accent6 10 3 4" xfId="8492"/>
    <cellStyle name="20% - Accent6 10 3 4 2" xfId="8493"/>
    <cellStyle name="20% - Accent6 10 3 4 3" xfId="8494"/>
    <cellStyle name="20% - Accent6 10 3 5" xfId="8495"/>
    <cellStyle name="20% - Accent6 10 3 5 2" xfId="8496"/>
    <cellStyle name="20% - Accent6 10 3 5 3" xfId="8497"/>
    <cellStyle name="20% - Accent6 10 3 6" xfId="8498"/>
    <cellStyle name="20% - Accent6 10 3 7" xfId="8499"/>
    <cellStyle name="20% - Accent6 10 3_Volatility" xfId="8500"/>
    <cellStyle name="20% - Accent6 10 4" xfId="8501"/>
    <cellStyle name="20% - Accent6 10 4 2" xfId="8502"/>
    <cellStyle name="20% - Accent6 10 4 2 2" xfId="8503"/>
    <cellStyle name="20% - Accent6 10 4 2 3" xfId="8504"/>
    <cellStyle name="20% - Accent6 10 4 3" xfId="8505"/>
    <cellStyle name="20% - Accent6 10 4 3 2" xfId="8506"/>
    <cellStyle name="20% - Accent6 10 4 3 3" xfId="8507"/>
    <cellStyle name="20% - Accent6 10 4 4" xfId="8508"/>
    <cellStyle name="20% - Accent6 10 4 5" xfId="8509"/>
    <cellStyle name="20% - Accent6 10 5" xfId="8510"/>
    <cellStyle name="20% - Accent6 10 5 2" xfId="8511"/>
    <cellStyle name="20% - Accent6 10 5 2 2" xfId="8512"/>
    <cellStyle name="20% - Accent6 10 5 2 3" xfId="8513"/>
    <cellStyle name="20% - Accent6 10 5 3" xfId="8514"/>
    <cellStyle name="20% - Accent6 10 5 3 2" xfId="8515"/>
    <cellStyle name="20% - Accent6 10 5 3 3" xfId="8516"/>
    <cellStyle name="20% - Accent6 10 5 4" xfId="8517"/>
    <cellStyle name="20% - Accent6 10 5 5" xfId="8518"/>
    <cellStyle name="20% - Accent6 10 6" xfId="8519"/>
    <cellStyle name="20% - Accent6 10 6 2" xfId="8520"/>
    <cellStyle name="20% - Accent6 10 6 2 2" xfId="8521"/>
    <cellStyle name="20% - Accent6 10 6 2 3" xfId="8522"/>
    <cellStyle name="20% - Accent6 10 6 3" xfId="8523"/>
    <cellStyle name="20% - Accent6 10 6 3 2" xfId="8524"/>
    <cellStyle name="20% - Accent6 10 6 3 3" xfId="8525"/>
    <cellStyle name="20% - Accent6 10 6 4" xfId="8526"/>
    <cellStyle name="20% - Accent6 10 6 5" xfId="8527"/>
    <cellStyle name="20% - Accent6 10 7" xfId="8528"/>
    <cellStyle name="20% - Accent6 10 7 2" xfId="8529"/>
    <cellStyle name="20% - Accent6 10 7 3" xfId="8530"/>
    <cellStyle name="20% - Accent6 10 8" xfId="8531"/>
    <cellStyle name="20% - Accent6 10 8 2" xfId="8532"/>
    <cellStyle name="20% - Accent6 10 8 3" xfId="8533"/>
    <cellStyle name="20% - Accent6 10 9" xfId="8534"/>
    <cellStyle name="20% - Accent6 10_Volatility" xfId="8535"/>
    <cellStyle name="20% - Accent6 11" xfId="8536"/>
    <cellStyle name="20% - Accent6 11 10" xfId="8537"/>
    <cellStyle name="20% - Accent6 11 2" xfId="8538"/>
    <cellStyle name="20% - Accent6 11 2 2" xfId="8539"/>
    <cellStyle name="20% - Accent6 11 2 2 2" xfId="8540"/>
    <cellStyle name="20% - Accent6 11 2 2 2 2" xfId="8541"/>
    <cellStyle name="20% - Accent6 11 2 2 2 3" xfId="8542"/>
    <cellStyle name="20% - Accent6 11 2 2 3" xfId="8543"/>
    <cellStyle name="20% - Accent6 11 2 2 3 2" xfId="8544"/>
    <cellStyle name="20% - Accent6 11 2 2 3 3" xfId="8545"/>
    <cellStyle name="20% - Accent6 11 2 2 4" xfId="8546"/>
    <cellStyle name="20% - Accent6 11 2 2 5" xfId="8547"/>
    <cellStyle name="20% - Accent6 11 2 3" xfId="8548"/>
    <cellStyle name="20% - Accent6 11 2 3 2" xfId="8549"/>
    <cellStyle name="20% - Accent6 11 2 3 2 2" xfId="8550"/>
    <cellStyle name="20% - Accent6 11 2 3 2 3" xfId="8551"/>
    <cellStyle name="20% - Accent6 11 2 3 3" xfId="8552"/>
    <cellStyle name="20% - Accent6 11 2 3 3 2" xfId="8553"/>
    <cellStyle name="20% - Accent6 11 2 3 3 3" xfId="8554"/>
    <cellStyle name="20% - Accent6 11 2 3 4" xfId="8555"/>
    <cellStyle name="20% - Accent6 11 2 3 5" xfId="8556"/>
    <cellStyle name="20% - Accent6 11 2 4" xfId="8557"/>
    <cellStyle name="20% - Accent6 11 2 4 2" xfId="8558"/>
    <cellStyle name="20% - Accent6 11 2 4 2 2" xfId="8559"/>
    <cellStyle name="20% - Accent6 11 2 4 2 3" xfId="8560"/>
    <cellStyle name="20% - Accent6 11 2 4 3" xfId="8561"/>
    <cellStyle name="20% - Accent6 11 2 4 3 2" xfId="8562"/>
    <cellStyle name="20% - Accent6 11 2 4 3 3" xfId="8563"/>
    <cellStyle name="20% - Accent6 11 2 4 4" xfId="8564"/>
    <cellStyle name="20% - Accent6 11 2 4 5" xfId="8565"/>
    <cellStyle name="20% - Accent6 11 2 5" xfId="8566"/>
    <cellStyle name="20% - Accent6 11 2 5 2" xfId="8567"/>
    <cellStyle name="20% - Accent6 11 2 5 3" xfId="8568"/>
    <cellStyle name="20% - Accent6 11 2 6" xfId="8569"/>
    <cellStyle name="20% - Accent6 11 2 6 2" xfId="8570"/>
    <cellStyle name="20% - Accent6 11 2 6 3" xfId="8571"/>
    <cellStyle name="20% - Accent6 11 2 7" xfId="8572"/>
    <cellStyle name="20% - Accent6 11 2 8" xfId="8573"/>
    <cellStyle name="20% - Accent6 11 2_Volatility" xfId="8574"/>
    <cellStyle name="20% - Accent6 11 3" xfId="8575"/>
    <cellStyle name="20% - Accent6 11 3 2" xfId="8576"/>
    <cellStyle name="20% - Accent6 11 3 2 2" xfId="8577"/>
    <cellStyle name="20% - Accent6 11 3 2 2 2" xfId="8578"/>
    <cellStyle name="20% - Accent6 11 3 2 2 3" xfId="8579"/>
    <cellStyle name="20% - Accent6 11 3 2 3" xfId="8580"/>
    <cellStyle name="20% - Accent6 11 3 2 3 2" xfId="8581"/>
    <cellStyle name="20% - Accent6 11 3 2 3 3" xfId="8582"/>
    <cellStyle name="20% - Accent6 11 3 2 4" xfId="8583"/>
    <cellStyle name="20% - Accent6 11 3 2 5" xfId="8584"/>
    <cellStyle name="20% - Accent6 11 3 3" xfId="8585"/>
    <cellStyle name="20% - Accent6 11 3 3 2" xfId="8586"/>
    <cellStyle name="20% - Accent6 11 3 3 2 2" xfId="8587"/>
    <cellStyle name="20% - Accent6 11 3 3 2 3" xfId="8588"/>
    <cellStyle name="20% - Accent6 11 3 3 3" xfId="8589"/>
    <cellStyle name="20% - Accent6 11 3 3 3 2" xfId="8590"/>
    <cellStyle name="20% - Accent6 11 3 3 3 3" xfId="8591"/>
    <cellStyle name="20% - Accent6 11 3 3 4" xfId="8592"/>
    <cellStyle name="20% - Accent6 11 3 3 5" xfId="8593"/>
    <cellStyle name="20% - Accent6 11 3 4" xfId="8594"/>
    <cellStyle name="20% - Accent6 11 3 4 2" xfId="8595"/>
    <cellStyle name="20% - Accent6 11 3 4 3" xfId="8596"/>
    <cellStyle name="20% - Accent6 11 3 5" xfId="8597"/>
    <cellStyle name="20% - Accent6 11 3 5 2" xfId="8598"/>
    <cellStyle name="20% - Accent6 11 3 5 3" xfId="8599"/>
    <cellStyle name="20% - Accent6 11 3 6" xfId="8600"/>
    <cellStyle name="20% - Accent6 11 3 7" xfId="8601"/>
    <cellStyle name="20% - Accent6 11 3_Volatility" xfId="8602"/>
    <cellStyle name="20% - Accent6 11 4" xfId="8603"/>
    <cellStyle name="20% - Accent6 11 4 2" xfId="8604"/>
    <cellStyle name="20% - Accent6 11 4 2 2" xfId="8605"/>
    <cellStyle name="20% - Accent6 11 4 2 3" xfId="8606"/>
    <cellStyle name="20% - Accent6 11 4 3" xfId="8607"/>
    <cellStyle name="20% - Accent6 11 4 3 2" xfId="8608"/>
    <cellStyle name="20% - Accent6 11 4 3 3" xfId="8609"/>
    <cellStyle name="20% - Accent6 11 4 4" xfId="8610"/>
    <cellStyle name="20% - Accent6 11 4 5" xfId="8611"/>
    <cellStyle name="20% - Accent6 11 5" xfId="8612"/>
    <cellStyle name="20% - Accent6 11 5 2" xfId="8613"/>
    <cellStyle name="20% - Accent6 11 5 2 2" xfId="8614"/>
    <cellStyle name="20% - Accent6 11 5 2 3" xfId="8615"/>
    <cellStyle name="20% - Accent6 11 5 3" xfId="8616"/>
    <cellStyle name="20% - Accent6 11 5 3 2" xfId="8617"/>
    <cellStyle name="20% - Accent6 11 5 3 3" xfId="8618"/>
    <cellStyle name="20% - Accent6 11 5 4" xfId="8619"/>
    <cellStyle name="20% - Accent6 11 5 5" xfId="8620"/>
    <cellStyle name="20% - Accent6 11 6" xfId="8621"/>
    <cellStyle name="20% - Accent6 11 6 2" xfId="8622"/>
    <cellStyle name="20% - Accent6 11 6 2 2" xfId="8623"/>
    <cellStyle name="20% - Accent6 11 6 2 3" xfId="8624"/>
    <cellStyle name="20% - Accent6 11 6 3" xfId="8625"/>
    <cellStyle name="20% - Accent6 11 6 3 2" xfId="8626"/>
    <cellStyle name="20% - Accent6 11 6 3 3" xfId="8627"/>
    <cellStyle name="20% - Accent6 11 6 4" xfId="8628"/>
    <cellStyle name="20% - Accent6 11 6 5" xfId="8629"/>
    <cellStyle name="20% - Accent6 11 7" xfId="8630"/>
    <cellStyle name="20% - Accent6 11 7 2" xfId="8631"/>
    <cellStyle name="20% - Accent6 11 7 3" xfId="8632"/>
    <cellStyle name="20% - Accent6 11 8" xfId="8633"/>
    <cellStyle name="20% - Accent6 11 8 2" xfId="8634"/>
    <cellStyle name="20% - Accent6 11 8 3" xfId="8635"/>
    <cellStyle name="20% - Accent6 11 9" xfId="8636"/>
    <cellStyle name="20% - Accent6 11_Volatility" xfId="8637"/>
    <cellStyle name="20% - Accent6 12" xfId="8638"/>
    <cellStyle name="20% - Accent6 12 10" xfId="8639"/>
    <cellStyle name="20% - Accent6 12 2" xfId="8640"/>
    <cellStyle name="20% - Accent6 12 2 2" xfId="8641"/>
    <cellStyle name="20% - Accent6 12 2 2 2" xfId="8642"/>
    <cellStyle name="20% - Accent6 12 2 2 2 2" xfId="8643"/>
    <cellStyle name="20% - Accent6 12 2 2 2 3" xfId="8644"/>
    <cellStyle name="20% - Accent6 12 2 2 3" xfId="8645"/>
    <cellStyle name="20% - Accent6 12 2 2 3 2" xfId="8646"/>
    <cellStyle name="20% - Accent6 12 2 2 3 3" xfId="8647"/>
    <cellStyle name="20% - Accent6 12 2 2 4" xfId="8648"/>
    <cellStyle name="20% - Accent6 12 2 2 5" xfId="8649"/>
    <cellStyle name="20% - Accent6 12 2 3" xfId="8650"/>
    <cellStyle name="20% - Accent6 12 2 3 2" xfId="8651"/>
    <cellStyle name="20% - Accent6 12 2 3 2 2" xfId="8652"/>
    <cellStyle name="20% - Accent6 12 2 3 2 3" xfId="8653"/>
    <cellStyle name="20% - Accent6 12 2 3 3" xfId="8654"/>
    <cellStyle name="20% - Accent6 12 2 3 3 2" xfId="8655"/>
    <cellStyle name="20% - Accent6 12 2 3 3 3" xfId="8656"/>
    <cellStyle name="20% - Accent6 12 2 3 4" xfId="8657"/>
    <cellStyle name="20% - Accent6 12 2 3 5" xfId="8658"/>
    <cellStyle name="20% - Accent6 12 2 4" xfId="8659"/>
    <cellStyle name="20% - Accent6 12 2 4 2" xfId="8660"/>
    <cellStyle name="20% - Accent6 12 2 4 2 2" xfId="8661"/>
    <cellStyle name="20% - Accent6 12 2 4 2 3" xfId="8662"/>
    <cellStyle name="20% - Accent6 12 2 4 3" xfId="8663"/>
    <cellStyle name="20% - Accent6 12 2 4 3 2" xfId="8664"/>
    <cellStyle name="20% - Accent6 12 2 4 3 3" xfId="8665"/>
    <cellStyle name="20% - Accent6 12 2 4 4" xfId="8666"/>
    <cellStyle name="20% - Accent6 12 2 4 5" xfId="8667"/>
    <cellStyle name="20% - Accent6 12 2 5" xfId="8668"/>
    <cellStyle name="20% - Accent6 12 2 5 2" xfId="8669"/>
    <cellStyle name="20% - Accent6 12 2 5 3" xfId="8670"/>
    <cellStyle name="20% - Accent6 12 2 6" xfId="8671"/>
    <cellStyle name="20% - Accent6 12 2 6 2" xfId="8672"/>
    <cellStyle name="20% - Accent6 12 2 6 3" xfId="8673"/>
    <cellStyle name="20% - Accent6 12 2 7" xfId="8674"/>
    <cellStyle name="20% - Accent6 12 2 8" xfId="8675"/>
    <cellStyle name="20% - Accent6 12 2_Volatility" xfId="8676"/>
    <cellStyle name="20% - Accent6 12 3" xfId="8677"/>
    <cellStyle name="20% - Accent6 12 3 2" xfId="8678"/>
    <cellStyle name="20% - Accent6 12 3 2 2" xfId="8679"/>
    <cellStyle name="20% - Accent6 12 3 2 2 2" xfId="8680"/>
    <cellStyle name="20% - Accent6 12 3 2 2 3" xfId="8681"/>
    <cellStyle name="20% - Accent6 12 3 2 3" xfId="8682"/>
    <cellStyle name="20% - Accent6 12 3 2 3 2" xfId="8683"/>
    <cellStyle name="20% - Accent6 12 3 2 3 3" xfId="8684"/>
    <cellStyle name="20% - Accent6 12 3 2 4" xfId="8685"/>
    <cellStyle name="20% - Accent6 12 3 2 5" xfId="8686"/>
    <cellStyle name="20% - Accent6 12 3 3" xfId="8687"/>
    <cellStyle name="20% - Accent6 12 3 3 2" xfId="8688"/>
    <cellStyle name="20% - Accent6 12 3 3 2 2" xfId="8689"/>
    <cellStyle name="20% - Accent6 12 3 3 2 3" xfId="8690"/>
    <cellStyle name="20% - Accent6 12 3 3 3" xfId="8691"/>
    <cellStyle name="20% - Accent6 12 3 3 3 2" xfId="8692"/>
    <cellStyle name="20% - Accent6 12 3 3 3 3" xfId="8693"/>
    <cellStyle name="20% - Accent6 12 3 3 4" xfId="8694"/>
    <cellStyle name="20% - Accent6 12 3 3 5" xfId="8695"/>
    <cellStyle name="20% - Accent6 12 3 4" xfId="8696"/>
    <cellStyle name="20% - Accent6 12 3 4 2" xfId="8697"/>
    <cellStyle name="20% - Accent6 12 3 4 3" xfId="8698"/>
    <cellStyle name="20% - Accent6 12 3 5" xfId="8699"/>
    <cellStyle name="20% - Accent6 12 3 5 2" xfId="8700"/>
    <cellStyle name="20% - Accent6 12 3 5 3" xfId="8701"/>
    <cellStyle name="20% - Accent6 12 3 6" xfId="8702"/>
    <cellStyle name="20% - Accent6 12 3 7" xfId="8703"/>
    <cellStyle name="20% - Accent6 12 3_Volatility" xfId="8704"/>
    <cellStyle name="20% - Accent6 12 4" xfId="8705"/>
    <cellStyle name="20% - Accent6 12 4 2" xfId="8706"/>
    <cellStyle name="20% - Accent6 12 4 2 2" xfId="8707"/>
    <cellStyle name="20% - Accent6 12 4 2 3" xfId="8708"/>
    <cellStyle name="20% - Accent6 12 4 3" xfId="8709"/>
    <cellStyle name="20% - Accent6 12 4 3 2" xfId="8710"/>
    <cellStyle name="20% - Accent6 12 4 3 3" xfId="8711"/>
    <cellStyle name="20% - Accent6 12 4 4" xfId="8712"/>
    <cellStyle name="20% - Accent6 12 4 5" xfId="8713"/>
    <cellStyle name="20% - Accent6 12 5" xfId="8714"/>
    <cellStyle name="20% - Accent6 12 5 2" xfId="8715"/>
    <cellStyle name="20% - Accent6 12 5 2 2" xfId="8716"/>
    <cellStyle name="20% - Accent6 12 5 2 3" xfId="8717"/>
    <cellStyle name="20% - Accent6 12 5 3" xfId="8718"/>
    <cellStyle name="20% - Accent6 12 5 3 2" xfId="8719"/>
    <cellStyle name="20% - Accent6 12 5 3 3" xfId="8720"/>
    <cellStyle name="20% - Accent6 12 5 4" xfId="8721"/>
    <cellStyle name="20% - Accent6 12 5 5" xfId="8722"/>
    <cellStyle name="20% - Accent6 12 6" xfId="8723"/>
    <cellStyle name="20% - Accent6 12 6 2" xfId="8724"/>
    <cellStyle name="20% - Accent6 12 6 2 2" xfId="8725"/>
    <cellStyle name="20% - Accent6 12 6 2 3" xfId="8726"/>
    <cellStyle name="20% - Accent6 12 6 3" xfId="8727"/>
    <cellStyle name="20% - Accent6 12 6 3 2" xfId="8728"/>
    <cellStyle name="20% - Accent6 12 6 3 3" xfId="8729"/>
    <cellStyle name="20% - Accent6 12 6 4" xfId="8730"/>
    <cellStyle name="20% - Accent6 12 6 5" xfId="8731"/>
    <cellStyle name="20% - Accent6 12 7" xfId="8732"/>
    <cellStyle name="20% - Accent6 12 7 2" xfId="8733"/>
    <cellStyle name="20% - Accent6 12 7 3" xfId="8734"/>
    <cellStyle name="20% - Accent6 12 8" xfId="8735"/>
    <cellStyle name="20% - Accent6 12 8 2" xfId="8736"/>
    <cellStyle name="20% - Accent6 12 8 3" xfId="8737"/>
    <cellStyle name="20% - Accent6 12 9" xfId="8738"/>
    <cellStyle name="20% - Accent6 12_Volatility" xfId="8739"/>
    <cellStyle name="20% - Accent6 13" xfId="8740"/>
    <cellStyle name="20% - Accent6 13 10" xfId="8741"/>
    <cellStyle name="20% - Accent6 13 2" xfId="8742"/>
    <cellStyle name="20% - Accent6 13 2 2" xfId="8743"/>
    <cellStyle name="20% - Accent6 13 2 2 2" xfId="8744"/>
    <cellStyle name="20% - Accent6 13 2 2 2 2" xfId="8745"/>
    <cellStyle name="20% - Accent6 13 2 2 2 3" xfId="8746"/>
    <cellStyle name="20% - Accent6 13 2 2 3" xfId="8747"/>
    <cellStyle name="20% - Accent6 13 2 2 3 2" xfId="8748"/>
    <cellStyle name="20% - Accent6 13 2 2 3 3" xfId="8749"/>
    <cellStyle name="20% - Accent6 13 2 2 4" xfId="8750"/>
    <cellStyle name="20% - Accent6 13 2 2 5" xfId="8751"/>
    <cellStyle name="20% - Accent6 13 2 3" xfId="8752"/>
    <cellStyle name="20% - Accent6 13 2 3 2" xfId="8753"/>
    <cellStyle name="20% - Accent6 13 2 3 2 2" xfId="8754"/>
    <cellStyle name="20% - Accent6 13 2 3 2 3" xfId="8755"/>
    <cellStyle name="20% - Accent6 13 2 3 3" xfId="8756"/>
    <cellStyle name="20% - Accent6 13 2 3 3 2" xfId="8757"/>
    <cellStyle name="20% - Accent6 13 2 3 3 3" xfId="8758"/>
    <cellStyle name="20% - Accent6 13 2 3 4" xfId="8759"/>
    <cellStyle name="20% - Accent6 13 2 3 5" xfId="8760"/>
    <cellStyle name="20% - Accent6 13 2 4" xfId="8761"/>
    <cellStyle name="20% - Accent6 13 2 4 2" xfId="8762"/>
    <cellStyle name="20% - Accent6 13 2 4 2 2" xfId="8763"/>
    <cellStyle name="20% - Accent6 13 2 4 2 3" xfId="8764"/>
    <cellStyle name="20% - Accent6 13 2 4 3" xfId="8765"/>
    <cellStyle name="20% - Accent6 13 2 4 3 2" xfId="8766"/>
    <cellStyle name="20% - Accent6 13 2 4 3 3" xfId="8767"/>
    <cellStyle name="20% - Accent6 13 2 4 4" xfId="8768"/>
    <cellStyle name="20% - Accent6 13 2 4 5" xfId="8769"/>
    <cellStyle name="20% - Accent6 13 2 5" xfId="8770"/>
    <cellStyle name="20% - Accent6 13 2 5 2" xfId="8771"/>
    <cellStyle name="20% - Accent6 13 2 5 3" xfId="8772"/>
    <cellStyle name="20% - Accent6 13 2 6" xfId="8773"/>
    <cellStyle name="20% - Accent6 13 2 6 2" xfId="8774"/>
    <cellStyle name="20% - Accent6 13 2 6 3" xfId="8775"/>
    <cellStyle name="20% - Accent6 13 2 7" xfId="8776"/>
    <cellStyle name="20% - Accent6 13 2 8" xfId="8777"/>
    <cellStyle name="20% - Accent6 13 2_Volatility" xfId="8778"/>
    <cellStyle name="20% - Accent6 13 3" xfId="8779"/>
    <cellStyle name="20% - Accent6 13 3 2" xfId="8780"/>
    <cellStyle name="20% - Accent6 13 3 2 2" xfId="8781"/>
    <cellStyle name="20% - Accent6 13 3 2 2 2" xfId="8782"/>
    <cellStyle name="20% - Accent6 13 3 2 2 3" xfId="8783"/>
    <cellStyle name="20% - Accent6 13 3 2 3" xfId="8784"/>
    <cellStyle name="20% - Accent6 13 3 2 3 2" xfId="8785"/>
    <cellStyle name="20% - Accent6 13 3 2 3 3" xfId="8786"/>
    <cellStyle name="20% - Accent6 13 3 2 4" xfId="8787"/>
    <cellStyle name="20% - Accent6 13 3 2 5" xfId="8788"/>
    <cellStyle name="20% - Accent6 13 3 3" xfId="8789"/>
    <cellStyle name="20% - Accent6 13 3 3 2" xfId="8790"/>
    <cellStyle name="20% - Accent6 13 3 3 2 2" xfId="8791"/>
    <cellStyle name="20% - Accent6 13 3 3 2 3" xfId="8792"/>
    <cellStyle name="20% - Accent6 13 3 3 3" xfId="8793"/>
    <cellStyle name="20% - Accent6 13 3 3 3 2" xfId="8794"/>
    <cellStyle name="20% - Accent6 13 3 3 3 3" xfId="8795"/>
    <cellStyle name="20% - Accent6 13 3 3 4" xfId="8796"/>
    <cellStyle name="20% - Accent6 13 3 3 5" xfId="8797"/>
    <cellStyle name="20% - Accent6 13 3 4" xfId="8798"/>
    <cellStyle name="20% - Accent6 13 3 4 2" xfId="8799"/>
    <cellStyle name="20% - Accent6 13 3 4 3" xfId="8800"/>
    <cellStyle name="20% - Accent6 13 3 5" xfId="8801"/>
    <cellStyle name="20% - Accent6 13 3 5 2" xfId="8802"/>
    <cellStyle name="20% - Accent6 13 3 5 3" xfId="8803"/>
    <cellStyle name="20% - Accent6 13 3 6" xfId="8804"/>
    <cellStyle name="20% - Accent6 13 3 7" xfId="8805"/>
    <cellStyle name="20% - Accent6 13 3_Volatility" xfId="8806"/>
    <cellStyle name="20% - Accent6 13 4" xfId="8807"/>
    <cellStyle name="20% - Accent6 13 4 2" xfId="8808"/>
    <cellStyle name="20% - Accent6 13 4 2 2" xfId="8809"/>
    <cellStyle name="20% - Accent6 13 4 2 3" xfId="8810"/>
    <cellStyle name="20% - Accent6 13 4 3" xfId="8811"/>
    <cellStyle name="20% - Accent6 13 4 3 2" xfId="8812"/>
    <cellStyle name="20% - Accent6 13 4 3 3" xfId="8813"/>
    <cellStyle name="20% - Accent6 13 4 4" xfId="8814"/>
    <cellStyle name="20% - Accent6 13 4 5" xfId="8815"/>
    <cellStyle name="20% - Accent6 13 5" xfId="8816"/>
    <cellStyle name="20% - Accent6 13 5 2" xfId="8817"/>
    <cellStyle name="20% - Accent6 13 5 2 2" xfId="8818"/>
    <cellStyle name="20% - Accent6 13 5 2 3" xfId="8819"/>
    <cellStyle name="20% - Accent6 13 5 3" xfId="8820"/>
    <cellStyle name="20% - Accent6 13 5 3 2" xfId="8821"/>
    <cellStyle name="20% - Accent6 13 5 3 3" xfId="8822"/>
    <cellStyle name="20% - Accent6 13 5 4" xfId="8823"/>
    <cellStyle name="20% - Accent6 13 5 5" xfId="8824"/>
    <cellStyle name="20% - Accent6 13 6" xfId="8825"/>
    <cellStyle name="20% - Accent6 13 6 2" xfId="8826"/>
    <cellStyle name="20% - Accent6 13 6 2 2" xfId="8827"/>
    <cellStyle name="20% - Accent6 13 6 2 3" xfId="8828"/>
    <cellStyle name="20% - Accent6 13 6 3" xfId="8829"/>
    <cellStyle name="20% - Accent6 13 6 3 2" xfId="8830"/>
    <cellStyle name="20% - Accent6 13 6 3 3" xfId="8831"/>
    <cellStyle name="20% - Accent6 13 6 4" xfId="8832"/>
    <cellStyle name="20% - Accent6 13 6 5" xfId="8833"/>
    <cellStyle name="20% - Accent6 13 7" xfId="8834"/>
    <cellStyle name="20% - Accent6 13 7 2" xfId="8835"/>
    <cellStyle name="20% - Accent6 13 7 3" xfId="8836"/>
    <cellStyle name="20% - Accent6 13 8" xfId="8837"/>
    <cellStyle name="20% - Accent6 13 8 2" xfId="8838"/>
    <cellStyle name="20% - Accent6 13 8 3" xfId="8839"/>
    <cellStyle name="20% - Accent6 13 9" xfId="8840"/>
    <cellStyle name="20% - Accent6 13_Volatility" xfId="8841"/>
    <cellStyle name="20% - Accent6 14" xfId="8842"/>
    <cellStyle name="20% - Accent6 14 10" xfId="8843"/>
    <cellStyle name="20% - Accent6 14 2" xfId="8844"/>
    <cellStyle name="20% - Accent6 14 2 2" xfId="8845"/>
    <cellStyle name="20% - Accent6 14 2 2 2" xfId="8846"/>
    <cellStyle name="20% - Accent6 14 2 2 2 2" xfId="8847"/>
    <cellStyle name="20% - Accent6 14 2 2 2 3" xfId="8848"/>
    <cellStyle name="20% - Accent6 14 2 2 3" xfId="8849"/>
    <cellStyle name="20% - Accent6 14 2 2 3 2" xfId="8850"/>
    <cellStyle name="20% - Accent6 14 2 2 3 3" xfId="8851"/>
    <cellStyle name="20% - Accent6 14 2 2 4" xfId="8852"/>
    <cellStyle name="20% - Accent6 14 2 2 5" xfId="8853"/>
    <cellStyle name="20% - Accent6 14 2 3" xfId="8854"/>
    <cellStyle name="20% - Accent6 14 2 3 2" xfId="8855"/>
    <cellStyle name="20% - Accent6 14 2 3 2 2" xfId="8856"/>
    <cellStyle name="20% - Accent6 14 2 3 2 3" xfId="8857"/>
    <cellStyle name="20% - Accent6 14 2 3 3" xfId="8858"/>
    <cellStyle name="20% - Accent6 14 2 3 3 2" xfId="8859"/>
    <cellStyle name="20% - Accent6 14 2 3 3 3" xfId="8860"/>
    <cellStyle name="20% - Accent6 14 2 3 4" xfId="8861"/>
    <cellStyle name="20% - Accent6 14 2 3 5" xfId="8862"/>
    <cellStyle name="20% - Accent6 14 2 4" xfId="8863"/>
    <cellStyle name="20% - Accent6 14 2 4 2" xfId="8864"/>
    <cellStyle name="20% - Accent6 14 2 4 2 2" xfId="8865"/>
    <cellStyle name="20% - Accent6 14 2 4 2 3" xfId="8866"/>
    <cellStyle name="20% - Accent6 14 2 4 3" xfId="8867"/>
    <cellStyle name="20% - Accent6 14 2 4 3 2" xfId="8868"/>
    <cellStyle name="20% - Accent6 14 2 4 3 3" xfId="8869"/>
    <cellStyle name="20% - Accent6 14 2 4 4" xfId="8870"/>
    <cellStyle name="20% - Accent6 14 2 4 5" xfId="8871"/>
    <cellStyle name="20% - Accent6 14 2 5" xfId="8872"/>
    <cellStyle name="20% - Accent6 14 2 5 2" xfId="8873"/>
    <cellStyle name="20% - Accent6 14 2 5 3" xfId="8874"/>
    <cellStyle name="20% - Accent6 14 2 6" xfId="8875"/>
    <cellStyle name="20% - Accent6 14 2 6 2" xfId="8876"/>
    <cellStyle name="20% - Accent6 14 2 6 3" xfId="8877"/>
    <cellStyle name="20% - Accent6 14 2 7" xfId="8878"/>
    <cellStyle name="20% - Accent6 14 2 8" xfId="8879"/>
    <cellStyle name="20% - Accent6 14 2_Volatility" xfId="8880"/>
    <cellStyle name="20% - Accent6 14 3" xfId="8881"/>
    <cellStyle name="20% - Accent6 14 3 2" xfId="8882"/>
    <cellStyle name="20% - Accent6 14 3 2 2" xfId="8883"/>
    <cellStyle name="20% - Accent6 14 3 2 2 2" xfId="8884"/>
    <cellStyle name="20% - Accent6 14 3 2 2 3" xfId="8885"/>
    <cellStyle name="20% - Accent6 14 3 2 3" xfId="8886"/>
    <cellStyle name="20% - Accent6 14 3 2 3 2" xfId="8887"/>
    <cellStyle name="20% - Accent6 14 3 2 3 3" xfId="8888"/>
    <cellStyle name="20% - Accent6 14 3 2 4" xfId="8889"/>
    <cellStyle name="20% - Accent6 14 3 2 5" xfId="8890"/>
    <cellStyle name="20% - Accent6 14 3 3" xfId="8891"/>
    <cellStyle name="20% - Accent6 14 3 3 2" xfId="8892"/>
    <cellStyle name="20% - Accent6 14 3 3 2 2" xfId="8893"/>
    <cellStyle name="20% - Accent6 14 3 3 2 3" xfId="8894"/>
    <cellStyle name="20% - Accent6 14 3 3 3" xfId="8895"/>
    <cellStyle name="20% - Accent6 14 3 3 3 2" xfId="8896"/>
    <cellStyle name="20% - Accent6 14 3 3 3 3" xfId="8897"/>
    <cellStyle name="20% - Accent6 14 3 3 4" xfId="8898"/>
    <cellStyle name="20% - Accent6 14 3 3 5" xfId="8899"/>
    <cellStyle name="20% - Accent6 14 3 4" xfId="8900"/>
    <cellStyle name="20% - Accent6 14 3 4 2" xfId="8901"/>
    <cellStyle name="20% - Accent6 14 3 4 3" xfId="8902"/>
    <cellStyle name="20% - Accent6 14 3 5" xfId="8903"/>
    <cellStyle name="20% - Accent6 14 3 5 2" xfId="8904"/>
    <cellStyle name="20% - Accent6 14 3 5 3" xfId="8905"/>
    <cellStyle name="20% - Accent6 14 3 6" xfId="8906"/>
    <cellStyle name="20% - Accent6 14 3 7" xfId="8907"/>
    <cellStyle name="20% - Accent6 14 3_Volatility" xfId="8908"/>
    <cellStyle name="20% - Accent6 14 4" xfId="8909"/>
    <cellStyle name="20% - Accent6 14 4 2" xfId="8910"/>
    <cellStyle name="20% - Accent6 14 4 2 2" xfId="8911"/>
    <cellStyle name="20% - Accent6 14 4 2 3" xfId="8912"/>
    <cellStyle name="20% - Accent6 14 4 3" xfId="8913"/>
    <cellStyle name="20% - Accent6 14 4 3 2" xfId="8914"/>
    <cellStyle name="20% - Accent6 14 4 3 3" xfId="8915"/>
    <cellStyle name="20% - Accent6 14 4 4" xfId="8916"/>
    <cellStyle name="20% - Accent6 14 4 5" xfId="8917"/>
    <cellStyle name="20% - Accent6 14 5" xfId="8918"/>
    <cellStyle name="20% - Accent6 14 5 2" xfId="8919"/>
    <cellStyle name="20% - Accent6 14 5 2 2" xfId="8920"/>
    <cellStyle name="20% - Accent6 14 5 2 3" xfId="8921"/>
    <cellStyle name="20% - Accent6 14 5 3" xfId="8922"/>
    <cellStyle name="20% - Accent6 14 5 3 2" xfId="8923"/>
    <cellStyle name="20% - Accent6 14 5 3 3" xfId="8924"/>
    <cellStyle name="20% - Accent6 14 5 4" xfId="8925"/>
    <cellStyle name="20% - Accent6 14 5 5" xfId="8926"/>
    <cellStyle name="20% - Accent6 14 6" xfId="8927"/>
    <cellStyle name="20% - Accent6 14 6 2" xfId="8928"/>
    <cellStyle name="20% - Accent6 14 6 2 2" xfId="8929"/>
    <cellStyle name="20% - Accent6 14 6 2 3" xfId="8930"/>
    <cellStyle name="20% - Accent6 14 6 3" xfId="8931"/>
    <cellStyle name="20% - Accent6 14 6 3 2" xfId="8932"/>
    <cellStyle name="20% - Accent6 14 6 3 3" xfId="8933"/>
    <cellStyle name="20% - Accent6 14 6 4" xfId="8934"/>
    <cellStyle name="20% - Accent6 14 6 5" xfId="8935"/>
    <cellStyle name="20% - Accent6 14 7" xfId="8936"/>
    <cellStyle name="20% - Accent6 14 7 2" xfId="8937"/>
    <cellStyle name="20% - Accent6 14 7 3" xfId="8938"/>
    <cellStyle name="20% - Accent6 14 8" xfId="8939"/>
    <cellStyle name="20% - Accent6 14 8 2" xfId="8940"/>
    <cellStyle name="20% - Accent6 14 8 3" xfId="8941"/>
    <cellStyle name="20% - Accent6 14 9" xfId="8942"/>
    <cellStyle name="20% - Accent6 14_Volatility" xfId="8943"/>
    <cellStyle name="20% - Accent6 15" xfId="8944"/>
    <cellStyle name="20% - Accent6 15 10" xfId="8945"/>
    <cellStyle name="20% - Accent6 15 2" xfId="8946"/>
    <cellStyle name="20% - Accent6 15 2 2" xfId="8947"/>
    <cellStyle name="20% - Accent6 15 2 2 2" xfId="8948"/>
    <cellStyle name="20% - Accent6 15 2 2 2 2" xfId="8949"/>
    <cellStyle name="20% - Accent6 15 2 2 2 3" xfId="8950"/>
    <cellStyle name="20% - Accent6 15 2 2 3" xfId="8951"/>
    <cellStyle name="20% - Accent6 15 2 2 3 2" xfId="8952"/>
    <cellStyle name="20% - Accent6 15 2 2 3 3" xfId="8953"/>
    <cellStyle name="20% - Accent6 15 2 2 4" xfId="8954"/>
    <cellStyle name="20% - Accent6 15 2 2 5" xfId="8955"/>
    <cellStyle name="20% - Accent6 15 2 3" xfId="8956"/>
    <cellStyle name="20% - Accent6 15 2 3 2" xfId="8957"/>
    <cellStyle name="20% - Accent6 15 2 3 2 2" xfId="8958"/>
    <cellStyle name="20% - Accent6 15 2 3 2 3" xfId="8959"/>
    <cellStyle name="20% - Accent6 15 2 3 3" xfId="8960"/>
    <cellStyle name="20% - Accent6 15 2 3 3 2" xfId="8961"/>
    <cellStyle name="20% - Accent6 15 2 3 3 3" xfId="8962"/>
    <cellStyle name="20% - Accent6 15 2 3 4" xfId="8963"/>
    <cellStyle name="20% - Accent6 15 2 3 5" xfId="8964"/>
    <cellStyle name="20% - Accent6 15 2 4" xfId="8965"/>
    <cellStyle name="20% - Accent6 15 2 4 2" xfId="8966"/>
    <cellStyle name="20% - Accent6 15 2 4 2 2" xfId="8967"/>
    <cellStyle name="20% - Accent6 15 2 4 2 3" xfId="8968"/>
    <cellStyle name="20% - Accent6 15 2 4 3" xfId="8969"/>
    <cellStyle name="20% - Accent6 15 2 4 3 2" xfId="8970"/>
    <cellStyle name="20% - Accent6 15 2 4 3 3" xfId="8971"/>
    <cellStyle name="20% - Accent6 15 2 4 4" xfId="8972"/>
    <cellStyle name="20% - Accent6 15 2 4 5" xfId="8973"/>
    <cellStyle name="20% - Accent6 15 2 5" xfId="8974"/>
    <cellStyle name="20% - Accent6 15 2 5 2" xfId="8975"/>
    <cellStyle name="20% - Accent6 15 2 5 3" xfId="8976"/>
    <cellStyle name="20% - Accent6 15 2 6" xfId="8977"/>
    <cellStyle name="20% - Accent6 15 2 6 2" xfId="8978"/>
    <cellStyle name="20% - Accent6 15 2 6 3" xfId="8979"/>
    <cellStyle name="20% - Accent6 15 2 7" xfId="8980"/>
    <cellStyle name="20% - Accent6 15 2 8" xfId="8981"/>
    <cellStyle name="20% - Accent6 15 2_Volatility" xfId="8982"/>
    <cellStyle name="20% - Accent6 15 3" xfId="8983"/>
    <cellStyle name="20% - Accent6 15 3 2" xfId="8984"/>
    <cellStyle name="20% - Accent6 15 3 2 2" xfId="8985"/>
    <cellStyle name="20% - Accent6 15 3 2 2 2" xfId="8986"/>
    <cellStyle name="20% - Accent6 15 3 2 2 3" xfId="8987"/>
    <cellStyle name="20% - Accent6 15 3 2 3" xfId="8988"/>
    <cellStyle name="20% - Accent6 15 3 2 3 2" xfId="8989"/>
    <cellStyle name="20% - Accent6 15 3 2 3 3" xfId="8990"/>
    <cellStyle name="20% - Accent6 15 3 2 4" xfId="8991"/>
    <cellStyle name="20% - Accent6 15 3 2 5" xfId="8992"/>
    <cellStyle name="20% - Accent6 15 3 3" xfId="8993"/>
    <cellStyle name="20% - Accent6 15 3 3 2" xfId="8994"/>
    <cellStyle name="20% - Accent6 15 3 3 2 2" xfId="8995"/>
    <cellStyle name="20% - Accent6 15 3 3 2 3" xfId="8996"/>
    <cellStyle name="20% - Accent6 15 3 3 3" xfId="8997"/>
    <cellStyle name="20% - Accent6 15 3 3 3 2" xfId="8998"/>
    <cellStyle name="20% - Accent6 15 3 3 3 3" xfId="8999"/>
    <cellStyle name="20% - Accent6 15 3 3 4" xfId="9000"/>
    <cellStyle name="20% - Accent6 15 3 3 5" xfId="9001"/>
    <cellStyle name="20% - Accent6 15 3 4" xfId="9002"/>
    <cellStyle name="20% - Accent6 15 3 4 2" xfId="9003"/>
    <cellStyle name="20% - Accent6 15 3 4 3" xfId="9004"/>
    <cellStyle name="20% - Accent6 15 3 5" xfId="9005"/>
    <cellStyle name="20% - Accent6 15 3 5 2" xfId="9006"/>
    <cellStyle name="20% - Accent6 15 3 5 3" xfId="9007"/>
    <cellStyle name="20% - Accent6 15 3 6" xfId="9008"/>
    <cellStyle name="20% - Accent6 15 3 7" xfId="9009"/>
    <cellStyle name="20% - Accent6 15 3_Volatility" xfId="9010"/>
    <cellStyle name="20% - Accent6 15 4" xfId="9011"/>
    <cellStyle name="20% - Accent6 15 4 2" xfId="9012"/>
    <cellStyle name="20% - Accent6 15 4 2 2" xfId="9013"/>
    <cellStyle name="20% - Accent6 15 4 2 3" xfId="9014"/>
    <cellStyle name="20% - Accent6 15 4 3" xfId="9015"/>
    <cellStyle name="20% - Accent6 15 4 3 2" xfId="9016"/>
    <cellStyle name="20% - Accent6 15 4 3 3" xfId="9017"/>
    <cellStyle name="20% - Accent6 15 4 4" xfId="9018"/>
    <cellStyle name="20% - Accent6 15 4 5" xfId="9019"/>
    <cellStyle name="20% - Accent6 15 5" xfId="9020"/>
    <cellStyle name="20% - Accent6 15 5 2" xfId="9021"/>
    <cellStyle name="20% - Accent6 15 5 2 2" xfId="9022"/>
    <cellStyle name="20% - Accent6 15 5 2 3" xfId="9023"/>
    <cellStyle name="20% - Accent6 15 5 3" xfId="9024"/>
    <cellStyle name="20% - Accent6 15 5 3 2" xfId="9025"/>
    <cellStyle name="20% - Accent6 15 5 3 3" xfId="9026"/>
    <cellStyle name="20% - Accent6 15 5 4" xfId="9027"/>
    <cellStyle name="20% - Accent6 15 5 5" xfId="9028"/>
    <cellStyle name="20% - Accent6 15 6" xfId="9029"/>
    <cellStyle name="20% - Accent6 15 6 2" xfId="9030"/>
    <cellStyle name="20% - Accent6 15 6 2 2" xfId="9031"/>
    <cellStyle name="20% - Accent6 15 6 2 3" xfId="9032"/>
    <cellStyle name="20% - Accent6 15 6 3" xfId="9033"/>
    <cellStyle name="20% - Accent6 15 6 3 2" xfId="9034"/>
    <cellStyle name="20% - Accent6 15 6 3 3" xfId="9035"/>
    <cellStyle name="20% - Accent6 15 6 4" xfId="9036"/>
    <cellStyle name="20% - Accent6 15 6 5" xfId="9037"/>
    <cellStyle name="20% - Accent6 15 7" xfId="9038"/>
    <cellStyle name="20% - Accent6 15 7 2" xfId="9039"/>
    <cellStyle name="20% - Accent6 15 7 3" xfId="9040"/>
    <cellStyle name="20% - Accent6 15 8" xfId="9041"/>
    <cellStyle name="20% - Accent6 15 8 2" xfId="9042"/>
    <cellStyle name="20% - Accent6 15 8 3" xfId="9043"/>
    <cellStyle name="20% - Accent6 15 9" xfId="9044"/>
    <cellStyle name="20% - Accent6 15_Volatility" xfId="9045"/>
    <cellStyle name="20% - Accent6 16" xfId="9046"/>
    <cellStyle name="20% - Accent6 16 2" xfId="9047"/>
    <cellStyle name="20% - Accent6 16 3" xfId="9048"/>
    <cellStyle name="20% - Accent6 17" xfId="9049"/>
    <cellStyle name="20% - Accent6 17 2" xfId="9050"/>
    <cellStyle name="20% - Accent6 17 3" xfId="9051"/>
    <cellStyle name="20% - Accent6 18" xfId="9052"/>
    <cellStyle name="20% - Accent6 18 2" xfId="9053"/>
    <cellStyle name="20% - Accent6 18 3" xfId="9054"/>
    <cellStyle name="20% - Accent6 19" xfId="9055"/>
    <cellStyle name="20% - Accent6 19 2" xfId="9056"/>
    <cellStyle name="20% - Accent6 19 3" xfId="9057"/>
    <cellStyle name="20% - Accent6 2" xfId="9058"/>
    <cellStyle name="20% - Accent6 2 10" xfId="9059"/>
    <cellStyle name="20% - Accent6 2 2" xfId="9060"/>
    <cellStyle name="20% - Accent6 2 2 2" xfId="9061"/>
    <cellStyle name="20% - Accent6 2 2 2 2" xfId="9062"/>
    <cellStyle name="20% - Accent6 2 2 2 2 2" xfId="9063"/>
    <cellStyle name="20% - Accent6 2 2 2 2 3" xfId="9064"/>
    <cellStyle name="20% - Accent6 2 2 2 3" xfId="9065"/>
    <cellStyle name="20% - Accent6 2 2 2 3 2" xfId="9066"/>
    <cellStyle name="20% - Accent6 2 2 2 3 3" xfId="9067"/>
    <cellStyle name="20% - Accent6 2 2 2 4" xfId="9068"/>
    <cellStyle name="20% - Accent6 2 2 2 5" xfId="9069"/>
    <cellStyle name="20% - Accent6 2 2 3" xfId="9070"/>
    <cellStyle name="20% - Accent6 2 2 3 2" xfId="9071"/>
    <cellStyle name="20% - Accent6 2 2 3 2 2" xfId="9072"/>
    <cellStyle name="20% - Accent6 2 2 3 2 3" xfId="9073"/>
    <cellStyle name="20% - Accent6 2 2 3 3" xfId="9074"/>
    <cellStyle name="20% - Accent6 2 2 3 3 2" xfId="9075"/>
    <cellStyle name="20% - Accent6 2 2 3 3 3" xfId="9076"/>
    <cellStyle name="20% - Accent6 2 2 3 4" xfId="9077"/>
    <cellStyle name="20% - Accent6 2 2 3 5" xfId="9078"/>
    <cellStyle name="20% - Accent6 2 2 4" xfId="9079"/>
    <cellStyle name="20% - Accent6 2 2 4 2" xfId="9080"/>
    <cellStyle name="20% - Accent6 2 2 4 2 2" xfId="9081"/>
    <cellStyle name="20% - Accent6 2 2 4 2 3" xfId="9082"/>
    <cellStyle name="20% - Accent6 2 2 4 3" xfId="9083"/>
    <cellStyle name="20% - Accent6 2 2 4 3 2" xfId="9084"/>
    <cellStyle name="20% - Accent6 2 2 4 3 3" xfId="9085"/>
    <cellStyle name="20% - Accent6 2 2 4 4" xfId="9086"/>
    <cellStyle name="20% - Accent6 2 2 4 5" xfId="9087"/>
    <cellStyle name="20% - Accent6 2 2 5" xfId="9088"/>
    <cellStyle name="20% - Accent6 2 2 5 2" xfId="9089"/>
    <cellStyle name="20% - Accent6 2 2 5 3" xfId="9090"/>
    <cellStyle name="20% - Accent6 2 2 6" xfId="9091"/>
    <cellStyle name="20% - Accent6 2 2 6 2" xfId="9092"/>
    <cellStyle name="20% - Accent6 2 2 6 3" xfId="9093"/>
    <cellStyle name="20% - Accent6 2 2 7" xfId="9094"/>
    <cellStyle name="20% - Accent6 2 2 8" xfId="9095"/>
    <cellStyle name="20% - Accent6 2 2_Volatility" xfId="9096"/>
    <cellStyle name="20% - Accent6 2 3" xfId="9097"/>
    <cellStyle name="20% - Accent6 2 3 2" xfId="9098"/>
    <cellStyle name="20% - Accent6 2 3 2 2" xfId="9099"/>
    <cellStyle name="20% - Accent6 2 3 2 2 2" xfId="9100"/>
    <cellStyle name="20% - Accent6 2 3 2 2 3" xfId="9101"/>
    <cellStyle name="20% - Accent6 2 3 2 3" xfId="9102"/>
    <cellStyle name="20% - Accent6 2 3 2 3 2" xfId="9103"/>
    <cellStyle name="20% - Accent6 2 3 2 3 3" xfId="9104"/>
    <cellStyle name="20% - Accent6 2 3 2 4" xfId="9105"/>
    <cellStyle name="20% - Accent6 2 3 2 5" xfId="9106"/>
    <cellStyle name="20% - Accent6 2 3 3" xfId="9107"/>
    <cellStyle name="20% - Accent6 2 3 3 2" xfId="9108"/>
    <cellStyle name="20% - Accent6 2 3 3 2 2" xfId="9109"/>
    <cellStyle name="20% - Accent6 2 3 3 2 3" xfId="9110"/>
    <cellStyle name="20% - Accent6 2 3 3 3" xfId="9111"/>
    <cellStyle name="20% - Accent6 2 3 3 3 2" xfId="9112"/>
    <cellStyle name="20% - Accent6 2 3 3 3 3" xfId="9113"/>
    <cellStyle name="20% - Accent6 2 3 3 4" xfId="9114"/>
    <cellStyle name="20% - Accent6 2 3 3 5" xfId="9115"/>
    <cellStyle name="20% - Accent6 2 3 4" xfId="9116"/>
    <cellStyle name="20% - Accent6 2 3 4 2" xfId="9117"/>
    <cellStyle name="20% - Accent6 2 3 4 3" xfId="9118"/>
    <cellStyle name="20% - Accent6 2 3 5" xfId="9119"/>
    <cellStyle name="20% - Accent6 2 3 5 2" xfId="9120"/>
    <cellStyle name="20% - Accent6 2 3 5 3" xfId="9121"/>
    <cellStyle name="20% - Accent6 2 3 6" xfId="9122"/>
    <cellStyle name="20% - Accent6 2 3 7" xfId="9123"/>
    <cellStyle name="20% - Accent6 2 3_Volatility" xfId="9124"/>
    <cellStyle name="20% - Accent6 2 4" xfId="9125"/>
    <cellStyle name="20% - Accent6 2 4 2" xfId="9126"/>
    <cellStyle name="20% - Accent6 2 4 2 2" xfId="9127"/>
    <cellStyle name="20% - Accent6 2 4 2 3" xfId="9128"/>
    <cellStyle name="20% - Accent6 2 4 3" xfId="9129"/>
    <cellStyle name="20% - Accent6 2 4 3 2" xfId="9130"/>
    <cellStyle name="20% - Accent6 2 4 3 3" xfId="9131"/>
    <cellStyle name="20% - Accent6 2 4 4" xfId="9132"/>
    <cellStyle name="20% - Accent6 2 4 5" xfId="9133"/>
    <cellStyle name="20% - Accent6 2 5" xfId="9134"/>
    <cellStyle name="20% - Accent6 2 5 2" xfId="9135"/>
    <cellStyle name="20% - Accent6 2 5 2 2" xfId="9136"/>
    <cellStyle name="20% - Accent6 2 5 2 3" xfId="9137"/>
    <cellStyle name="20% - Accent6 2 5 3" xfId="9138"/>
    <cellStyle name="20% - Accent6 2 5 3 2" xfId="9139"/>
    <cellStyle name="20% - Accent6 2 5 3 3" xfId="9140"/>
    <cellStyle name="20% - Accent6 2 5 4" xfId="9141"/>
    <cellStyle name="20% - Accent6 2 5 5" xfId="9142"/>
    <cellStyle name="20% - Accent6 2 6" xfId="9143"/>
    <cellStyle name="20% - Accent6 2 6 2" xfId="9144"/>
    <cellStyle name="20% - Accent6 2 6 2 2" xfId="9145"/>
    <cellStyle name="20% - Accent6 2 6 2 3" xfId="9146"/>
    <cellStyle name="20% - Accent6 2 6 3" xfId="9147"/>
    <cellStyle name="20% - Accent6 2 6 3 2" xfId="9148"/>
    <cellStyle name="20% - Accent6 2 6 3 3" xfId="9149"/>
    <cellStyle name="20% - Accent6 2 6 4" xfId="9150"/>
    <cellStyle name="20% - Accent6 2 6 5" xfId="9151"/>
    <cellStyle name="20% - Accent6 2 7" xfId="9152"/>
    <cellStyle name="20% - Accent6 2 7 2" xfId="9153"/>
    <cellStyle name="20% - Accent6 2 7 3" xfId="9154"/>
    <cellStyle name="20% - Accent6 2 8" xfId="9155"/>
    <cellStyle name="20% - Accent6 2 8 2" xfId="9156"/>
    <cellStyle name="20% - Accent6 2 8 3" xfId="9157"/>
    <cellStyle name="20% - Accent6 2 9" xfId="9158"/>
    <cellStyle name="20% - Accent6 2_Volatility" xfId="9159"/>
    <cellStyle name="20% - Accent6 3" xfId="9160"/>
    <cellStyle name="20% - Accent6 3 10" xfId="9161"/>
    <cellStyle name="20% - Accent6 3 2" xfId="9162"/>
    <cellStyle name="20% - Accent6 3 2 2" xfId="9163"/>
    <cellStyle name="20% - Accent6 3 2 2 2" xfId="9164"/>
    <cellStyle name="20% - Accent6 3 2 2 2 2" xfId="9165"/>
    <cellStyle name="20% - Accent6 3 2 2 2 3" xfId="9166"/>
    <cellStyle name="20% - Accent6 3 2 2 3" xfId="9167"/>
    <cellStyle name="20% - Accent6 3 2 2 3 2" xfId="9168"/>
    <cellStyle name="20% - Accent6 3 2 2 3 3" xfId="9169"/>
    <cellStyle name="20% - Accent6 3 2 2 4" xfId="9170"/>
    <cellStyle name="20% - Accent6 3 2 2 5" xfId="9171"/>
    <cellStyle name="20% - Accent6 3 2 3" xfId="9172"/>
    <cellStyle name="20% - Accent6 3 2 3 2" xfId="9173"/>
    <cellStyle name="20% - Accent6 3 2 3 2 2" xfId="9174"/>
    <cellStyle name="20% - Accent6 3 2 3 2 3" xfId="9175"/>
    <cellStyle name="20% - Accent6 3 2 3 3" xfId="9176"/>
    <cellStyle name="20% - Accent6 3 2 3 3 2" xfId="9177"/>
    <cellStyle name="20% - Accent6 3 2 3 3 3" xfId="9178"/>
    <cellStyle name="20% - Accent6 3 2 3 4" xfId="9179"/>
    <cellStyle name="20% - Accent6 3 2 3 5" xfId="9180"/>
    <cellStyle name="20% - Accent6 3 2 4" xfId="9181"/>
    <cellStyle name="20% - Accent6 3 2 4 2" xfId="9182"/>
    <cellStyle name="20% - Accent6 3 2 4 2 2" xfId="9183"/>
    <cellStyle name="20% - Accent6 3 2 4 2 3" xfId="9184"/>
    <cellStyle name="20% - Accent6 3 2 4 3" xfId="9185"/>
    <cellStyle name="20% - Accent6 3 2 4 3 2" xfId="9186"/>
    <cellStyle name="20% - Accent6 3 2 4 3 3" xfId="9187"/>
    <cellStyle name="20% - Accent6 3 2 4 4" xfId="9188"/>
    <cellStyle name="20% - Accent6 3 2 4 5" xfId="9189"/>
    <cellStyle name="20% - Accent6 3 2 5" xfId="9190"/>
    <cellStyle name="20% - Accent6 3 2 5 2" xfId="9191"/>
    <cellStyle name="20% - Accent6 3 2 5 3" xfId="9192"/>
    <cellStyle name="20% - Accent6 3 2 6" xfId="9193"/>
    <cellStyle name="20% - Accent6 3 2 6 2" xfId="9194"/>
    <cellStyle name="20% - Accent6 3 2 6 3" xfId="9195"/>
    <cellStyle name="20% - Accent6 3 2 7" xfId="9196"/>
    <cellStyle name="20% - Accent6 3 2 8" xfId="9197"/>
    <cellStyle name="20% - Accent6 3 2_Volatility" xfId="9198"/>
    <cellStyle name="20% - Accent6 3 3" xfId="9199"/>
    <cellStyle name="20% - Accent6 3 3 2" xfId="9200"/>
    <cellStyle name="20% - Accent6 3 3 2 2" xfId="9201"/>
    <cellStyle name="20% - Accent6 3 3 2 2 2" xfId="9202"/>
    <cellStyle name="20% - Accent6 3 3 2 2 3" xfId="9203"/>
    <cellStyle name="20% - Accent6 3 3 2 3" xfId="9204"/>
    <cellStyle name="20% - Accent6 3 3 2 3 2" xfId="9205"/>
    <cellStyle name="20% - Accent6 3 3 2 3 3" xfId="9206"/>
    <cellStyle name="20% - Accent6 3 3 2 4" xfId="9207"/>
    <cellStyle name="20% - Accent6 3 3 2 5" xfId="9208"/>
    <cellStyle name="20% - Accent6 3 3 3" xfId="9209"/>
    <cellStyle name="20% - Accent6 3 3 3 2" xfId="9210"/>
    <cellStyle name="20% - Accent6 3 3 3 2 2" xfId="9211"/>
    <cellStyle name="20% - Accent6 3 3 3 2 3" xfId="9212"/>
    <cellStyle name="20% - Accent6 3 3 3 3" xfId="9213"/>
    <cellStyle name="20% - Accent6 3 3 3 3 2" xfId="9214"/>
    <cellStyle name="20% - Accent6 3 3 3 3 3" xfId="9215"/>
    <cellStyle name="20% - Accent6 3 3 3 4" xfId="9216"/>
    <cellStyle name="20% - Accent6 3 3 3 5" xfId="9217"/>
    <cellStyle name="20% - Accent6 3 3 4" xfId="9218"/>
    <cellStyle name="20% - Accent6 3 3 4 2" xfId="9219"/>
    <cellStyle name="20% - Accent6 3 3 4 3" xfId="9220"/>
    <cellStyle name="20% - Accent6 3 3 5" xfId="9221"/>
    <cellStyle name="20% - Accent6 3 3 5 2" xfId="9222"/>
    <cellStyle name="20% - Accent6 3 3 5 3" xfId="9223"/>
    <cellStyle name="20% - Accent6 3 3 6" xfId="9224"/>
    <cellStyle name="20% - Accent6 3 3 7" xfId="9225"/>
    <cellStyle name="20% - Accent6 3 3_Volatility" xfId="9226"/>
    <cellStyle name="20% - Accent6 3 4" xfId="9227"/>
    <cellStyle name="20% - Accent6 3 4 2" xfId="9228"/>
    <cellStyle name="20% - Accent6 3 4 2 2" xfId="9229"/>
    <cellStyle name="20% - Accent6 3 4 2 3" xfId="9230"/>
    <cellStyle name="20% - Accent6 3 4 3" xfId="9231"/>
    <cellStyle name="20% - Accent6 3 4 3 2" xfId="9232"/>
    <cellStyle name="20% - Accent6 3 4 3 3" xfId="9233"/>
    <cellStyle name="20% - Accent6 3 4 4" xfId="9234"/>
    <cellStyle name="20% - Accent6 3 4 5" xfId="9235"/>
    <cellStyle name="20% - Accent6 3 5" xfId="9236"/>
    <cellStyle name="20% - Accent6 3 5 2" xfId="9237"/>
    <cellStyle name="20% - Accent6 3 5 2 2" xfId="9238"/>
    <cellStyle name="20% - Accent6 3 5 2 3" xfId="9239"/>
    <cellStyle name="20% - Accent6 3 5 3" xfId="9240"/>
    <cellStyle name="20% - Accent6 3 5 3 2" xfId="9241"/>
    <cellStyle name="20% - Accent6 3 5 3 3" xfId="9242"/>
    <cellStyle name="20% - Accent6 3 5 4" xfId="9243"/>
    <cellStyle name="20% - Accent6 3 5 5" xfId="9244"/>
    <cellStyle name="20% - Accent6 3 6" xfId="9245"/>
    <cellStyle name="20% - Accent6 3 6 2" xfId="9246"/>
    <cellStyle name="20% - Accent6 3 6 2 2" xfId="9247"/>
    <cellStyle name="20% - Accent6 3 6 2 3" xfId="9248"/>
    <cellStyle name="20% - Accent6 3 6 3" xfId="9249"/>
    <cellStyle name="20% - Accent6 3 6 3 2" xfId="9250"/>
    <cellStyle name="20% - Accent6 3 6 3 3" xfId="9251"/>
    <cellStyle name="20% - Accent6 3 6 4" xfId="9252"/>
    <cellStyle name="20% - Accent6 3 6 5" xfId="9253"/>
    <cellStyle name="20% - Accent6 3 7" xfId="9254"/>
    <cellStyle name="20% - Accent6 3 7 2" xfId="9255"/>
    <cellStyle name="20% - Accent6 3 7 3" xfId="9256"/>
    <cellStyle name="20% - Accent6 3 8" xfId="9257"/>
    <cellStyle name="20% - Accent6 3 8 2" xfId="9258"/>
    <cellStyle name="20% - Accent6 3 8 3" xfId="9259"/>
    <cellStyle name="20% - Accent6 3 9" xfId="9260"/>
    <cellStyle name="20% - Accent6 3_Volatility" xfId="9261"/>
    <cellStyle name="20% - Accent6 4" xfId="9262"/>
    <cellStyle name="20% - Accent6 4 10" xfId="9263"/>
    <cellStyle name="20% - Accent6 4 2" xfId="9264"/>
    <cellStyle name="20% - Accent6 4 2 2" xfId="9265"/>
    <cellStyle name="20% - Accent6 4 2 2 2" xfId="9266"/>
    <cellStyle name="20% - Accent6 4 2 2 2 2" xfId="9267"/>
    <cellStyle name="20% - Accent6 4 2 2 2 3" xfId="9268"/>
    <cellStyle name="20% - Accent6 4 2 2 3" xfId="9269"/>
    <cellStyle name="20% - Accent6 4 2 2 3 2" xfId="9270"/>
    <cellStyle name="20% - Accent6 4 2 2 3 3" xfId="9271"/>
    <cellStyle name="20% - Accent6 4 2 2 4" xfId="9272"/>
    <cellStyle name="20% - Accent6 4 2 2 5" xfId="9273"/>
    <cellStyle name="20% - Accent6 4 2 3" xfId="9274"/>
    <cellStyle name="20% - Accent6 4 2 3 2" xfId="9275"/>
    <cellStyle name="20% - Accent6 4 2 3 2 2" xfId="9276"/>
    <cellStyle name="20% - Accent6 4 2 3 2 3" xfId="9277"/>
    <cellStyle name="20% - Accent6 4 2 3 3" xfId="9278"/>
    <cellStyle name="20% - Accent6 4 2 3 3 2" xfId="9279"/>
    <cellStyle name="20% - Accent6 4 2 3 3 3" xfId="9280"/>
    <cellStyle name="20% - Accent6 4 2 3 4" xfId="9281"/>
    <cellStyle name="20% - Accent6 4 2 3 5" xfId="9282"/>
    <cellStyle name="20% - Accent6 4 2 4" xfId="9283"/>
    <cellStyle name="20% - Accent6 4 2 4 2" xfId="9284"/>
    <cellStyle name="20% - Accent6 4 2 4 2 2" xfId="9285"/>
    <cellStyle name="20% - Accent6 4 2 4 2 3" xfId="9286"/>
    <cellStyle name="20% - Accent6 4 2 4 3" xfId="9287"/>
    <cellStyle name="20% - Accent6 4 2 4 3 2" xfId="9288"/>
    <cellStyle name="20% - Accent6 4 2 4 3 3" xfId="9289"/>
    <cellStyle name="20% - Accent6 4 2 4 4" xfId="9290"/>
    <cellStyle name="20% - Accent6 4 2 4 5" xfId="9291"/>
    <cellStyle name="20% - Accent6 4 2 5" xfId="9292"/>
    <cellStyle name="20% - Accent6 4 2 5 2" xfId="9293"/>
    <cellStyle name="20% - Accent6 4 2 5 3" xfId="9294"/>
    <cellStyle name="20% - Accent6 4 2 6" xfId="9295"/>
    <cellStyle name="20% - Accent6 4 2 6 2" xfId="9296"/>
    <cellStyle name="20% - Accent6 4 2 6 3" xfId="9297"/>
    <cellStyle name="20% - Accent6 4 2 7" xfId="9298"/>
    <cellStyle name="20% - Accent6 4 2 8" xfId="9299"/>
    <cellStyle name="20% - Accent6 4 2_Volatility" xfId="9300"/>
    <cellStyle name="20% - Accent6 4 3" xfId="9301"/>
    <cellStyle name="20% - Accent6 4 3 2" xfId="9302"/>
    <cellStyle name="20% - Accent6 4 3 2 2" xfId="9303"/>
    <cellStyle name="20% - Accent6 4 3 2 2 2" xfId="9304"/>
    <cellStyle name="20% - Accent6 4 3 2 2 3" xfId="9305"/>
    <cellStyle name="20% - Accent6 4 3 2 3" xfId="9306"/>
    <cellStyle name="20% - Accent6 4 3 2 3 2" xfId="9307"/>
    <cellStyle name="20% - Accent6 4 3 2 3 3" xfId="9308"/>
    <cellStyle name="20% - Accent6 4 3 2 4" xfId="9309"/>
    <cellStyle name="20% - Accent6 4 3 2 5" xfId="9310"/>
    <cellStyle name="20% - Accent6 4 3 3" xfId="9311"/>
    <cellStyle name="20% - Accent6 4 3 3 2" xfId="9312"/>
    <cellStyle name="20% - Accent6 4 3 3 2 2" xfId="9313"/>
    <cellStyle name="20% - Accent6 4 3 3 2 3" xfId="9314"/>
    <cellStyle name="20% - Accent6 4 3 3 3" xfId="9315"/>
    <cellStyle name="20% - Accent6 4 3 3 3 2" xfId="9316"/>
    <cellStyle name="20% - Accent6 4 3 3 3 3" xfId="9317"/>
    <cellStyle name="20% - Accent6 4 3 3 4" xfId="9318"/>
    <cellStyle name="20% - Accent6 4 3 3 5" xfId="9319"/>
    <cellStyle name="20% - Accent6 4 3 4" xfId="9320"/>
    <cellStyle name="20% - Accent6 4 3 4 2" xfId="9321"/>
    <cellStyle name="20% - Accent6 4 3 4 3" xfId="9322"/>
    <cellStyle name="20% - Accent6 4 3 5" xfId="9323"/>
    <cellStyle name="20% - Accent6 4 3 5 2" xfId="9324"/>
    <cellStyle name="20% - Accent6 4 3 5 3" xfId="9325"/>
    <cellStyle name="20% - Accent6 4 3 6" xfId="9326"/>
    <cellStyle name="20% - Accent6 4 3 7" xfId="9327"/>
    <cellStyle name="20% - Accent6 4 3_Volatility" xfId="9328"/>
    <cellStyle name="20% - Accent6 4 4" xfId="9329"/>
    <cellStyle name="20% - Accent6 4 4 2" xfId="9330"/>
    <cellStyle name="20% - Accent6 4 4 2 2" xfId="9331"/>
    <cellStyle name="20% - Accent6 4 4 2 3" xfId="9332"/>
    <cellStyle name="20% - Accent6 4 4 3" xfId="9333"/>
    <cellStyle name="20% - Accent6 4 4 3 2" xfId="9334"/>
    <cellStyle name="20% - Accent6 4 4 3 3" xfId="9335"/>
    <cellStyle name="20% - Accent6 4 4 4" xfId="9336"/>
    <cellStyle name="20% - Accent6 4 4 5" xfId="9337"/>
    <cellStyle name="20% - Accent6 4 5" xfId="9338"/>
    <cellStyle name="20% - Accent6 4 5 2" xfId="9339"/>
    <cellStyle name="20% - Accent6 4 5 2 2" xfId="9340"/>
    <cellStyle name="20% - Accent6 4 5 2 3" xfId="9341"/>
    <cellStyle name="20% - Accent6 4 5 3" xfId="9342"/>
    <cellStyle name="20% - Accent6 4 5 3 2" xfId="9343"/>
    <cellStyle name="20% - Accent6 4 5 3 3" xfId="9344"/>
    <cellStyle name="20% - Accent6 4 5 4" xfId="9345"/>
    <cellStyle name="20% - Accent6 4 5 5" xfId="9346"/>
    <cellStyle name="20% - Accent6 4 6" xfId="9347"/>
    <cellStyle name="20% - Accent6 4 6 2" xfId="9348"/>
    <cellStyle name="20% - Accent6 4 6 2 2" xfId="9349"/>
    <cellStyle name="20% - Accent6 4 6 2 3" xfId="9350"/>
    <cellStyle name="20% - Accent6 4 6 3" xfId="9351"/>
    <cellStyle name="20% - Accent6 4 6 3 2" xfId="9352"/>
    <cellStyle name="20% - Accent6 4 6 3 3" xfId="9353"/>
    <cellStyle name="20% - Accent6 4 6 4" xfId="9354"/>
    <cellStyle name="20% - Accent6 4 6 5" xfId="9355"/>
    <cellStyle name="20% - Accent6 4 7" xfId="9356"/>
    <cellStyle name="20% - Accent6 4 7 2" xfId="9357"/>
    <cellStyle name="20% - Accent6 4 7 3" xfId="9358"/>
    <cellStyle name="20% - Accent6 4 8" xfId="9359"/>
    <cellStyle name="20% - Accent6 4 8 2" xfId="9360"/>
    <cellStyle name="20% - Accent6 4 8 3" xfId="9361"/>
    <cellStyle name="20% - Accent6 4 9" xfId="9362"/>
    <cellStyle name="20% - Accent6 4_Volatility" xfId="9363"/>
    <cellStyle name="20% - Accent6 5" xfId="9364"/>
    <cellStyle name="20% - Accent6 5 10" xfId="9365"/>
    <cellStyle name="20% - Accent6 5 2" xfId="9366"/>
    <cellStyle name="20% - Accent6 5 2 2" xfId="9367"/>
    <cellStyle name="20% - Accent6 5 2 2 2" xfId="9368"/>
    <cellStyle name="20% - Accent6 5 2 2 2 2" xfId="9369"/>
    <cellStyle name="20% - Accent6 5 2 2 2 3" xfId="9370"/>
    <cellStyle name="20% - Accent6 5 2 2 3" xfId="9371"/>
    <cellStyle name="20% - Accent6 5 2 2 3 2" xfId="9372"/>
    <cellStyle name="20% - Accent6 5 2 2 3 3" xfId="9373"/>
    <cellStyle name="20% - Accent6 5 2 2 4" xfId="9374"/>
    <cellStyle name="20% - Accent6 5 2 2 5" xfId="9375"/>
    <cellStyle name="20% - Accent6 5 2 3" xfId="9376"/>
    <cellStyle name="20% - Accent6 5 2 3 2" xfId="9377"/>
    <cellStyle name="20% - Accent6 5 2 3 2 2" xfId="9378"/>
    <cellStyle name="20% - Accent6 5 2 3 2 3" xfId="9379"/>
    <cellStyle name="20% - Accent6 5 2 3 3" xfId="9380"/>
    <cellStyle name="20% - Accent6 5 2 3 3 2" xfId="9381"/>
    <cellStyle name="20% - Accent6 5 2 3 3 3" xfId="9382"/>
    <cellStyle name="20% - Accent6 5 2 3 4" xfId="9383"/>
    <cellStyle name="20% - Accent6 5 2 3 5" xfId="9384"/>
    <cellStyle name="20% - Accent6 5 2 4" xfId="9385"/>
    <cellStyle name="20% - Accent6 5 2 4 2" xfId="9386"/>
    <cellStyle name="20% - Accent6 5 2 4 2 2" xfId="9387"/>
    <cellStyle name="20% - Accent6 5 2 4 2 3" xfId="9388"/>
    <cellStyle name="20% - Accent6 5 2 4 3" xfId="9389"/>
    <cellStyle name="20% - Accent6 5 2 4 3 2" xfId="9390"/>
    <cellStyle name="20% - Accent6 5 2 4 3 3" xfId="9391"/>
    <cellStyle name="20% - Accent6 5 2 4 4" xfId="9392"/>
    <cellStyle name="20% - Accent6 5 2 4 5" xfId="9393"/>
    <cellStyle name="20% - Accent6 5 2 5" xfId="9394"/>
    <cellStyle name="20% - Accent6 5 2 5 2" xfId="9395"/>
    <cellStyle name="20% - Accent6 5 2 5 3" xfId="9396"/>
    <cellStyle name="20% - Accent6 5 2 6" xfId="9397"/>
    <cellStyle name="20% - Accent6 5 2 6 2" xfId="9398"/>
    <cellStyle name="20% - Accent6 5 2 6 3" xfId="9399"/>
    <cellStyle name="20% - Accent6 5 2 7" xfId="9400"/>
    <cellStyle name="20% - Accent6 5 2 8" xfId="9401"/>
    <cellStyle name="20% - Accent6 5 2_Volatility" xfId="9402"/>
    <cellStyle name="20% - Accent6 5 3" xfId="9403"/>
    <cellStyle name="20% - Accent6 5 3 2" xfId="9404"/>
    <cellStyle name="20% - Accent6 5 3 2 2" xfId="9405"/>
    <cellStyle name="20% - Accent6 5 3 2 2 2" xfId="9406"/>
    <cellStyle name="20% - Accent6 5 3 2 2 3" xfId="9407"/>
    <cellStyle name="20% - Accent6 5 3 2 3" xfId="9408"/>
    <cellStyle name="20% - Accent6 5 3 2 3 2" xfId="9409"/>
    <cellStyle name="20% - Accent6 5 3 2 3 3" xfId="9410"/>
    <cellStyle name="20% - Accent6 5 3 2 4" xfId="9411"/>
    <cellStyle name="20% - Accent6 5 3 2 5" xfId="9412"/>
    <cellStyle name="20% - Accent6 5 3 3" xfId="9413"/>
    <cellStyle name="20% - Accent6 5 3 3 2" xfId="9414"/>
    <cellStyle name="20% - Accent6 5 3 3 2 2" xfId="9415"/>
    <cellStyle name="20% - Accent6 5 3 3 2 3" xfId="9416"/>
    <cellStyle name="20% - Accent6 5 3 3 3" xfId="9417"/>
    <cellStyle name="20% - Accent6 5 3 3 3 2" xfId="9418"/>
    <cellStyle name="20% - Accent6 5 3 3 3 3" xfId="9419"/>
    <cellStyle name="20% - Accent6 5 3 3 4" xfId="9420"/>
    <cellStyle name="20% - Accent6 5 3 3 5" xfId="9421"/>
    <cellStyle name="20% - Accent6 5 3 4" xfId="9422"/>
    <cellStyle name="20% - Accent6 5 3 4 2" xfId="9423"/>
    <cellStyle name="20% - Accent6 5 3 4 3" xfId="9424"/>
    <cellStyle name="20% - Accent6 5 3 5" xfId="9425"/>
    <cellStyle name="20% - Accent6 5 3 5 2" xfId="9426"/>
    <cellStyle name="20% - Accent6 5 3 5 3" xfId="9427"/>
    <cellStyle name="20% - Accent6 5 3 6" xfId="9428"/>
    <cellStyle name="20% - Accent6 5 3 7" xfId="9429"/>
    <cellStyle name="20% - Accent6 5 3_Volatility" xfId="9430"/>
    <cellStyle name="20% - Accent6 5 4" xfId="9431"/>
    <cellStyle name="20% - Accent6 5 4 2" xfId="9432"/>
    <cellStyle name="20% - Accent6 5 4 2 2" xfId="9433"/>
    <cellStyle name="20% - Accent6 5 4 2 3" xfId="9434"/>
    <cellStyle name="20% - Accent6 5 4 3" xfId="9435"/>
    <cellStyle name="20% - Accent6 5 4 3 2" xfId="9436"/>
    <cellStyle name="20% - Accent6 5 4 3 3" xfId="9437"/>
    <cellStyle name="20% - Accent6 5 4 4" xfId="9438"/>
    <cellStyle name="20% - Accent6 5 4 5" xfId="9439"/>
    <cellStyle name="20% - Accent6 5 5" xfId="9440"/>
    <cellStyle name="20% - Accent6 5 5 2" xfId="9441"/>
    <cellStyle name="20% - Accent6 5 5 2 2" xfId="9442"/>
    <cellStyle name="20% - Accent6 5 5 2 3" xfId="9443"/>
    <cellStyle name="20% - Accent6 5 5 3" xfId="9444"/>
    <cellStyle name="20% - Accent6 5 5 3 2" xfId="9445"/>
    <cellStyle name="20% - Accent6 5 5 3 3" xfId="9446"/>
    <cellStyle name="20% - Accent6 5 5 4" xfId="9447"/>
    <cellStyle name="20% - Accent6 5 5 5" xfId="9448"/>
    <cellStyle name="20% - Accent6 5 6" xfId="9449"/>
    <cellStyle name="20% - Accent6 5 6 2" xfId="9450"/>
    <cellStyle name="20% - Accent6 5 6 2 2" xfId="9451"/>
    <cellStyle name="20% - Accent6 5 6 2 3" xfId="9452"/>
    <cellStyle name="20% - Accent6 5 6 3" xfId="9453"/>
    <cellStyle name="20% - Accent6 5 6 3 2" xfId="9454"/>
    <cellStyle name="20% - Accent6 5 6 3 3" xfId="9455"/>
    <cellStyle name="20% - Accent6 5 6 4" xfId="9456"/>
    <cellStyle name="20% - Accent6 5 6 5" xfId="9457"/>
    <cellStyle name="20% - Accent6 5 7" xfId="9458"/>
    <cellStyle name="20% - Accent6 5 7 2" xfId="9459"/>
    <cellStyle name="20% - Accent6 5 7 3" xfId="9460"/>
    <cellStyle name="20% - Accent6 5 8" xfId="9461"/>
    <cellStyle name="20% - Accent6 5 8 2" xfId="9462"/>
    <cellStyle name="20% - Accent6 5 8 3" xfId="9463"/>
    <cellStyle name="20% - Accent6 5 9" xfId="9464"/>
    <cellStyle name="20% - Accent6 5_Volatility" xfId="9465"/>
    <cellStyle name="20% - Accent6 6" xfId="9466"/>
    <cellStyle name="20% - Accent6 6 10" xfId="9467"/>
    <cellStyle name="20% - Accent6 6 2" xfId="9468"/>
    <cellStyle name="20% - Accent6 6 2 2" xfId="9469"/>
    <cellStyle name="20% - Accent6 6 2 2 2" xfId="9470"/>
    <cellStyle name="20% - Accent6 6 2 2 2 2" xfId="9471"/>
    <cellStyle name="20% - Accent6 6 2 2 2 3" xfId="9472"/>
    <cellStyle name="20% - Accent6 6 2 2 3" xfId="9473"/>
    <cellStyle name="20% - Accent6 6 2 2 3 2" xfId="9474"/>
    <cellStyle name="20% - Accent6 6 2 2 3 3" xfId="9475"/>
    <cellStyle name="20% - Accent6 6 2 2 4" xfId="9476"/>
    <cellStyle name="20% - Accent6 6 2 2 5" xfId="9477"/>
    <cellStyle name="20% - Accent6 6 2 3" xfId="9478"/>
    <cellStyle name="20% - Accent6 6 2 3 2" xfId="9479"/>
    <cellStyle name="20% - Accent6 6 2 3 2 2" xfId="9480"/>
    <cellStyle name="20% - Accent6 6 2 3 2 3" xfId="9481"/>
    <cellStyle name="20% - Accent6 6 2 3 3" xfId="9482"/>
    <cellStyle name="20% - Accent6 6 2 3 3 2" xfId="9483"/>
    <cellStyle name="20% - Accent6 6 2 3 3 3" xfId="9484"/>
    <cellStyle name="20% - Accent6 6 2 3 4" xfId="9485"/>
    <cellStyle name="20% - Accent6 6 2 3 5" xfId="9486"/>
    <cellStyle name="20% - Accent6 6 2 4" xfId="9487"/>
    <cellStyle name="20% - Accent6 6 2 4 2" xfId="9488"/>
    <cellStyle name="20% - Accent6 6 2 4 2 2" xfId="9489"/>
    <cellStyle name="20% - Accent6 6 2 4 2 3" xfId="9490"/>
    <cellStyle name="20% - Accent6 6 2 4 3" xfId="9491"/>
    <cellStyle name="20% - Accent6 6 2 4 3 2" xfId="9492"/>
    <cellStyle name="20% - Accent6 6 2 4 3 3" xfId="9493"/>
    <cellStyle name="20% - Accent6 6 2 4 4" xfId="9494"/>
    <cellStyle name="20% - Accent6 6 2 4 5" xfId="9495"/>
    <cellStyle name="20% - Accent6 6 2 5" xfId="9496"/>
    <cellStyle name="20% - Accent6 6 2 5 2" xfId="9497"/>
    <cellStyle name="20% - Accent6 6 2 5 3" xfId="9498"/>
    <cellStyle name="20% - Accent6 6 2 6" xfId="9499"/>
    <cellStyle name="20% - Accent6 6 2 6 2" xfId="9500"/>
    <cellStyle name="20% - Accent6 6 2 6 3" xfId="9501"/>
    <cellStyle name="20% - Accent6 6 2 7" xfId="9502"/>
    <cellStyle name="20% - Accent6 6 2 8" xfId="9503"/>
    <cellStyle name="20% - Accent6 6 2_Volatility" xfId="9504"/>
    <cellStyle name="20% - Accent6 6 3" xfId="9505"/>
    <cellStyle name="20% - Accent6 6 3 2" xfId="9506"/>
    <cellStyle name="20% - Accent6 6 3 2 2" xfId="9507"/>
    <cellStyle name="20% - Accent6 6 3 2 2 2" xfId="9508"/>
    <cellStyle name="20% - Accent6 6 3 2 2 3" xfId="9509"/>
    <cellStyle name="20% - Accent6 6 3 2 3" xfId="9510"/>
    <cellStyle name="20% - Accent6 6 3 2 3 2" xfId="9511"/>
    <cellStyle name="20% - Accent6 6 3 2 3 3" xfId="9512"/>
    <cellStyle name="20% - Accent6 6 3 2 4" xfId="9513"/>
    <cellStyle name="20% - Accent6 6 3 2 5" xfId="9514"/>
    <cellStyle name="20% - Accent6 6 3 3" xfId="9515"/>
    <cellStyle name="20% - Accent6 6 3 3 2" xfId="9516"/>
    <cellStyle name="20% - Accent6 6 3 3 2 2" xfId="9517"/>
    <cellStyle name="20% - Accent6 6 3 3 2 3" xfId="9518"/>
    <cellStyle name="20% - Accent6 6 3 3 3" xfId="9519"/>
    <cellStyle name="20% - Accent6 6 3 3 3 2" xfId="9520"/>
    <cellStyle name="20% - Accent6 6 3 3 3 3" xfId="9521"/>
    <cellStyle name="20% - Accent6 6 3 3 4" xfId="9522"/>
    <cellStyle name="20% - Accent6 6 3 3 5" xfId="9523"/>
    <cellStyle name="20% - Accent6 6 3 4" xfId="9524"/>
    <cellStyle name="20% - Accent6 6 3 4 2" xfId="9525"/>
    <cellStyle name="20% - Accent6 6 3 4 3" xfId="9526"/>
    <cellStyle name="20% - Accent6 6 3 5" xfId="9527"/>
    <cellStyle name="20% - Accent6 6 3 5 2" xfId="9528"/>
    <cellStyle name="20% - Accent6 6 3 5 3" xfId="9529"/>
    <cellStyle name="20% - Accent6 6 3 6" xfId="9530"/>
    <cellStyle name="20% - Accent6 6 3 7" xfId="9531"/>
    <cellStyle name="20% - Accent6 6 3_Volatility" xfId="9532"/>
    <cellStyle name="20% - Accent6 6 4" xfId="9533"/>
    <cellStyle name="20% - Accent6 6 4 2" xfId="9534"/>
    <cellStyle name="20% - Accent6 6 4 2 2" xfId="9535"/>
    <cellStyle name="20% - Accent6 6 4 2 3" xfId="9536"/>
    <cellStyle name="20% - Accent6 6 4 3" xfId="9537"/>
    <cellStyle name="20% - Accent6 6 4 3 2" xfId="9538"/>
    <cellStyle name="20% - Accent6 6 4 3 3" xfId="9539"/>
    <cellStyle name="20% - Accent6 6 4 4" xfId="9540"/>
    <cellStyle name="20% - Accent6 6 4 5" xfId="9541"/>
    <cellStyle name="20% - Accent6 6 5" xfId="9542"/>
    <cellStyle name="20% - Accent6 6 5 2" xfId="9543"/>
    <cellStyle name="20% - Accent6 6 5 2 2" xfId="9544"/>
    <cellStyle name="20% - Accent6 6 5 2 3" xfId="9545"/>
    <cellStyle name="20% - Accent6 6 5 3" xfId="9546"/>
    <cellStyle name="20% - Accent6 6 5 3 2" xfId="9547"/>
    <cellStyle name="20% - Accent6 6 5 3 3" xfId="9548"/>
    <cellStyle name="20% - Accent6 6 5 4" xfId="9549"/>
    <cellStyle name="20% - Accent6 6 5 5" xfId="9550"/>
    <cellStyle name="20% - Accent6 6 6" xfId="9551"/>
    <cellStyle name="20% - Accent6 6 6 2" xfId="9552"/>
    <cellStyle name="20% - Accent6 6 6 2 2" xfId="9553"/>
    <cellStyle name="20% - Accent6 6 6 2 3" xfId="9554"/>
    <cellStyle name="20% - Accent6 6 6 3" xfId="9555"/>
    <cellStyle name="20% - Accent6 6 6 3 2" xfId="9556"/>
    <cellStyle name="20% - Accent6 6 6 3 3" xfId="9557"/>
    <cellStyle name="20% - Accent6 6 6 4" xfId="9558"/>
    <cellStyle name="20% - Accent6 6 6 5" xfId="9559"/>
    <cellStyle name="20% - Accent6 6 7" xfId="9560"/>
    <cellStyle name="20% - Accent6 6 7 2" xfId="9561"/>
    <cellStyle name="20% - Accent6 6 7 3" xfId="9562"/>
    <cellStyle name="20% - Accent6 6 8" xfId="9563"/>
    <cellStyle name="20% - Accent6 6 8 2" xfId="9564"/>
    <cellStyle name="20% - Accent6 6 8 3" xfId="9565"/>
    <cellStyle name="20% - Accent6 6 9" xfId="9566"/>
    <cellStyle name="20% - Accent6 6_Volatility" xfId="9567"/>
    <cellStyle name="20% - Accent6 7" xfId="9568"/>
    <cellStyle name="20% - Accent6 7 10" xfId="9569"/>
    <cellStyle name="20% - Accent6 7 2" xfId="9570"/>
    <cellStyle name="20% - Accent6 7 2 2" xfId="9571"/>
    <cellStyle name="20% - Accent6 7 2 2 2" xfId="9572"/>
    <cellStyle name="20% - Accent6 7 2 2 2 2" xfId="9573"/>
    <cellStyle name="20% - Accent6 7 2 2 2 3" xfId="9574"/>
    <cellStyle name="20% - Accent6 7 2 2 3" xfId="9575"/>
    <cellStyle name="20% - Accent6 7 2 2 3 2" xfId="9576"/>
    <cellStyle name="20% - Accent6 7 2 2 3 3" xfId="9577"/>
    <cellStyle name="20% - Accent6 7 2 2 4" xfId="9578"/>
    <cellStyle name="20% - Accent6 7 2 2 5" xfId="9579"/>
    <cellStyle name="20% - Accent6 7 2 3" xfId="9580"/>
    <cellStyle name="20% - Accent6 7 2 3 2" xfId="9581"/>
    <cellStyle name="20% - Accent6 7 2 3 2 2" xfId="9582"/>
    <cellStyle name="20% - Accent6 7 2 3 2 3" xfId="9583"/>
    <cellStyle name="20% - Accent6 7 2 3 3" xfId="9584"/>
    <cellStyle name="20% - Accent6 7 2 3 3 2" xfId="9585"/>
    <cellStyle name="20% - Accent6 7 2 3 3 3" xfId="9586"/>
    <cellStyle name="20% - Accent6 7 2 3 4" xfId="9587"/>
    <cellStyle name="20% - Accent6 7 2 3 5" xfId="9588"/>
    <cellStyle name="20% - Accent6 7 2 4" xfId="9589"/>
    <cellStyle name="20% - Accent6 7 2 4 2" xfId="9590"/>
    <cellStyle name="20% - Accent6 7 2 4 2 2" xfId="9591"/>
    <cellStyle name="20% - Accent6 7 2 4 2 3" xfId="9592"/>
    <cellStyle name="20% - Accent6 7 2 4 3" xfId="9593"/>
    <cellStyle name="20% - Accent6 7 2 4 3 2" xfId="9594"/>
    <cellStyle name="20% - Accent6 7 2 4 3 3" xfId="9595"/>
    <cellStyle name="20% - Accent6 7 2 4 4" xfId="9596"/>
    <cellStyle name="20% - Accent6 7 2 4 5" xfId="9597"/>
    <cellStyle name="20% - Accent6 7 2 5" xfId="9598"/>
    <cellStyle name="20% - Accent6 7 2 5 2" xfId="9599"/>
    <cellStyle name="20% - Accent6 7 2 5 3" xfId="9600"/>
    <cellStyle name="20% - Accent6 7 2 6" xfId="9601"/>
    <cellStyle name="20% - Accent6 7 2 6 2" xfId="9602"/>
    <cellStyle name="20% - Accent6 7 2 6 3" xfId="9603"/>
    <cellStyle name="20% - Accent6 7 2 7" xfId="9604"/>
    <cellStyle name="20% - Accent6 7 2 8" xfId="9605"/>
    <cellStyle name="20% - Accent6 7 2_Volatility" xfId="9606"/>
    <cellStyle name="20% - Accent6 7 3" xfId="9607"/>
    <cellStyle name="20% - Accent6 7 3 2" xfId="9608"/>
    <cellStyle name="20% - Accent6 7 3 2 2" xfId="9609"/>
    <cellStyle name="20% - Accent6 7 3 2 2 2" xfId="9610"/>
    <cellStyle name="20% - Accent6 7 3 2 2 3" xfId="9611"/>
    <cellStyle name="20% - Accent6 7 3 2 3" xfId="9612"/>
    <cellStyle name="20% - Accent6 7 3 2 3 2" xfId="9613"/>
    <cellStyle name="20% - Accent6 7 3 2 3 3" xfId="9614"/>
    <cellStyle name="20% - Accent6 7 3 2 4" xfId="9615"/>
    <cellStyle name="20% - Accent6 7 3 2 5" xfId="9616"/>
    <cellStyle name="20% - Accent6 7 3 3" xfId="9617"/>
    <cellStyle name="20% - Accent6 7 3 3 2" xfId="9618"/>
    <cellStyle name="20% - Accent6 7 3 3 2 2" xfId="9619"/>
    <cellStyle name="20% - Accent6 7 3 3 2 3" xfId="9620"/>
    <cellStyle name="20% - Accent6 7 3 3 3" xfId="9621"/>
    <cellStyle name="20% - Accent6 7 3 3 3 2" xfId="9622"/>
    <cellStyle name="20% - Accent6 7 3 3 3 3" xfId="9623"/>
    <cellStyle name="20% - Accent6 7 3 3 4" xfId="9624"/>
    <cellStyle name="20% - Accent6 7 3 3 5" xfId="9625"/>
    <cellStyle name="20% - Accent6 7 3 4" xfId="9626"/>
    <cellStyle name="20% - Accent6 7 3 4 2" xfId="9627"/>
    <cellStyle name="20% - Accent6 7 3 4 3" xfId="9628"/>
    <cellStyle name="20% - Accent6 7 3 5" xfId="9629"/>
    <cellStyle name="20% - Accent6 7 3 5 2" xfId="9630"/>
    <cellStyle name="20% - Accent6 7 3 5 3" xfId="9631"/>
    <cellStyle name="20% - Accent6 7 3 6" xfId="9632"/>
    <cellStyle name="20% - Accent6 7 3 7" xfId="9633"/>
    <cellStyle name="20% - Accent6 7 3_Volatility" xfId="9634"/>
    <cellStyle name="20% - Accent6 7 4" xfId="9635"/>
    <cellStyle name="20% - Accent6 7 4 2" xfId="9636"/>
    <cellStyle name="20% - Accent6 7 4 2 2" xfId="9637"/>
    <cellStyle name="20% - Accent6 7 4 2 3" xfId="9638"/>
    <cellStyle name="20% - Accent6 7 4 3" xfId="9639"/>
    <cellStyle name="20% - Accent6 7 4 3 2" xfId="9640"/>
    <cellStyle name="20% - Accent6 7 4 3 3" xfId="9641"/>
    <cellStyle name="20% - Accent6 7 4 4" xfId="9642"/>
    <cellStyle name="20% - Accent6 7 4 5" xfId="9643"/>
    <cellStyle name="20% - Accent6 7 5" xfId="9644"/>
    <cellStyle name="20% - Accent6 7 5 2" xfId="9645"/>
    <cellStyle name="20% - Accent6 7 5 2 2" xfId="9646"/>
    <cellStyle name="20% - Accent6 7 5 2 3" xfId="9647"/>
    <cellStyle name="20% - Accent6 7 5 3" xfId="9648"/>
    <cellStyle name="20% - Accent6 7 5 3 2" xfId="9649"/>
    <cellStyle name="20% - Accent6 7 5 3 3" xfId="9650"/>
    <cellStyle name="20% - Accent6 7 5 4" xfId="9651"/>
    <cellStyle name="20% - Accent6 7 5 5" xfId="9652"/>
    <cellStyle name="20% - Accent6 7 6" xfId="9653"/>
    <cellStyle name="20% - Accent6 7 6 2" xfId="9654"/>
    <cellStyle name="20% - Accent6 7 6 2 2" xfId="9655"/>
    <cellStyle name="20% - Accent6 7 6 2 3" xfId="9656"/>
    <cellStyle name="20% - Accent6 7 6 3" xfId="9657"/>
    <cellStyle name="20% - Accent6 7 6 3 2" xfId="9658"/>
    <cellStyle name="20% - Accent6 7 6 3 3" xfId="9659"/>
    <cellStyle name="20% - Accent6 7 6 4" xfId="9660"/>
    <cellStyle name="20% - Accent6 7 6 5" xfId="9661"/>
    <cellStyle name="20% - Accent6 7 7" xfId="9662"/>
    <cellStyle name="20% - Accent6 7 7 2" xfId="9663"/>
    <cellStyle name="20% - Accent6 7 7 3" xfId="9664"/>
    <cellStyle name="20% - Accent6 7 8" xfId="9665"/>
    <cellStyle name="20% - Accent6 7 8 2" xfId="9666"/>
    <cellStyle name="20% - Accent6 7 8 3" xfId="9667"/>
    <cellStyle name="20% - Accent6 7 9" xfId="9668"/>
    <cellStyle name="20% - Accent6 7_Volatility" xfId="9669"/>
    <cellStyle name="20% - Accent6 8" xfId="9670"/>
    <cellStyle name="20% - Accent6 8 10" xfId="9671"/>
    <cellStyle name="20% - Accent6 8 2" xfId="9672"/>
    <cellStyle name="20% - Accent6 8 2 2" xfId="9673"/>
    <cellStyle name="20% - Accent6 8 2 2 2" xfId="9674"/>
    <cellStyle name="20% - Accent6 8 2 2 2 2" xfId="9675"/>
    <cellStyle name="20% - Accent6 8 2 2 2 3" xfId="9676"/>
    <cellStyle name="20% - Accent6 8 2 2 3" xfId="9677"/>
    <cellStyle name="20% - Accent6 8 2 2 3 2" xfId="9678"/>
    <cellStyle name="20% - Accent6 8 2 2 3 3" xfId="9679"/>
    <cellStyle name="20% - Accent6 8 2 2 4" xfId="9680"/>
    <cellStyle name="20% - Accent6 8 2 2 5" xfId="9681"/>
    <cellStyle name="20% - Accent6 8 2 3" xfId="9682"/>
    <cellStyle name="20% - Accent6 8 2 3 2" xfId="9683"/>
    <cellStyle name="20% - Accent6 8 2 3 2 2" xfId="9684"/>
    <cellStyle name="20% - Accent6 8 2 3 2 3" xfId="9685"/>
    <cellStyle name="20% - Accent6 8 2 3 3" xfId="9686"/>
    <cellStyle name="20% - Accent6 8 2 3 3 2" xfId="9687"/>
    <cellStyle name="20% - Accent6 8 2 3 3 3" xfId="9688"/>
    <cellStyle name="20% - Accent6 8 2 3 4" xfId="9689"/>
    <cellStyle name="20% - Accent6 8 2 3 5" xfId="9690"/>
    <cellStyle name="20% - Accent6 8 2 4" xfId="9691"/>
    <cellStyle name="20% - Accent6 8 2 4 2" xfId="9692"/>
    <cellStyle name="20% - Accent6 8 2 4 2 2" xfId="9693"/>
    <cellStyle name="20% - Accent6 8 2 4 2 3" xfId="9694"/>
    <cellStyle name="20% - Accent6 8 2 4 3" xfId="9695"/>
    <cellStyle name="20% - Accent6 8 2 4 3 2" xfId="9696"/>
    <cellStyle name="20% - Accent6 8 2 4 3 3" xfId="9697"/>
    <cellStyle name="20% - Accent6 8 2 4 4" xfId="9698"/>
    <cellStyle name="20% - Accent6 8 2 4 5" xfId="9699"/>
    <cellStyle name="20% - Accent6 8 2 5" xfId="9700"/>
    <cellStyle name="20% - Accent6 8 2 5 2" xfId="9701"/>
    <cellStyle name="20% - Accent6 8 2 5 3" xfId="9702"/>
    <cellStyle name="20% - Accent6 8 2 6" xfId="9703"/>
    <cellStyle name="20% - Accent6 8 2 6 2" xfId="9704"/>
    <cellStyle name="20% - Accent6 8 2 6 3" xfId="9705"/>
    <cellStyle name="20% - Accent6 8 2 7" xfId="9706"/>
    <cellStyle name="20% - Accent6 8 2 8" xfId="9707"/>
    <cellStyle name="20% - Accent6 8 2_Volatility" xfId="9708"/>
    <cellStyle name="20% - Accent6 8 3" xfId="9709"/>
    <cellStyle name="20% - Accent6 8 3 2" xfId="9710"/>
    <cellStyle name="20% - Accent6 8 3 2 2" xfId="9711"/>
    <cellStyle name="20% - Accent6 8 3 2 2 2" xfId="9712"/>
    <cellStyle name="20% - Accent6 8 3 2 2 3" xfId="9713"/>
    <cellStyle name="20% - Accent6 8 3 2 3" xfId="9714"/>
    <cellStyle name="20% - Accent6 8 3 2 3 2" xfId="9715"/>
    <cellStyle name="20% - Accent6 8 3 2 3 3" xfId="9716"/>
    <cellStyle name="20% - Accent6 8 3 2 4" xfId="9717"/>
    <cellStyle name="20% - Accent6 8 3 2 5" xfId="9718"/>
    <cellStyle name="20% - Accent6 8 3 3" xfId="9719"/>
    <cellStyle name="20% - Accent6 8 3 3 2" xfId="9720"/>
    <cellStyle name="20% - Accent6 8 3 3 2 2" xfId="9721"/>
    <cellStyle name="20% - Accent6 8 3 3 2 3" xfId="9722"/>
    <cellStyle name="20% - Accent6 8 3 3 3" xfId="9723"/>
    <cellStyle name="20% - Accent6 8 3 3 3 2" xfId="9724"/>
    <cellStyle name="20% - Accent6 8 3 3 3 3" xfId="9725"/>
    <cellStyle name="20% - Accent6 8 3 3 4" xfId="9726"/>
    <cellStyle name="20% - Accent6 8 3 3 5" xfId="9727"/>
    <cellStyle name="20% - Accent6 8 3 4" xfId="9728"/>
    <cellStyle name="20% - Accent6 8 3 4 2" xfId="9729"/>
    <cellStyle name="20% - Accent6 8 3 4 3" xfId="9730"/>
    <cellStyle name="20% - Accent6 8 3 5" xfId="9731"/>
    <cellStyle name="20% - Accent6 8 3 5 2" xfId="9732"/>
    <cellStyle name="20% - Accent6 8 3 5 3" xfId="9733"/>
    <cellStyle name="20% - Accent6 8 3 6" xfId="9734"/>
    <cellStyle name="20% - Accent6 8 3 7" xfId="9735"/>
    <cellStyle name="20% - Accent6 8 3_Volatility" xfId="9736"/>
    <cellStyle name="20% - Accent6 8 4" xfId="9737"/>
    <cellStyle name="20% - Accent6 8 4 2" xfId="9738"/>
    <cellStyle name="20% - Accent6 8 4 2 2" xfId="9739"/>
    <cellStyle name="20% - Accent6 8 4 2 3" xfId="9740"/>
    <cellStyle name="20% - Accent6 8 4 3" xfId="9741"/>
    <cellStyle name="20% - Accent6 8 4 3 2" xfId="9742"/>
    <cellStyle name="20% - Accent6 8 4 3 3" xfId="9743"/>
    <cellStyle name="20% - Accent6 8 4 4" xfId="9744"/>
    <cellStyle name="20% - Accent6 8 4 5" xfId="9745"/>
    <cellStyle name="20% - Accent6 8 5" xfId="9746"/>
    <cellStyle name="20% - Accent6 8 5 2" xfId="9747"/>
    <cellStyle name="20% - Accent6 8 5 2 2" xfId="9748"/>
    <cellStyle name="20% - Accent6 8 5 2 3" xfId="9749"/>
    <cellStyle name="20% - Accent6 8 5 3" xfId="9750"/>
    <cellStyle name="20% - Accent6 8 5 3 2" xfId="9751"/>
    <cellStyle name="20% - Accent6 8 5 3 3" xfId="9752"/>
    <cellStyle name="20% - Accent6 8 5 4" xfId="9753"/>
    <cellStyle name="20% - Accent6 8 5 5" xfId="9754"/>
    <cellStyle name="20% - Accent6 8 6" xfId="9755"/>
    <cellStyle name="20% - Accent6 8 6 2" xfId="9756"/>
    <cellStyle name="20% - Accent6 8 6 2 2" xfId="9757"/>
    <cellStyle name="20% - Accent6 8 6 2 3" xfId="9758"/>
    <cellStyle name="20% - Accent6 8 6 3" xfId="9759"/>
    <cellStyle name="20% - Accent6 8 6 3 2" xfId="9760"/>
    <cellStyle name="20% - Accent6 8 6 3 3" xfId="9761"/>
    <cellStyle name="20% - Accent6 8 6 4" xfId="9762"/>
    <cellStyle name="20% - Accent6 8 6 5" xfId="9763"/>
    <cellStyle name="20% - Accent6 8 7" xfId="9764"/>
    <cellStyle name="20% - Accent6 8 7 2" xfId="9765"/>
    <cellStyle name="20% - Accent6 8 7 3" xfId="9766"/>
    <cellStyle name="20% - Accent6 8 8" xfId="9767"/>
    <cellStyle name="20% - Accent6 8 8 2" xfId="9768"/>
    <cellStyle name="20% - Accent6 8 8 3" xfId="9769"/>
    <cellStyle name="20% - Accent6 8 9" xfId="9770"/>
    <cellStyle name="20% - Accent6 8_Volatility" xfId="9771"/>
    <cellStyle name="20% - Accent6 9" xfId="9772"/>
    <cellStyle name="20% - Accent6 9 10" xfId="9773"/>
    <cellStyle name="20% - Accent6 9 2" xfId="9774"/>
    <cellStyle name="20% - Accent6 9 2 2" xfId="9775"/>
    <cellStyle name="20% - Accent6 9 2 2 2" xfId="9776"/>
    <cellStyle name="20% - Accent6 9 2 2 2 2" xfId="9777"/>
    <cellStyle name="20% - Accent6 9 2 2 2 3" xfId="9778"/>
    <cellStyle name="20% - Accent6 9 2 2 3" xfId="9779"/>
    <cellStyle name="20% - Accent6 9 2 2 3 2" xfId="9780"/>
    <cellStyle name="20% - Accent6 9 2 2 3 3" xfId="9781"/>
    <cellStyle name="20% - Accent6 9 2 2 4" xfId="9782"/>
    <cellStyle name="20% - Accent6 9 2 2 5" xfId="9783"/>
    <cellStyle name="20% - Accent6 9 2 3" xfId="9784"/>
    <cellStyle name="20% - Accent6 9 2 3 2" xfId="9785"/>
    <cellStyle name="20% - Accent6 9 2 3 2 2" xfId="9786"/>
    <cellStyle name="20% - Accent6 9 2 3 2 3" xfId="9787"/>
    <cellStyle name="20% - Accent6 9 2 3 3" xfId="9788"/>
    <cellStyle name="20% - Accent6 9 2 3 3 2" xfId="9789"/>
    <cellStyle name="20% - Accent6 9 2 3 3 3" xfId="9790"/>
    <cellStyle name="20% - Accent6 9 2 3 4" xfId="9791"/>
    <cellStyle name="20% - Accent6 9 2 3 5" xfId="9792"/>
    <cellStyle name="20% - Accent6 9 2 4" xfId="9793"/>
    <cellStyle name="20% - Accent6 9 2 4 2" xfId="9794"/>
    <cellStyle name="20% - Accent6 9 2 4 2 2" xfId="9795"/>
    <cellStyle name="20% - Accent6 9 2 4 2 3" xfId="9796"/>
    <cellStyle name="20% - Accent6 9 2 4 3" xfId="9797"/>
    <cellStyle name="20% - Accent6 9 2 4 3 2" xfId="9798"/>
    <cellStyle name="20% - Accent6 9 2 4 3 3" xfId="9799"/>
    <cellStyle name="20% - Accent6 9 2 4 4" xfId="9800"/>
    <cellStyle name="20% - Accent6 9 2 4 5" xfId="9801"/>
    <cellStyle name="20% - Accent6 9 2 5" xfId="9802"/>
    <cellStyle name="20% - Accent6 9 2 5 2" xfId="9803"/>
    <cellStyle name="20% - Accent6 9 2 5 3" xfId="9804"/>
    <cellStyle name="20% - Accent6 9 2 6" xfId="9805"/>
    <cellStyle name="20% - Accent6 9 2 6 2" xfId="9806"/>
    <cellStyle name="20% - Accent6 9 2 6 3" xfId="9807"/>
    <cellStyle name="20% - Accent6 9 2 7" xfId="9808"/>
    <cellStyle name="20% - Accent6 9 2 8" xfId="9809"/>
    <cellStyle name="20% - Accent6 9 2_Volatility" xfId="9810"/>
    <cellStyle name="20% - Accent6 9 3" xfId="9811"/>
    <cellStyle name="20% - Accent6 9 3 2" xfId="9812"/>
    <cellStyle name="20% - Accent6 9 3 2 2" xfId="9813"/>
    <cellStyle name="20% - Accent6 9 3 2 2 2" xfId="9814"/>
    <cellStyle name="20% - Accent6 9 3 2 2 3" xfId="9815"/>
    <cellStyle name="20% - Accent6 9 3 2 3" xfId="9816"/>
    <cellStyle name="20% - Accent6 9 3 2 3 2" xfId="9817"/>
    <cellStyle name="20% - Accent6 9 3 2 3 3" xfId="9818"/>
    <cellStyle name="20% - Accent6 9 3 2 4" xfId="9819"/>
    <cellStyle name="20% - Accent6 9 3 2 5" xfId="9820"/>
    <cellStyle name="20% - Accent6 9 3 3" xfId="9821"/>
    <cellStyle name="20% - Accent6 9 3 3 2" xfId="9822"/>
    <cellStyle name="20% - Accent6 9 3 3 2 2" xfId="9823"/>
    <cellStyle name="20% - Accent6 9 3 3 2 3" xfId="9824"/>
    <cellStyle name="20% - Accent6 9 3 3 3" xfId="9825"/>
    <cellStyle name="20% - Accent6 9 3 3 3 2" xfId="9826"/>
    <cellStyle name="20% - Accent6 9 3 3 3 3" xfId="9827"/>
    <cellStyle name="20% - Accent6 9 3 3 4" xfId="9828"/>
    <cellStyle name="20% - Accent6 9 3 3 5" xfId="9829"/>
    <cellStyle name="20% - Accent6 9 3 4" xfId="9830"/>
    <cellStyle name="20% - Accent6 9 3 4 2" xfId="9831"/>
    <cellStyle name="20% - Accent6 9 3 4 3" xfId="9832"/>
    <cellStyle name="20% - Accent6 9 3 5" xfId="9833"/>
    <cellStyle name="20% - Accent6 9 3 5 2" xfId="9834"/>
    <cellStyle name="20% - Accent6 9 3 5 3" xfId="9835"/>
    <cellStyle name="20% - Accent6 9 3 6" xfId="9836"/>
    <cellStyle name="20% - Accent6 9 3 7" xfId="9837"/>
    <cellStyle name="20% - Accent6 9 3_Volatility" xfId="9838"/>
    <cellStyle name="20% - Accent6 9 4" xfId="9839"/>
    <cellStyle name="20% - Accent6 9 4 2" xfId="9840"/>
    <cellStyle name="20% - Accent6 9 4 2 2" xfId="9841"/>
    <cellStyle name="20% - Accent6 9 4 2 3" xfId="9842"/>
    <cellStyle name="20% - Accent6 9 4 3" xfId="9843"/>
    <cellStyle name="20% - Accent6 9 4 3 2" xfId="9844"/>
    <cellStyle name="20% - Accent6 9 4 3 3" xfId="9845"/>
    <cellStyle name="20% - Accent6 9 4 4" xfId="9846"/>
    <cellStyle name="20% - Accent6 9 4 5" xfId="9847"/>
    <cellStyle name="20% - Accent6 9 5" xfId="9848"/>
    <cellStyle name="20% - Accent6 9 5 2" xfId="9849"/>
    <cellStyle name="20% - Accent6 9 5 2 2" xfId="9850"/>
    <cellStyle name="20% - Accent6 9 5 2 3" xfId="9851"/>
    <cellStyle name="20% - Accent6 9 5 3" xfId="9852"/>
    <cellStyle name="20% - Accent6 9 5 3 2" xfId="9853"/>
    <cellStyle name="20% - Accent6 9 5 3 3" xfId="9854"/>
    <cellStyle name="20% - Accent6 9 5 4" xfId="9855"/>
    <cellStyle name="20% - Accent6 9 5 5" xfId="9856"/>
    <cellStyle name="20% - Accent6 9 6" xfId="9857"/>
    <cellStyle name="20% - Accent6 9 6 2" xfId="9858"/>
    <cellStyle name="20% - Accent6 9 6 2 2" xfId="9859"/>
    <cellStyle name="20% - Accent6 9 6 2 3" xfId="9860"/>
    <cellStyle name="20% - Accent6 9 6 3" xfId="9861"/>
    <cellStyle name="20% - Accent6 9 6 3 2" xfId="9862"/>
    <cellStyle name="20% - Accent6 9 6 3 3" xfId="9863"/>
    <cellStyle name="20% - Accent6 9 6 4" xfId="9864"/>
    <cellStyle name="20% - Accent6 9 6 5" xfId="9865"/>
    <cellStyle name="20% - Accent6 9 7" xfId="9866"/>
    <cellStyle name="20% - Accent6 9 7 2" xfId="9867"/>
    <cellStyle name="20% - Accent6 9 7 3" xfId="9868"/>
    <cellStyle name="20% - Accent6 9 8" xfId="9869"/>
    <cellStyle name="20% - Accent6 9 8 2" xfId="9870"/>
    <cellStyle name="20% - Accent6 9 8 3" xfId="9871"/>
    <cellStyle name="20% - Accent6 9 9" xfId="9872"/>
    <cellStyle name="20% - Accent6 9_Volatility" xfId="9873"/>
    <cellStyle name="20% - Ênfase1" xfId="9874"/>
    <cellStyle name="20% - Ênfase2" xfId="9875"/>
    <cellStyle name="20% - Ênfase3" xfId="9876"/>
    <cellStyle name="20% - Ênfase4" xfId="9877"/>
    <cellStyle name="20% - Ênfase5" xfId="9878"/>
    <cellStyle name="20% - Ênfase6" xfId="9879"/>
    <cellStyle name="20% - Énfasis1" xfId="9880"/>
    <cellStyle name="20% - Énfasis2" xfId="9881"/>
    <cellStyle name="20% - Énfasis3" xfId="9882"/>
    <cellStyle name="20% - Énfasis4" xfId="9883"/>
    <cellStyle name="20% - Énfasis5" xfId="9884"/>
    <cellStyle name="20% - Énfasis6" xfId="9885"/>
    <cellStyle name="20% - 강조색1" xfId="9886"/>
    <cellStyle name="20% - 강조색1 2" xfId="9887"/>
    <cellStyle name="20% - 강조색2" xfId="9888"/>
    <cellStyle name="20% - 강조색2 2" xfId="9889"/>
    <cellStyle name="20% - 강조색3" xfId="9890"/>
    <cellStyle name="20% - 강조색3 2" xfId="9891"/>
    <cellStyle name="20% - 강조색4" xfId="9892"/>
    <cellStyle name="20% - 강조색4 2" xfId="9893"/>
    <cellStyle name="20% - 강조색5" xfId="9894"/>
    <cellStyle name="20% - 강조색5 2" xfId="9895"/>
    <cellStyle name="20% - 강조색6" xfId="9896"/>
    <cellStyle name="20% - 강조색6 2" xfId="9897"/>
    <cellStyle name="2DecimalPercent" xfId="9898"/>
    <cellStyle name="2DecimalPercent 2" xfId="9899"/>
    <cellStyle name="2DecimalPercent 2 2" xfId="9900"/>
    <cellStyle name="2DecimalPercent 3" xfId="9901"/>
    <cellStyle name="2DecimalPercent 4" xfId="9902"/>
    <cellStyle name="2DecimalPercent 5" xfId="9903"/>
    <cellStyle name="2Decimals" xfId="9904"/>
    <cellStyle name="2Decimals 2" xfId="9905"/>
    <cellStyle name="2Decimals 2 2" xfId="9906"/>
    <cellStyle name="2Decimals 3" xfId="9907"/>
    <cellStyle name="2Decimals 4" xfId="9908"/>
    <cellStyle name="2Decimals 5" xfId="9909"/>
    <cellStyle name="2places" xfId="9910"/>
    <cellStyle name="³f¹ô[0]_P721-Spd" xfId="9911"/>
    <cellStyle name="³f¹ô_P721-Spd" xfId="9912"/>
    <cellStyle name="4 spaces" xfId="9913"/>
    <cellStyle name="40% - Accent1" xfId="21" builtinId="31" customBuiltin="1"/>
    <cellStyle name="40% - Accent1 10" xfId="9914"/>
    <cellStyle name="40% - Accent1 10 10" xfId="9915"/>
    <cellStyle name="40% - Accent1 10 2" xfId="9916"/>
    <cellStyle name="40% - Accent1 10 2 2" xfId="9917"/>
    <cellStyle name="40% - Accent1 10 2 2 2" xfId="9918"/>
    <cellStyle name="40% - Accent1 10 2 2 2 2" xfId="9919"/>
    <cellStyle name="40% - Accent1 10 2 2 2 3" xfId="9920"/>
    <cellStyle name="40% - Accent1 10 2 2 3" xfId="9921"/>
    <cellStyle name="40% - Accent1 10 2 2 3 2" xfId="9922"/>
    <cellStyle name="40% - Accent1 10 2 2 3 3" xfId="9923"/>
    <cellStyle name="40% - Accent1 10 2 2 4" xfId="9924"/>
    <cellStyle name="40% - Accent1 10 2 2 5" xfId="9925"/>
    <cellStyle name="40% - Accent1 10 2 3" xfId="9926"/>
    <cellStyle name="40% - Accent1 10 2 3 2" xfId="9927"/>
    <cellStyle name="40% - Accent1 10 2 3 2 2" xfId="9928"/>
    <cellStyle name="40% - Accent1 10 2 3 2 3" xfId="9929"/>
    <cellStyle name="40% - Accent1 10 2 3 3" xfId="9930"/>
    <cellStyle name="40% - Accent1 10 2 3 3 2" xfId="9931"/>
    <cellStyle name="40% - Accent1 10 2 3 3 3" xfId="9932"/>
    <cellStyle name="40% - Accent1 10 2 3 4" xfId="9933"/>
    <cellStyle name="40% - Accent1 10 2 3 5" xfId="9934"/>
    <cellStyle name="40% - Accent1 10 2 4" xfId="9935"/>
    <cellStyle name="40% - Accent1 10 2 4 2" xfId="9936"/>
    <cellStyle name="40% - Accent1 10 2 4 2 2" xfId="9937"/>
    <cellStyle name="40% - Accent1 10 2 4 2 3" xfId="9938"/>
    <cellStyle name="40% - Accent1 10 2 4 3" xfId="9939"/>
    <cellStyle name="40% - Accent1 10 2 4 3 2" xfId="9940"/>
    <cellStyle name="40% - Accent1 10 2 4 3 3" xfId="9941"/>
    <cellStyle name="40% - Accent1 10 2 4 4" xfId="9942"/>
    <cellStyle name="40% - Accent1 10 2 4 5" xfId="9943"/>
    <cellStyle name="40% - Accent1 10 2 5" xfId="9944"/>
    <cellStyle name="40% - Accent1 10 2 5 2" xfId="9945"/>
    <cellStyle name="40% - Accent1 10 2 5 3" xfId="9946"/>
    <cellStyle name="40% - Accent1 10 2 6" xfId="9947"/>
    <cellStyle name="40% - Accent1 10 2 6 2" xfId="9948"/>
    <cellStyle name="40% - Accent1 10 2 6 3" xfId="9949"/>
    <cellStyle name="40% - Accent1 10 2 7" xfId="9950"/>
    <cellStyle name="40% - Accent1 10 2 8" xfId="9951"/>
    <cellStyle name="40% - Accent1 10 2_Volatility" xfId="9952"/>
    <cellStyle name="40% - Accent1 10 3" xfId="9953"/>
    <cellStyle name="40% - Accent1 10 3 2" xfId="9954"/>
    <cellStyle name="40% - Accent1 10 3 2 2" xfId="9955"/>
    <cellStyle name="40% - Accent1 10 3 2 2 2" xfId="9956"/>
    <cellStyle name="40% - Accent1 10 3 2 2 3" xfId="9957"/>
    <cellStyle name="40% - Accent1 10 3 2 3" xfId="9958"/>
    <cellStyle name="40% - Accent1 10 3 2 3 2" xfId="9959"/>
    <cellStyle name="40% - Accent1 10 3 2 3 3" xfId="9960"/>
    <cellStyle name="40% - Accent1 10 3 2 4" xfId="9961"/>
    <cellStyle name="40% - Accent1 10 3 2 5" xfId="9962"/>
    <cellStyle name="40% - Accent1 10 3 3" xfId="9963"/>
    <cellStyle name="40% - Accent1 10 3 3 2" xfId="9964"/>
    <cellStyle name="40% - Accent1 10 3 3 2 2" xfId="9965"/>
    <cellStyle name="40% - Accent1 10 3 3 2 3" xfId="9966"/>
    <cellStyle name="40% - Accent1 10 3 3 3" xfId="9967"/>
    <cellStyle name="40% - Accent1 10 3 3 3 2" xfId="9968"/>
    <cellStyle name="40% - Accent1 10 3 3 3 3" xfId="9969"/>
    <cellStyle name="40% - Accent1 10 3 3 4" xfId="9970"/>
    <cellStyle name="40% - Accent1 10 3 3 5" xfId="9971"/>
    <cellStyle name="40% - Accent1 10 3 4" xfId="9972"/>
    <cellStyle name="40% - Accent1 10 3 4 2" xfId="9973"/>
    <cellStyle name="40% - Accent1 10 3 4 3" xfId="9974"/>
    <cellStyle name="40% - Accent1 10 3 5" xfId="9975"/>
    <cellStyle name="40% - Accent1 10 3 5 2" xfId="9976"/>
    <cellStyle name="40% - Accent1 10 3 5 3" xfId="9977"/>
    <cellStyle name="40% - Accent1 10 3 6" xfId="9978"/>
    <cellStyle name="40% - Accent1 10 3 7" xfId="9979"/>
    <cellStyle name="40% - Accent1 10 3_Volatility" xfId="9980"/>
    <cellStyle name="40% - Accent1 10 4" xfId="9981"/>
    <cellStyle name="40% - Accent1 10 4 2" xfId="9982"/>
    <cellStyle name="40% - Accent1 10 4 2 2" xfId="9983"/>
    <cellStyle name="40% - Accent1 10 4 2 3" xfId="9984"/>
    <cellStyle name="40% - Accent1 10 4 3" xfId="9985"/>
    <cellStyle name="40% - Accent1 10 4 3 2" xfId="9986"/>
    <cellStyle name="40% - Accent1 10 4 3 3" xfId="9987"/>
    <cellStyle name="40% - Accent1 10 4 4" xfId="9988"/>
    <cellStyle name="40% - Accent1 10 4 5" xfId="9989"/>
    <cellStyle name="40% - Accent1 10 5" xfId="9990"/>
    <cellStyle name="40% - Accent1 10 5 2" xfId="9991"/>
    <cellStyle name="40% - Accent1 10 5 2 2" xfId="9992"/>
    <cellStyle name="40% - Accent1 10 5 2 3" xfId="9993"/>
    <cellStyle name="40% - Accent1 10 5 3" xfId="9994"/>
    <cellStyle name="40% - Accent1 10 5 3 2" xfId="9995"/>
    <cellStyle name="40% - Accent1 10 5 3 3" xfId="9996"/>
    <cellStyle name="40% - Accent1 10 5 4" xfId="9997"/>
    <cellStyle name="40% - Accent1 10 5 5" xfId="9998"/>
    <cellStyle name="40% - Accent1 10 6" xfId="9999"/>
    <cellStyle name="40% - Accent1 10 6 2" xfId="10000"/>
    <cellStyle name="40% - Accent1 10 6 2 2" xfId="10001"/>
    <cellStyle name="40% - Accent1 10 6 2 3" xfId="10002"/>
    <cellStyle name="40% - Accent1 10 6 3" xfId="10003"/>
    <cellStyle name="40% - Accent1 10 6 3 2" xfId="10004"/>
    <cellStyle name="40% - Accent1 10 6 3 3" xfId="10005"/>
    <cellStyle name="40% - Accent1 10 6 4" xfId="10006"/>
    <cellStyle name="40% - Accent1 10 6 5" xfId="10007"/>
    <cellStyle name="40% - Accent1 10 7" xfId="10008"/>
    <cellStyle name="40% - Accent1 10 7 2" xfId="10009"/>
    <cellStyle name="40% - Accent1 10 7 3" xfId="10010"/>
    <cellStyle name="40% - Accent1 10 8" xfId="10011"/>
    <cellStyle name="40% - Accent1 10 8 2" xfId="10012"/>
    <cellStyle name="40% - Accent1 10 8 3" xfId="10013"/>
    <cellStyle name="40% - Accent1 10 9" xfId="10014"/>
    <cellStyle name="40% - Accent1 10_Volatility" xfId="10015"/>
    <cellStyle name="40% - Accent1 11" xfId="10016"/>
    <cellStyle name="40% - Accent1 11 10" xfId="10017"/>
    <cellStyle name="40% - Accent1 11 2" xfId="10018"/>
    <cellStyle name="40% - Accent1 11 2 2" xfId="10019"/>
    <cellStyle name="40% - Accent1 11 2 2 2" xfId="10020"/>
    <cellStyle name="40% - Accent1 11 2 2 2 2" xfId="10021"/>
    <cellStyle name="40% - Accent1 11 2 2 2 3" xfId="10022"/>
    <cellStyle name="40% - Accent1 11 2 2 3" xfId="10023"/>
    <cellStyle name="40% - Accent1 11 2 2 3 2" xfId="10024"/>
    <cellStyle name="40% - Accent1 11 2 2 3 3" xfId="10025"/>
    <cellStyle name="40% - Accent1 11 2 2 4" xfId="10026"/>
    <cellStyle name="40% - Accent1 11 2 2 5" xfId="10027"/>
    <cellStyle name="40% - Accent1 11 2 3" xfId="10028"/>
    <cellStyle name="40% - Accent1 11 2 3 2" xfId="10029"/>
    <cellStyle name="40% - Accent1 11 2 3 2 2" xfId="10030"/>
    <cellStyle name="40% - Accent1 11 2 3 2 3" xfId="10031"/>
    <cellStyle name="40% - Accent1 11 2 3 3" xfId="10032"/>
    <cellStyle name="40% - Accent1 11 2 3 3 2" xfId="10033"/>
    <cellStyle name="40% - Accent1 11 2 3 3 3" xfId="10034"/>
    <cellStyle name="40% - Accent1 11 2 3 4" xfId="10035"/>
    <cellStyle name="40% - Accent1 11 2 3 5" xfId="10036"/>
    <cellStyle name="40% - Accent1 11 2 4" xfId="10037"/>
    <cellStyle name="40% - Accent1 11 2 4 2" xfId="10038"/>
    <cellStyle name="40% - Accent1 11 2 4 2 2" xfId="10039"/>
    <cellStyle name="40% - Accent1 11 2 4 2 3" xfId="10040"/>
    <cellStyle name="40% - Accent1 11 2 4 3" xfId="10041"/>
    <cellStyle name="40% - Accent1 11 2 4 3 2" xfId="10042"/>
    <cellStyle name="40% - Accent1 11 2 4 3 3" xfId="10043"/>
    <cellStyle name="40% - Accent1 11 2 4 4" xfId="10044"/>
    <cellStyle name="40% - Accent1 11 2 4 5" xfId="10045"/>
    <cellStyle name="40% - Accent1 11 2 5" xfId="10046"/>
    <cellStyle name="40% - Accent1 11 2 5 2" xfId="10047"/>
    <cellStyle name="40% - Accent1 11 2 5 3" xfId="10048"/>
    <cellStyle name="40% - Accent1 11 2 6" xfId="10049"/>
    <cellStyle name="40% - Accent1 11 2 6 2" xfId="10050"/>
    <cellStyle name="40% - Accent1 11 2 6 3" xfId="10051"/>
    <cellStyle name="40% - Accent1 11 2 7" xfId="10052"/>
    <cellStyle name="40% - Accent1 11 2 8" xfId="10053"/>
    <cellStyle name="40% - Accent1 11 2_Volatility" xfId="10054"/>
    <cellStyle name="40% - Accent1 11 3" xfId="10055"/>
    <cellStyle name="40% - Accent1 11 3 2" xfId="10056"/>
    <cellStyle name="40% - Accent1 11 3 2 2" xfId="10057"/>
    <cellStyle name="40% - Accent1 11 3 2 2 2" xfId="10058"/>
    <cellStyle name="40% - Accent1 11 3 2 2 3" xfId="10059"/>
    <cellStyle name="40% - Accent1 11 3 2 3" xfId="10060"/>
    <cellStyle name="40% - Accent1 11 3 2 3 2" xfId="10061"/>
    <cellStyle name="40% - Accent1 11 3 2 3 3" xfId="10062"/>
    <cellStyle name="40% - Accent1 11 3 2 4" xfId="10063"/>
    <cellStyle name="40% - Accent1 11 3 2 5" xfId="10064"/>
    <cellStyle name="40% - Accent1 11 3 3" xfId="10065"/>
    <cellStyle name="40% - Accent1 11 3 3 2" xfId="10066"/>
    <cellStyle name="40% - Accent1 11 3 3 2 2" xfId="10067"/>
    <cellStyle name="40% - Accent1 11 3 3 2 3" xfId="10068"/>
    <cellStyle name="40% - Accent1 11 3 3 3" xfId="10069"/>
    <cellStyle name="40% - Accent1 11 3 3 3 2" xfId="10070"/>
    <cellStyle name="40% - Accent1 11 3 3 3 3" xfId="10071"/>
    <cellStyle name="40% - Accent1 11 3 3 4" xfId="10072"/>
    <cellStyle name="40% - Accent1 11 3 3 5" xfId="10073"/>
    <cellStyle name="40% - Accent1 11 3 4" xfId="10074"/>
    <cellStyle name="40% - Accent1 11 3 4 2" xfId="10075"/>
    <cellStyle name="40% - Accent1 11 3 4 3" xfId="10076"/>
    <cellStyle name="40% - Accent1 11 3 5" xfId="10077"/>
    <cellStyle name="40% - Accent1 11 3 5 2" xfId="10078"/>
    <cellStyle name="40% - Accent1 11 3 5 3" xfId="10079"/>
    <cellStyle name="40% - Accent1 11 3 6" xfId="10080"/>
    <cellStyle name="40% - Accent1 11 3 7" xfId="10081"/>
    <cellStyle name="40% - Accent1 11 3_Volatility" xfId="10082"/>
    <cellStyle name="40% - Accent1 11 4" xfId="10083"/>
    <cellStyle name="40% - Accent1 11 4 2" xfId="10084"/>
    <cellStyle name="40% - Accent1 11 4 2 2" xfId="10085"/>
    <cellStyle name="40% - Accent1 11 4 2 3" xfId="10086"/>
    <cellStyle name="40% - Accent1 11 4 3" xfId="10087"/>
    <cellStyle name="40% - Accent1 11 4 3 2" xfId="10088"/>
    <cellStyle name="40% - Accent1 11 4 3 3" xfId="10089"/>
    <cellStyle name="40% - Accent1 11 4 4" xfId="10090"/>
    <cellStyle name="40% - Accent1 11 4 5" xfId="10091"/>
    <cellStyle name="40% - Accent1 11 5" xfId="10092"/>
    <cellStyle name="40% - Accent1 11 5 2" xfId="10093"/>
    <cellStyle name="40% - Accent1 11 5 2 2" xfId="10094"/>
    <cellStyle name="40% - Accent1 11 5 2 3" xfId="10095"/>
    <cellStyle name="40% - Accent1 11 5 3" xfId="10096"/>
    <cellStyle name="40% - Accent1 11 5 3 2" xfId="10097"/>
    <cellStyle name="40% - Accent1 11 5 3 3" xfId="10098"/>
    <cellStyle name="40% - Accent1 11 5 4" xfId="10099"/>
    <cellStyle name="40% - Accent1 11 5 5" xfId="10100"/>
    <cellStyle name="40% - Accent1 11 6" xfId="10101"/>
    <cellStyle name="40% - Accent1 11 6 2" xfId="10102"/>
    <cellStyle name="40% - Accent1 11 6 2 2" xfId="10103"/>
    <cellStyle name="40% - Accent1 11 6 2 3" xfId="10104"/>
    <cellStyle name="40% - Accent1 11 6 3" xfId="10105"/>
    <cellStyle name="40% - Accent1 11 6 3 2" xfId="10106"/>
    <cellStyle name="40% - Accent1 11 6 3 3" xfId="10107"/>
    <cellStyle name="40% - Accent1 11 6 4" xfId="10108"/>
    <cellStyle name="40% - Accent1 11 6 5" xfId="10109"/>
    <cellStyle name="40% - Accent1 11 7" xfId="10110"/>
    <cellStyle name="40% - Accent1 11 7 2" xfId="10111"/>
    <cellStyle name="40% - Accent1 11 7 3" xfId="10112"/>
    <cellStyle name="40% - Accent1 11 8" xfId="10113"/>
    <cellStyle name="40% - Accent1 11 8 2" xfId="10114"/>
    <cellStyle name="40% - Accent1 11 8 3" xfId="10115"/>
    <cellStyle name="40% - Accent1 11 9" xfId="10116"/>
    <cellStyle name="40% - Accent1 11_Volatility" xfId="10117"/>
    <cellStyle name="40% - Accent1 12" xfId="10118"/>
    <cellStyle name="40% - Accent1 12 10" xfId="10119"/>
    <cellStyle name="40% - Accent1 12 2" xfId="10120"/>
    <cellStyle name="40% - Accent1 12 2 2" xfId="10121"/>
    <cellStyle name="40% - Accent1 12 2 2 2" xfId="10122"/>
    <cellStyle name="40% - Accent1 12 2 2 2 2" xfId="10123"/>
    <cellStyle name="40% - Accent1 12 2 2 2 3" xfId="10124"/>
    <cellStyle name="40% - Accent1 12 2 2 3" xfId="10125"/>
    <cellStyle name="40% - Accent1 12 2 2 3 2" xfId="10126"/>
    <cellStyle name="40% - Accent1 12 2 2 3 3" xfId="10127"/>
    <cellStyle name="40% - Accent1 12 2 2 4" xfId="10128"/>
    <cellStyle name="40% - Accent1 12 2 2 5" xfId="10129"/>
    <cellStyle name="40% - Accent1 12 2 3" xfId="10130"/>
    <cellStyle name="40% - Accent1 12 2 3 2" xfId="10131"/>
    <cellStyle name="40% - Accent1 12 2 3 2 2" xfId="10132"/>
    <cellStyle name="40% - Accent1 12 2 3 2 3" xfId="10133"/>
    <cellStyle name="40% - Accent1 12 2 3 3" xfId="10134"/>
    <cellStyle name="40% - Accent1 12 2 3 3 2" xfId="10135"/>
    <cellStyle name="40% - Accent1 12 2 3 3 3" xfId="10136"/>
    <cellStyle name="40% - Accent1 12 2 3 4" xfId="10137"/>
    <cellStyle name="40% - Accent1 12 2 3 5" xfId="10138"/>
    <cellStyle name="40% - Accent1 12 2 4" xfId="10139"/>
    <cellStyle name="40% - Accent1 12 2 4 2" xfId="10140"/>
    <cellStyle name="40% - Accent1 12 2 4 2 2" xfId="10141"/>
    <cellStyle name="40% - Accent1 12 2 4 2 3" xfId="10142"/>
    <cellStyle name="40% - Accent1 12 2 4 3" xfId="10143"/>
    <cellStyle name="40% - Accent1 12 2 4 3 2" xfId="10144"/>
    <cellStyle name="40% - Accent1 12 2 4 3 3" xfId="10145"/>
    <cellStyle name="40% - Accent1 12 2 4 4" xfId="10146"/>
    <cellStyle name="40% - Accent1 12 2 4 5" xfId="10147"/>
    <cellStyle name="40% - Accent1 12 2 5" xfId="10148"/>
    <cellStyle name="40% - Accent1 12 2 5 2" xfId="10149"/>
    <cellStyle name="40% - Accent1 12 2 5 3" xfId="10150"/>
    <cellStyle name="40% - Accent1 12 2 6" xfId="10151"/>
    <cellStyle name="40% - Accent1 12 2 6 2" xfId="10152"/>
    <cellStyle name="40% - Accent1 12 2 6 3" xfId="10153"/>
    <cellStyle name="40% - Accent1 12 2 7" xfId="10154"/>
    <cellStyle name="40% - Accent1 12 2 8" xfId="10155"/>
    <cellStyle name="40% - Accent1 12 2_Volatility" xfId="10156"/>
    <cellStyle name="40% - Accent1 12 3" xfId="10157"/>
    <cellStyle name="40% - Accent1 12 3 2" xfId="10158"/>
    <cellStyle name="40% - Accent1 12 3 2 2" xfId="10159"/>
    <cellStyle name="40% - Accent1 12 3 2 2 2" xfId="10160"/>
    <cellStyle name="40% - Accent1 12 3 2 2 3" xfId="10161"/>
    <cellStyle name="40% - Accent1 12 3 2 3" xfId="10162"/>
    <cellStyle name="40% - Accent1 12 3 2 3 2" xfId="10163"/>
    <cellStyle name="40% - Accent1 12 3 2 3 3" xfId="10164"/>
    <cellStyle name="40% - Accent1 12 3 2 4" xfId="10165"/>
    <cellStyle name="40% - Accent1 12 3 2 5" xfId="10166"/>
    <cellStyle name="40% - Accent1 12 3 3" xfId="10167"/>
    <cellStyle name="40% - Accent1 12 3 3 2" xfId="10168"/>
    <cellStyle name="40% - Accent1 12 3 3 2 2" xfId="10169"/>
    <cellStyle name="40% - Accent1 12 3 3 2 3" xfId="10170"/>
    <cellStyle name="40% - Accent1 12 3 3 3" xfId="10171"/>
    <cellStyle name="40% - Accent1 12 3 3 3 2" xfId="10172"/>
    <cellStyle name="40% - Accent1 12 3 3 3 3" xfId="10173"/>
    <cellStyle name="40% - Accent1 12 3 3 4" xfId="10174"/>
    <cellStyle name="40% - Accent1 12 3 3 5" xfId="10175"/>
    <cellStyle name="40% - Accent1 12 3 4" xfId="10176"/>
    <cellStyle name="40% - Accent1 12 3 4 2" xfId="10177"/>
    <cellStyle name="40% - Accent1 12 3 4 3" xfId="10178"/>
    <cellStyle name="40% - Accent1 12 3 5" xfId="10179"/>
    <cellStyle name="40% - Accent1 12 3 5 2" xfId="10180"/>
    <cellStyle name="40% - Accent1 12 3 5 3" xfId="10181"/>
    <cellStyle name="40% - Accent1 12 3 6" xfId="10182"/>
    <cellStyle name="40% - Accent1 12 3 7" xfId="10183"/>
    <cellStyle name="40% - Accent1 12 3_Volatility" xfId="10184"/>
    <cellStyle name="40% - Accent1 12 4" xfId="10185"/>
    <cellStyle name="40% - Accent1 12 4 2" xfId="10186"/>
    <cellStyle name="40% - Accent1 12 4 2 2" xfId="10187"/>
    <cellStyle name="40% - Accent1 12 4 2 3" xfId="10188"/>
    <cellStyle name="40% - Accent1 12 4 3" xfId="10189"/>
    <cellStyle name="40% - Accent1 12 4 3 2" xfId="10190"/>
    <cellStyle name="40% - Accent1 12 4 3 3" xfId="10191"/>
    <cellStyle name="40% - Accent1 12 4 4" xfId="10192"/>
    <cellStyle name="40% - Accent1 12 4 5" xfId="10193"/>
    <cellStyle name="40% - Accent1 12 5" xfId="10194"/>
    <cellStyle name="40% - Accent1 12 5 2" xfId="10195"/>
    <cellStyle name="40% - Accent1 12 5 2 2" xfId="10196"/>
    <cellStyle name="40% - Accent1 12 5 2 3" xfId="10197"/>
    <cellStyle name="40% - Accent1 12 5 3" xfId="10198"/>
    <cellStyle name="40% - Accent1 12 5 3 2" xfId="10199"/>
    <cellStyle name="40% - Accent1 12 5 3 3" xfId="10200"/>
    <cellStyle name="40% - Accent1 12 5 4" xfId="10201"/>
    <cellStyle name="40% - Accent1 12 5 5" xfId="10202"/>
    <cellStyle name="40% - Accent1 12 6" xfId="10203"/>
    <cellStyle name="40% - Accent1 12 6 2" xfId="10204"/>
    <cellStyle name="40% - Accent1 12 6 2 2" xfId="10205"/>
    <cellStyle name="40% - Accent1 12 6 2 3" xfId="10206"/>
    <cellStyle name="40% - Accent1 12 6 3" xfId="10207"/>
    <cellStyle name="40% - Accent1 12 6 3 2" xfId="10208"/>
    <cellStyle name="40% - Accent1 12 6 3 3" xfId="10209"/>
    <cellStyle name="40% - Accent1 12 6 4" xfId="10210"/>
    <cellStyle name="40% - Accent1 12 6 5" xfId="10211"/>
    <cellStyle name="40% - Accent1 12 7" xfId="10212"/>
    <cellStyle name="40% - Accent1 12 7 2" xfId="10213"/>
    <cellStyle name="40% - Accent1 12 7 3" xfId="10214"/>
    <cellStyle name="40% - Accent1 12 8" xfId="10215"/>
    <cellStyle name="40% - Accent1 12 8 2" xfId="10216"/>
    <cellStyle name="40% - Accent1 12 8 3" xfId="10217"/>
    <cellStyle name="40% - Accent1 12 9" xfId="10218"/>
    <cellStyle name="40% - Accent1 12_Volatility" xfId="10219"/>
    <cellStyle name="40% - Accent1 13" xfId="10220"/>
    <cellStyle name="40% - Accent1 13 10" xfId="10221"/>
    <cellStyle name="40% - Accent1 13 2" xfId="10222"/>
    <cellStyle name="40% - Accent1 13 2 2" xfId="10223"/>
    <cellStyle name="40% - Accent1 13 2 2 2" xfId="10224"/>
    <cellStyle name="40% - Accent1 13 2 2 2 2" xfId="10225"/>
    <cellStyle name="40% - Accent1 13 2 2 2 3" xfId="10226"/>
    <cellStyle name="40% - Accent1 13 2 2 3" xfId="10227"/>
    <cellStyle name="40% - Accent1 13 2 2 3 2" xfId="10228"/>
    <cellStyle name="40% - Accent1 13 2 2 3 3" xfId="10229"/>
    <cellStyle name="40% - Accent1 13 2 2 4" xfId="10230"/>
    <cellStyle name="40% - Accent1 13 2 2 5" xfId="10231"/>
    <cellStyle name="40% - Accent1 13 2 3" xfId="10232"/>
    <cellStyle name="40% - Accent1 13 2 3 2" xfId="10233"/>
    <cellStyle name="40% - Accent1 13 2 3 2 2" xfId="10234"/>
    <cellStyle name="40% - Accent1 13 2 3 2 3" xfId="10235"/>
    <cellStyle name="40% - Accent1 13 2 3 3" xfId="10236"/>
    <cellStyle name="40% - Accent1 13 2 3 3 2" xfId="10237"/>
    <cellStyle name="40% - Accent1 13 2 3 3 3" xfId="10238"/>
    <cellStyle name="40% - Accent1 13 2 3 4" xfId="10239"/>
    <cellStyle name="40% - Accent1 13 2 3 5" xfId="10240"/>
    <cellStyle name="40% - Accent1 13 2 4" xfId="10241"/>
    <cellStyle name="40% - Accent1 13 2 4 2" xfId="10242"/>
    <cellStyle name="40% - Accent1 13 2 4 2 2" xfId="10243"/>
    <cellStyle name="40% - Accent1 13 2 4 2 3" xfId="10244"/>
    <cellStyle name="40% - Accent1 13 2 4 3" xfId="10245"/>
    <cellStyle name="40% - Accent1 13 2 4 3 2" xfId="10246"/>
    <cellStyle name="40% - Accent1 13 2 4 3 3" xfId="10247"/>
    <cellStyle name="40% - Accent1 13 2 4 4" xfId="10248"/>
    <cellStyle name="40% - Accent1 13 2 4 5" xfId="10249"/>
    <cellStyle name="40% - Accent1 13 2 5" xfId="10250"/>
    <cellStyle name="40% - Accent1 13 2 5 2" xfId="10251"/>
    <cellStyle name="40% - Accent1 13 2 5 3" xfId="10252"/>
    <cellStyle name="40% - Accent1 13 2 6" xfId="10253"/>
    <cellStyle name="40% - Accent1 13 2 6 2" xfId="10254"/>
    <cellStyle name="40% - Accent1 13 2 6 3" xfId="10255"/>
    <cellStyle name="40% - Accent1 13 2 7" xfId="10256"/>
    <cellStyle name="40% - Accent1 13 2 8" xfId="10257"/>
    <cellStyle name="40% - Accent1 13 2_Volatility" xfId="10258"/>
    <cellStyle name="40% - Accent1 13 3" xfId="10259"/>
    <cellStyle name="40% - Accent1 13 3 2" xfId="10260"/>
    <cellStyle name="40% - Accent1 13 3 2 2" xfId="10261"/>
    <cellStyle name="40% - Accent1 13 3 2 2 2" xfId="10262"/>
    <cellStyle name="40% - Accent1 13 3 2 2 3" xfId="10263"/>
    <cellStyle name="40% - Accent1 13 3 2 3" xfId="10264"/>
    <cellStyle name="40% - Accent1 13 3 2 3 2" xfId="10265"/>
    <cellStyle name="40% - Accent1 13 3 2 3 3" xfId="10266"/>
    <cellStyle name="40% - Accent1 13 3 2 4" xfId="10267"/>
    <cellStyle name="40% - Accent1 13 3 2 5" xfId="10268"/>
    <cellStyle name="40% - Accent1 13 3 3" xfId="10269"/>
    <cellStyle name="40% - Accent1 13 3 3 2" xfId="10270"/>
    <cellStyle name="40% - Accent1 13 3 3 2 2" xfId="10271"/>
    <cellStyle name="40% - Accent1 13 3 3 2 3" xfId="10272"/>
    <cellStyle name="40% - Accent1 13 3 3 3" xfId="10273"/>
    <cellStyle name="40% - Accent1 13 3 3 3 2" xfId="10274"/>
    <cellStyle name="40% - Accent1 13 3 3 3 3" xfId="10275"/>
    <cellStyle name="40% - Accent1 13 3 3 4" xfId="10276"/>
    <cellStyle name="40% - Accent1 13 3 3 5" xfId="10277"/>
    <cellStyle name="40% - Accent1 13 3 4" xfId="10278"/>
    <cellStyle name="40% - Accent1 13 3 4 2" xfId="10279"/>
    <cellStyle name="40% - Accent1 13 3 4 3" xfId="10280"/>
    <cellStyle name="40% - Accent1 13 3 5" xfId="10281"/>
    <cellStyle name="40% - Accent1 13 3 5 2" xfId="10282"/>
    <cellStyle name="40% - Accent1 13 3 5 3" xfId="10283"/>
    <cellStyle name="40% - Accent1 13 3 6" xfId="10284"/>
    <cellStyle name="40% - Accent1 13 3 7" xfId="10285"/>
    <cellStyle name="40% - Accent1 13 3_Volatility" xfId="10286"/>
    <cellStyle name="40% - Accent1 13 4" xfId="10287"/>
    <cellStyle name="40% - Accent1 13 4 2" xfId="10288"/>
    <cellStyle name="40% - Accent1 13 4 2 2" xfId="10289"/>
    <cellStyle name="40% - Accent1 13 4 2 3" xfId="10290"/>
    <cellStyle name="40% - Accent1 13 4 3" xfId="10291"/>
    <cellStyle name="40% - Accent1 13 4 3 2" xfId="10292"/>
    <cellStyle name="40% - Accent1 13 4 3 3" xfId="10293"/>
    <cellStyle name="40% - Accent1 13 4 4" xfId="10294"/>
    <cellStyle name="40% - Accent1 13 4 5" xfId="10295"/>
    <cellStyle name="40% - Accent1 13 5" xfId="10296"/>
    <cellStyle name="40% - Accent1 13 5 2" xfId="10297"/>
    <cellStyle name="40% - Accent1 13 5 2 2" xfId="10298"/>
    <cellStyle name="40% - Accent1 13 5 2 3" xfId="10299"/>
    <cellStyle name="40% - Accent1 13 5 3" xfId="10300"/>
    <cellStyle name="40% - Accent1 13 5 3 2" xfId="10301"/>
    <cellStyle name="40% - Accent1 13 5 3 3" xfId="10302"/>
    <cellStyle name="40% - Accent1 13 5 4" xfId="10303"/>
    <cellStyle name="40% - Accent1 13 5 5" xfId="10304"/>
    <cellStyle name="40% - Accent1 13 6" xfId="10305"/>
    <cellStyle name="40% - Accent1 13 6 2" xfId="10306"/>
    <cellStyle name="40% - Accent1 13 6 2 2" xfId="10307"/>
    <cellStyle name="40% - Accent1 13 6 2 3" xfId="10308"/>
    <cellStyle name="40% - Accent1 13 6 3" xfId="10309"/>
    <cellStyle name="40% - Accent1 13 6 3 2" xfId="10310"/>
    <cellStyle name="40% - Accent1 13 6 3 3" xfId="10311"/>
    <cellStyle name="40% - Accent1 13 6 4" xfId="10312"/>
    <cellStyle name="40% - Accent1 13 6 5" xfId="10313"/>
    <cellStyle name="40% - Accent1 13 7" xfId="10314"/>
    <cellStyle name="40% - Accent1 13 7 2" xfId="10315"/>
    <cellStyle name="40% - Accent1 13 7 3" xfId="10316"/>
    <cellStyle name="40% - Accent1 13 8" xfId="10317"/>
    <cellStyle name="40% - Accent1 13 8 2" xfId="10318"/>
    <cellStyle name="40% - Accent1 13 8 3" xfId="10319"/>
    <cellStyle name="40% - Accent1 13 9" xfId="10320"/>
    <cellStyle name="40% - Accent1 13_Volatility" xfId="10321"/>
    <cellStyle name="40% - Accent1 14" xfId="10322"/>
    <cellStyle name="40% - Accent1 14 10" xfId="10323"/>
    <cellStyle name="40% - Accent1 14 2" xfId="10324"/>
    <cellStyle name="40% - Accent1 14 2 2" xfId="10325"/>
    <cellStyle name="40% - Accent1 14 2 2 2" xfId="10326"/>
    <cellStyle name="40% - Accent1 14 2 2 2 2" xfId="10327"/>
    <cellStyle name="40% - Accent1 14 2 2 2 3" xfId="10328"/>
    <cellStyle name="40% - Accent1 14 2 2 3" xfId="10329"/>
    <cellStyle name="40% - Accent1 14 2 2 3 2" xfId="10330"/>
    <cellStyle name="40% - Accent1 14 2 2 3 3" xfId="10331"/>
    <cellStyle name="40% - Accent1 14 2 2 4" xfId="10332"/>
    <cellStyle name="40% - Accent1 14 2 2 5" xfId="10333"/>
    <cellStyle name="40% - Accent1 14 2 3" xfId="10334"/>
    <cellStyle name="40% - Accent1 14 2 3 2" xfId="10335"/>
    <cellStyle name="40% - Accent1 14 2 3 2 2" xfId="10336"/>
    <cellStyle name="40% - Accent1 14 2 3 2 3" xfId="10337"/>
    <cellStyle name="40% - Accent1 14 2 3 3" xfId="10338"/>
    <cellStyle name="40% - Accent1 14 2 3 3 2" xfId="10339"/>
    <cellStyle name="40% - Accent1 14 2 3 3 3" xfId="10340"/>
    <cellStyle name="40% - Accent1 14 2 3 4" xfId="10341"/>
    <cellStyle name="40% - Accent1 14 2 3 5" xfId="10342"/>
    <cellStyle name="40% - Accent1 14 2 4" xfId="10343"/>
    <cellStyle name="40% - Accent1 14 2 4 2" xfId="10344"/>
    <cellStyle name="40% - Accent1 14 2 4 2 2" xfId="10345"/>
    <cellStyle name="40% - Accent1 14 2 4 2 3" xfId="10346"/>
    <cellStyle name="40% - Accent1 14 2 4 3" xfId="10347"/>
    <cellStyle name="40% - Accent1 14 2 4 3 2" xfId="10348"/>
    <cellStyle name="40% - Accent1 14 2 4 3 3" xfId="10349"/>
    <cellStyle name="40% - Accent1 14 2 4 4" xfId="10350"/>
    <cellStyle name="40% - Accent1 14 2 4 5" xfId="10351"/>
    <cellStyle name="40% - Accent1 14 2 5" xfId="10352"/>
    <cellStyle name="40% - Accent1 14 2 5 2" xfId="10353"/>
    <cellStyle name="40% - Accent1 14 2 5 3" xfId="10354"/>
    <cellStyle name="40% - Accent1 14 2 6" xfId="10355"/>
    <cellStyle name="40% - Accent1 14 2 6 2" xfId="10356"/>
    <cellStyle name="40% - Accent1 14 2 6 3" xfId="10357"/>
    <cellStyle name="40% - Accent1 14 2 7" xfId="10358"/>
    <cellStyle name="40% - Accent1 14 2 8" xfId="10359"/>
    <cellStyle name="40% - Accent1 14 2_Volatility" xfId="10360"/>
    <cellStyle name="40% - Accent1 14 3" xfId="10361"/>
    <cellStyle name="40% - Accent1 14 3 2" xfId="10362"/>
    <cellStyle name="40% - Accent1 14 3 2 2" xfId="10363"/>
    <cellStyle name="40% - Accent1 14 3 2 2 2" xfId="10364"/>
    <cellStyle name="40% - Accent1 14 3 2 2 3" xfId="10365"/>
    <cellStyle name="40% - Accent1 14 3 2 3" xfId="10366"/>
    <cellStyle name="40% - Accent1 14 3 2 3 2" xfId="10367"/>
    <cellStyle name="40% - Accent1 14 3 2 3 3" xfId="10368"/>
    <cellStyle name="40% - Accent1 14 3 2 4" xfId="10369"/>
    <cellStyle name="40% - Accent1 14 3 2 5" xfId="10370"/>
    <cellStyle name="40% - Accent1 14 3 3" xfId="10371"/>
    <cellStyle name="40% - Accent1 14 3 3 2" xfId="10372"/>
    <cellStyle name="40% - Accent1 14 3 3 2 2" xfId="10373"/>
    <cellStyle name="40% - Accent1 14 3 3 2 3" xfId="10374"/>
    <cellStyle name="40% - Accent1 14 3 3 3" xfId="10375"/>
    <cellStyle name="40% - Accent1 14 3 3 3 2" xfId="10376"/>
    <cellStyle name="40% - Accent1 14 3 3 3 3" xfId="10377"/>
    <cellStyle name="40% - Accent1 14 3 3 4" xfId="10378"/>
    <cellStyle name="40% - Accent1 14 3 3 5" xfId="10379"/>
    <cellStyle name="40% - Accent1 14 3 4" xfId="10380"/>
    <cellStyle name="40% - Accent1 14 3 4 2" xfId="10381"/>
    <cellStyle name="40% - Accent1 14 3 4 3" xfId="10382"/>
    <cellStyle name="40% - Accent1 14 3 5" xfId="10383"/>
    <cellStyle name="40% - Accent1 14 3 5 2" xfId="10384"/>
    <cellStyle name="40% - Accent1 14 3 5 3" xfId="10385"/>
    <cellStyle name="40% - Accent1 14 3 6" xfId="10386"/>
    <cellStyle name="40% - Accent1 14 3 7" xfId="10387"/>
    <cellStyle name="40% - Accent1 14 3_Volatility" xfId="10388"/>
    <cellStyle name="40% - Accent1 14 4" xfId="10389"/>
    <cellStyle name="40% - Accent1 14 4 2" xfId="10390"/>
    <cellStyle name="40% - Accent1 14 4 2 2" xfId="10391"/>
    <cellStyle name="40% - Accent1 14 4 2 3" xfId="10392"/>
    <cellStyle name="40% - Accent1 14 4 3" xfId="10393"/>
    <cellStyle name="40% - Accent1 14 4 3 2" xfId="10394"/>
    <cellStyle name="40% - Accent1 14 4 3 3" xfId="10395"/>
    <cellStyle name="40% - Accent1 14 4 4" xfId="10396"/>
    <cellStyle name="40% - Accent1 14 4 5" xfId="10397"/>
    <cellStyle name="40% - Accent1 14 5" xfId="10398"/>
    <cellStyle name="40% - Accent1 14 5 2" xfId="10399"/>
    <cellStyle name="40% - Accent1 14 5 2 2" xfId="10400"/>
    <cellStyle name="40% - Accent1 14 5 2 3" xfId="10401"/>
    <cellStyle name="40% - Accent1 14 5 3" xfId="10402"/>
    <cellStyle name="40% - Accent1 14 5 3 2" xfId="10403"/>
    <cellStyle name="40% - Accent1 14 5 3 3" xfId="10404"/>
    <cellStyle name="40% - Accent1 14 5 4" xfId="10405"/>
    <cellStyle name="40% - Accent1 14 5 5" xfId="10406"/>
    <cellStyle name="40% - Accent1 14 6" xfId="10407"/>
    <cellStyle name="40% - Accent1 14 6 2" xfId="10408"/>
    <cellStyle name="40% - Accent1 14 6 2 2" xfId="10409"/>
    <cellStyle name="40% - Accent1 14 6 2 3" xfId="10410"/>
    <cellStyle name="40% - Accent1 14 6 3" xfId="10411"/>
    <cellStyle name="40% - Accent1 14 6 3 2" xfId="10412"/>
    <cellStyle name="40% - Accent1 14 6 3 3" xfId="10413"/>
    <cellStyle name="40% - Accent1 14 6 4" xfId="10414"/>
    <cellStyle name="40% - Accent1 14 6 5" xfId="10415"/>
    <cellStyle name="40% - Accent1 14 7" xfId="10416"/>
    <cellStyle name="40% - Accent1 14 7 2" xfId="10417"/>
    <cellStyle name="40% - Accent1 14 7 3" xfId="10418"/>
    <cellStyle name="40% - Accent1 14 8" xfId="10419"/>
    <cellStyle name="40% - Accent1 14 8 2" xfId="10420"/>
    <cellStyle name="40% - Accent1 14 8 3" xfId="10421"/>
    <cellStyle name="40% - Accent1 14 9" xfId="10422"/>
    <cellStyle name="40% - Accent1 14_Volatility" xfId="10423"/>
    <cellStyle name="40% - Accent1 15" xfId="10424"/>
    <cellStyle name="40% - Accent1 15 10" xfId="10425"/>
    <cellStyle name="40% - Accent1 15 2" xfId="10426"/>
    <cellStyle name="40% - Accent1 15 2 2" xfId="10427"/>
    <cellStyle name="40% - Accent1 15 2 2 2" xfId="10428"/>
    <cellStyle name="40% - Accent1 15 2 2 2 2" xfId="10429"/>
    <cellStyle name="40% - Accent1 15 2 2 2 3" xfId="10430"/>
    <cellStyle name="40% - Accent1 15 2 2 3" xfId="10431"/>
    <cellStyle name="40% - Accent1 15 2 2 3 2" xfId="10432"/>
    <cellStyle name="40% - Accent1 15 2 2 3 3" xfId="10433"/>
    <cellStyle name="40% - Accent1 15 2 2 4" xfId="10434"/>
    <cellStyle name="40% - Accent1 15 2 2 5" xfId="10435"/>
    <cellStyle name="40% - Accent1 15 2 3" xfId="10436"/>
    <cellStyle name="40% - Accent1 15 2 3 2" xfId="10437"/>
    <cellStyle name="40% - Accent1 15 2 3 2 2" xfId="10438"/>
    <cellStyle name="40% - Accent1 15 2 3 2 3" xfId="10439"/>
    <cellStyle name="40% - Accent1 15 2 3 3" xfId="10440"/>
    <cellStyle name="40% - Accent1 15 2 3 3 2" xfId="10441"/>
    <cellStyle name="40% - Accent1 15 2 3 3 3" xfId="10442"/>
    <cellStyle name="40% - Accent1 15 2 3 4" xfId="10443"/>
    <cellStyle name="40% - Accent1 15 2 3 5" xfId="10444"/>
    <cellStyle name="40% - Accent1 15 2 4" xfId="10445"/>
    <cellStyle name="40% - Accent1 15 2 4 2" xfId="10446"/>
    <cellStyle name="40% - Accent1 15 2 4 2 2" xfId="10447"/>
    <cellStyle name="40% - Accent1 15 2 4 2 3" xfId="10448"/>
    <cellStyle name="40% - Accent1 15 2 4 3" xfId="10449"/>
    <cellStyle name="40% - Accent1 15 2 4 3 2" xfId="10450"/>
    <cellStyle name="40% - Accent1 15 2 4 3 3" xfId="10451"/>
    <cellStyle name="40% - Accent1 15 2 4 4" xfId="10452"/>
    <cellStyle name="40% - Accent1 15 2 4 5" xfId="10453"/>
    <cellStyle name="40% - Accent1 15 2 5" xfId="10454"/>
    <cellStyle name="40% - Accent1 15 2 5 2" xfId="10455"/>
    <cellStyle name="40% - Accent1 15 2 5 3" xfId="10456"/>
    <cellStyle name="40% - Accent1 15 2 6" xfId="10457"/>
    <cellStyle name="40% - Accent1 15 2 6 2" xfId="10458"/>
    <cellStyle name="40% - Accent1 15 2 6 3" xfId="10459"/>
    <cellStyle name="40% - Accent1 15 2 7" xfId="10460"/>
    <cellStyle name="40% - Accent1 15 2 8" xfId="10461"/>
    <cellStyle name="40% - Accent1 15 2_Volatility" xfId="10462"/>
    <cellStyle name="40% - Accent1 15 3" xfId="10463"/>
    <cellStyle name="40% - Accent1 15 3 2" xfId="10464"/>
    <cellStyle name="40% - Accent1 15 3 2 2" xfId="10465"/>
    <cellStyle name="40% - Accent1 15 3 2 2 2" xfId="10466"/>
    <cellStyle name="40% - Accent1 15 3 2 2 3" xfId="10467"/>
    <cellStyle name="40% - Accent1 15 3 2 3" xfId="10468"/>
    <cellStyle name="40% - Accent1 15 3 2 3 2" xfId="10469"/>
    <cellStyle name="40% - Accent1 15 3 2 3 3" xfId="10470"/>
    <cellStyle name="40% - Accent1 15 3 2 4" xfId="10471"/>
    <cellStyle name="40% - Accent1 15 3 2 5" xfId="10472"/>
    <cellStyle name="40% - Accent1 15 3 3" xfId="10473"/>
    <cellStyle name="40% - Accent1 15 3 3 2" xfId="10474"/>
    <cellStyle name="40% - Accent1 15 3 3 2 2" xfId="10475"/>
    <cellStyle name="40% - Accent1 15 3 3 2 3" xfId="10476"/>
    <cellStyle name="40% - Accent1 15 3 3 3" xfId="10477"/>
    <cellStyle name="40% - Accent1 15 3 3 3 2" xfId="10478"/>
    <cellStyle name="40% - Accent1 15 3 3 3 3" xfId="10479"/>
    <cellStyle name="40% - Accent1 15 3 3 4" xfId="10480"/>
    <cellStyle name="40% - Accent1 15 3 3 5" xfId="10481"/>
    <cellStyle name="40% - Accent1 15 3 4" xfId="10482"/>
    <cellStyle name="40% - Accent1 15 3 4 2" xfId="10483"/>
    <cellStyle name="40% - Accent1 15 3 4 3" xfId="10484"/>
    <cellStyle name="40% - Accent1 15 3 5" xfId="10485"/>
    <cellStyle name="40% - Accent1 15 3 5 2" xfId="10486"/>
    <cellStyle name="40% - Accent1 15 3 5 3" xfId="10487"/>
    <cellStyle name="40% - Accent1 15 3 6" xfId="10488"/>
    <cellStyle name="40% - Accent1 15 3 7" xfId="10489"/>
    <cellStyle name="40% - Accent1 15 3_Volatility" xfId="10490"/>
    <cellStyle name="40% - Accent1 15 4" xfId="10491"/>
    <cellStyle name="40% - Accent1 15 4 2" xfId="10492"/>
    <cellStyle name="40% - Accent1 15 4 2 2" xfId="10493"/>
    <cellStyle name="40% - Accent1 15 4 2 3" xfId="10494"/>
    <cellStyle name="40% - Accent1 15 4 3" xfId="10495"/>
    <cellStyle name="40% - Accent1 15 4 3 2" xfId="10496"/>
    <cellStyle name="40% - Accent1 15 4 3 3" xfId="10497"/>
    <cellStyle name="40% - Accent1 15 4 4" xfId="10498"/>
    <cellStyle name="40% - Accent1 15 4 5" xfId="10499"/>
    <cellStyle name="40% - Accent1 15 5" xfId="10500"/>
    <cellStyle name="40% - Accent1 15 5 2" xfId="10501"/>
    <cellStyle name="40% - Accent1 15 5 2 2" xfId="10502"/>
    <cellStyle name="40% - Accent1 15 5 2 3" xfId="10503"/>
    <cellStyle name="40% - Accent1 15 5 3" xfId="10504"/>
    <cellStyle name="40% - Accent1 15 5 3 2" xfId="10505"/>
    <cellStyle name="40% - Accent1 15 5 3 3" xfId="10506"/>
    <cellStyle name="40% - Accent1 15 5 4" xfId="10507"/>
    <cellStyle name="40% - Accent1 15 5 5" xfId="10508"/>
    <cellStyle name="40% - Accent1 15 6" xfId="10509"/>
    <cellStyle name="40% - Accent1 15 6 2" xfId="10510"/>
    <cellStyle name="40% - Accent1 15 6 2 2" xfId="10511"/>
    <cellStyle name="40% - Accent1 15 6 2 3" xfId="10512"/>
    <cellStyle name="40% - Accent1 15 6 3" xfId="10513"/>
    <cellStyle name="40% - Accent1 15 6 3 2" xfId="10514"/>
    <cellStyle name="40% - Accent1 15 6 3 3" xfId="10515"/>
    <cellStyle name="40% - Accent1 15 6 4" xfId="10516"/>
    <cellStyle name="40% - Accent1 15 6 5" xfId="10517"/>
    <cellStyle name="40% - Accent1 15 7" xfId="10518"/>
    <cellStyle name="40% - Accent1 15 7 2" xfId="10519"/>
    <cellStyle name="40% - Accent1 15 7 3" xfId="10520"/>
    <cellStyle name="40% - Accent1 15 8" xfId="10521"/>
    <cellStyle name="40% - Accent1 15 8 2" xfId="10522"/>
    <cellStyle name="40% - Accent1 15 8 3" xfId="10523"/>
    <cellStyle name="40% - Accent1 15 9" xfId="10524"/>
    <cellStyle name="40% - Accent1 15_Volatility" xfId="10525"/>
    <cellStyle name="40% - Accent1 16" xfId="10526"/>
    <cellStyle name="40% - Accent1 16 2" xfId="10527"/>
    <cellStyle name="40% - Accent1 16 3" xfId="10528"/>
    <cellStyle name="40% - Accent1 17" xfId="10529"/>
    <cellStyle name="40% - Accent1 17 2" xfId="10530"/>
    <cellStyle name="40% - Accent1 17 3" xfId="10531"/>
    <cellStyle name="40% - Accent1 18" xfId="10532"/>
    <cellStyle name="40% - Accent1 18 2" xfId="10533"/>
    <cellStyle name="40% - Accent1 18 3" xfId="10534"/>
    <cellStyle name="40% - Accent1 19" xfId="10535"/>
    <cellStyle name="40% - Accent1 19 2" xfId="10536"/>
    <cellStyle name="40% - Accent1 19 3" xfId="10537"/>
    <cellStyle name="40% - Accent1 2" xfId="10538"/>
    <cellStyle name="40% - Accent1 2 10" xfId="10539"/>
    <cellStyle name="40% - Accent1 2 2" xfId="10540"/>
    <cellStyle name="40% - Accent1 2 2 2" xfId="10541"/>
    <cellStyle name="40% - Accent1 2 2 2 2" xfId="10542"/>
    <cellStyle name="40% - Accent1 2 2 2 2 2" xfId="10543"/>
    <cellStyle name="40% - Accent1 2 2 2 2 3" xfId="10544"/>
    <cellStyle name="40% - Accent1 2 2 2 3" xfId="10545"/>
    <cellStyle name="40% - Accent1 2 2 2 3 2" xfId="10546"/>
    <cellStyle name="40% - Accent1 2 2 2 3 3" xfId="10547"/>
    <cellStyle name="40% - Accent1 2 2 2 4" xfId="10548"/>
    <cellStyle name="40% - Accent1 2 2 2 5" xfId="10549"/>
    <cellStyle name="40% - Accent1 2 2 3" xfId="10550"/>
    <cellStyle name="40% - Accent1 2 2 3 2" xfId="10551"/>
    <cellStyle name="40% - Accent1 2 2 3 2 2" xfId="10552"/>
    <cellStyle name="40% - Accent1 2 2 3 2 3" xfId="10553"/>
    <cellStyle name="40% - Accent1 2 2 3 3" xfId="10554"/>
    <cellStyle name="40% - Accent1 2 2 3 3 2" xfId="10555"/>
    <cellStyle name="40% - Accent1 2 2 3 3 3" xfId="10556"/>
    <cellStyle name="40% - Accent1 2 2 3 4" xfId="10557"/>
    <cellStyle name="40% - Accent1 2 2 3 5" xfId="10558"/>
    <cellStyle name="40% - Accent1 2 2 4" xfId="10559"/>
    <cellStyle name="40% - Accent1 2 2 4 2" xfId="10560"/>
    <cellStyle name="40% - Accent1 2 2 4 2 2" xfId="10561"/>
    <cellStyle name="40% - Accent1 2 2 4 2 3" xfId="10562"/>
    <cellStyle name="40% - Accent1 2 2 4 3" xfId="10563"/>
    <cellStyle name="40% - Accent1 2 2 4 3 2" xfId="10564"/>
    <cellStyle name="40% - Accent1 2 2 4 3 3" xfId="10565"/>
    <cellStyle name="40% - Accent1 2 2 4 4" xfId="10566"/>
    <cellStyle name="40% - Accent1 2 2 4 5" xfId="10567"/>
    <cellStyle name="40% - Accent1 2 2 5" xfId="10568"/>
    <cellStyle name="40% - Accent1 2 2 5 2" xfId="10569"/>
    <cellStyle name="40% - Accent1 2 2 5 3" xfId="10570"/>
    <cellStyle name="40% - Accent1 2 2 6" xfId="10571"/>
    <cellStyle name="40% - Accent1 2 2 6 2" xfId="10572"/>
    <cellStyle name="40% - Accent1 2 2 6 3" xfId="10573"/>
    <cellStyle name="40% - Accent1 2 2 7" xfId="10574"/>
    <cellStyle name="40% - Accent1 2 2 8" xfId="10575"/>
    <cellStyle name="40% - Accent1 2 2_Volatility" xfId="10576"/>
    <cellStyle name="40% - Accent1 2 3" xfId="10577"/>
    <cellStyle name="40% - Accent1 2 3 2" xfId="10578"/>
    <cellStyle name="40% - Accent1 2 3 2 2" xfId="10579"/>
    <cellStyle name="40% - Accent1 2 3 2 2 2" xfId="10580"/>
    <cellStyle name="40% - Accent1 2 3 2 2 3" xfId="10581"/>
    <cellStyle name="40% - Accent1 2 3 2 3" xfId="10582"/>
    <cellStyle name="40% - Accent1 2 3 2 3 2" xfId="10583"/>
    <cellStyle name="40% - Accent1 2 3 2 3 3" xfId="10584"/>
    <cellStyle name="40% - Accent1 2 3 2 4" xfId="10585"/>
    <cellStyle name="40% - Accent1 2 3 2 5" xfId="10586"/>
    <cellStyle name="40% - Accent1 2 3 3" xfId="10587"/>
    <cellStyle name="40% - Accent1 2 3 3 2" xfId="10588"/>
    <cellStyle name="40% - Accent1 2 3 3 2 2" xfId="10589"/>
    <cellStyle name="40% - Accent1 2 3 3 2 3" xfId="10590"/>
    <cellStyle name="40% - Accent1 2 3 3 3" xfId="10591"/>
    <cellStyle name="40% - Accent1 2 3 3 3 2" xfId="10592"/>
    <cellStyle name="40% - Accent1 2 3 3 3 3" xfId="10593"/>
    <cellStyle name="40% - Accent1 2 3 3 4" xfId="10594"/>
    <cellStyle name="40% - Accent1 2 3 3 5" xfId="10595"/>
    <cellStyle name="40% - Accent1 2 3 4" xfId="10596"/>
    <cellStyle name="40% - Accent1 2 3 4 2" xfId="10597"/>
    <cellStyle name="40% - Accent1 2 3 4 3" xfId="10598"/>
    <cellStyle name="40% - Accent1 2 3 5" xfId="10599"/>
    <cellStyle name="40% - Accent1 2 3 5 2" xfId="10600"/>
    <cellStyle name="40% - Accent1 2 3 5 3" xfId="10601"/>
    <cellStyle name="40% - Accent1 2 3 6" xfId="10602"/>
    <cellStyle name="40% - Accent1 2 3 7" xfId="10603"/>
    <cellStyle name="40% - Accent1 2 3_Volatility" xfId="10604"/>
    <cellStyle name="40% - Accent1 2 4" xfId="10605"/>
    <cellStyle name="40% - Accent1 2 4 2" xfId="10606"/>
    <cellStyle name="40% - Accent1 2 4 2 2" xfId="10607"/>
    <cellStyle name="40% - Accent1 2 4 2 3" xfId="10608"/>
    <cellStyle name="40% - Accent1 2 4 3" xfId="10609"/>
    <cellStyle name="40% - Accent1 2 4 3 2" xfId="10610"/>
    <cellStyle name="40% - Accent1 2 4 3 3" xfId="10611"/>
    <cellStyle name="40% - Accent1 2 4 4" xfId="10612"/>
    <cellStyle name="40% - Accent1 2 4 5" xfId="10613"/>
    <cellStyle name="40% - Accent1 2 5" xfId="10614"/>
    <cellStyle name="40% - Accent1 2 5 2" xfId="10615"/>
    <cellStyle name="40% - Accent1 2 5 2 2" xfId="10616"/>
    <cellStyle name="40% - Accent1 2 5 2 3" xfId="10617"/>
    <cellStyle name="40% - Accent1 2 5 3" xfId="10618"/>
    <cellStyle name="40% - Accent1 2 5 3 2" xfId="10619"/>
    <cellStyle name="40% - Accent1 2 5 3 3" xfId="10620"/>
    <cellStyle name="40% - Accent1 2 5 4" xfId="10621"/>
    <cellStyle name="40% - Accent1 2 5 5" xfId="10622"/>
    <cellStyle name="40% - Accent1 2 6" xfId="10623"/>
    <cellStyle name="40% - Accent1 2 6 2" xfId="10624"/>
    <cellStyle name="40% - Accent1 2 6 2 2" xfId="10625"/>
    <cellStyle name="40% - Accent1 2 6 2 3" xfId="10626"/>
    <cellStyle name="40% - Accent1 2 6 3" xfId="10627"/>
    <cellStyle name="40% - Accent1 2 6 3 2" xfId="10628"/>
    <cellStyle name="40% - Accent1 2 6 3 3" xfId="10629"/>
    <cellStyle name="40% - Accent1 2 6 4" xfId="10630"/>
    <cellStyle name="40% - Accent1 2 6 5" xfId="10631"/>
    <cellStyle name="40% - Accent1 2 7" xfId="10632"/>
    <cellStyle name="40% - Accent1 2 7 2" xfId="10633"/>
    <cellStyle name="40% - Accent1 2 7 3" xfId="10634"/>
    <cellStyle name="40% - Accent1 2 8" xfId="10635"/>
    <cellStyle name="40% - Accent1 2 8 2" xfId="10636"/>
    <cellStyle name="40% - Accent1 2 8 3" xfId="10637"/>
    <cellStyle name="40% - Accent1 2 9" xfId="10638"/>
    <cellStyle name="40% - Accent1 2_Volatility" xfId="10639"/>
    <cellStyle name="40% - Accent1 3" xfId="10640"/>
    <cellStyle name="40% - Accent1 3 10" xfId="10641"/>
    <cellStyle name="40% - Accent1 3 2" xfId="10642"/>
    <cellStyle name="40% - Accent1 3 2 2" xfId="10643"/>
    <cellStyle name="40% - Accent1 3 2 2 2" xfId="10644"/>
    <cellStyle name="40% - Accent1 3 2 2 2 2" xfId="10645"/>
    <cellStyle name="40% - Accent1 3 2 2 2 3" xfId="10646"/>
    <cellStyle name="40% - Accent1 3 2 2 3" xfId="10647"/>
    <cellStyle name="40% - Accent1 3 2 2 3 2" xfId="10648"/>
    <cellStyle name="40% - Accent1 3 2 2 3 3" xfId="10649"/>
    <cellStyle name="40% - Accent1 3 2 2 4" xfId="10650"/>
    <cellStyle name="40% - Accent1 3 2 2 5" xfId="10651"/>
    <cellStyle name="40% - Accent1 3 2 3" xfId="10652"/>
    <cellStyle name="40% - Accent1 3 2 3 2" xfId="10653"/>
    <cellStyle name="40% - Accent1 3 2 3 2 2" xfId="10654"/>
    <cellStyle name="40% - Accent1 3 2 3 2 3" xfId="10655"/>
    <cellStyle name="40% - Accent1 3 2 3 3" xfId="10656"/>
    <cellStyle name="40% - Accent1 3 2 3 3 2" xfId="10657"/>
    <cellStyle name="40% - Accent1 3 2 3 3 3" xfId="10658"/>
    <cellStyle name="40% - Accent1 3 2 3 4" xfId="10659"/>
    <cellStyle name="40% - Accent1 3 2 3 5" xfId="10660"/>
    <cellStyle name="40% - Accent1 3 2 4" xfId="10661"/>
    <cellStyle name="40% - Accent1 3 2 4 2" xfId="10662"/>
    <cellStyle name="40% - Accent1 3 2 4 2 2" xfId="10663"/>
    <cellStyle name="40% - Accent1 3 2 4 2 3" xfId="10664"/>
    <cellStyle name="40% - Accent1 3 2 4 3" xfId="10665"/>
    <cellStyle name="40% - Accent1 3 2 4 3 2" xfId="10666"/>
    <cellStyle name="40% - Accent1 3 2 4 3 3" xfId="10667"/>
    <cellStyle name="40% - Accent1 3 2 4 4" xfId="10668"/>
    <cellStyle name="40% - Accent1 3 2 4 5" xfId="10669"/>
    <cellStyle name="40% - Accent1 3 2 5" xfId="10670"/>
    <cellStyle name="40% - Accent1 3 2 5 2" xfId="10671"/>
    <cellStyle name="40% - Accent1 3 2 5 3" xfId="10672"/>
    <cellStyle name="40% - Accent1 3 2 6" xfId="10673"/>
    <cellStyle name="40% - Accent1 3 2 6 2" xfId="10674"/>
    <cellStyle name="40% - Accent1 3 2 6 3" xfId="10675"/>
    <cellStyle name="40% - Accent1 3 2 7" xfId="10676"/>
    <cellStyle name="40% - Accent1 3 2 8" xfId="10677"/>
    <cellStyle name="40% - Accent1 3 2_Volatility" xfId="10678"/>
    <cellStyle name="40% - Accent1 3 3" xfId="10679"/>
    <cellStyle name="40% - Accent1 3 3 2" xfId="10680"/>
    <cellStyle name="40% - Accent1 3 3 2 2" xfId="10681"/>
    <cellStyle name="40% - Accent1 3 3 2 2 2" xfId="10682"/>
    <cellStyle name="40% - Accent1 3 3 2 2 3" xfId="10683"/>
    <cellStyle name="40% - Accent1 3 3 2 3" xfId="10684"/>
    <cellStyle name="40% - Accent1 3 3 2 3 2" xfId="10685"/>
    <cellStyle name="40% - Accent1 3 3 2 3 3" xfId="10686"/>
    <cellStyle name="40% - Accent1 3 3 2 4" xfId="10687"/>
    <cellStyle name="40% - Accent1 3 3 2 5" xfId="10688"/>
    <cellStyle name="40% - Accent1 3 3 3" xfId="10689"/>
    <cellStyle name="40% - Accent1 3 3 3 2" xfId="10690"/>
    <cellStyle name="40% - Accent1 3 3 3 2 2" xfId="10691"/>
    <cellStyle name="40% - Accent1 3 3 3 2 3" xfId="10692"/>
    <cellStyle name="40% - Accent1 3 3 3 3" xfId="10693"/>
    <cellStyle name="40% - Accent1 3 3 3 3 2" xfId="10694"/>
    <cellStyle name="40% - Accent1 3 3 3 3 3" xfId="10695"/>
    <cellStyle name="40% - Accent1 3 3 3 4" xfId="10696"/>
    <cellStyle name="40% - Accent1 3 3 3 5" xfId="10697"/>
    <cellStyle name="40% - Accent1 3 3 4" xfId="10698"/>
    <cellStyle name="40% - Accent1 3 3 4 2" xfId="10699"/>
    <cellStyle name="40% - Accent1 3 3 4 3" xfId="10700"/>
    <cellStyle name="40% - Accent1 3 3 5" xfId="10701"/>
    <cellStyle name="40% - Accent1 3 3 5 2" xfId="10702"/>
    <cellStyle name="40% - Accent1 3 3 5 3" xfId="10703"/>
    <cellStyle name="40% - Accent1 3 3 6" xfId="10704"/>
    <cellStyle name="40% - Accent1 3 3 7" xfId="10705"/>
    <cellStyle name="40% - Accent1 3 3_Volatility" xfId="10706"/>
    <cellStyle name="40% - Accent1 3 4" xfId="10707"/>
    <cellStyle name="40% - Accent1 3 4 2" xfId="10708"/>
    <cellStyle name="40% - Accent1 3 4 2 2" xfId="10709"/>
    <cellStyle name="40% - Accent1 3 4 2 3" xfId="10710"/>
    <cellStyle name="40% - Accent1 3 4 3" xfId="10711"/>
    <cellStyle name="40% - Accent1 3 4 3 2" xfId="10712"/>
    <cellStyle name="40% - Accent1 3 4 3 3" xfId="10713"/>
    <cellStyle name="40% - Accent1 3 4 4" xfId="10714"/>
    <cellStyle name="40% - Accent1 3 4 5" xfId="10715"/>
    <cellStyle name="40% - Accent1 3 5" xfId="10716"/>
    <cellStyle name="40% - Accent1 3 5 2" xfId="10717"/>
    <cellStyle name="40% - Accent1 3 5 2 2" xfId="10718"/>
    <cellStyle name="40% - Accent1 3 5 2 3" xfId="10719"/>
    <cellStyle name="40% - Accent1 3 5 3" xfId="10720"/>
    <cellStyle name="40% - Accent1 3 5 3 2" xfId="10721"/>
    <cellStyle name="40% - Accent1 3 5 3 3" xfId="10722"/>
    <cellStyle name="40% - Accent1 3 5 4" xfId="10723"/>
    <cellStyle name="40% - Accent1 3 5 5" xfId="10724"/>
    <cellStyle name="40% - Accent1 3 6" xfId="10725"/>
    <cellStyle name="40% - Accent1 3 6 2" xfId="10726"/>
    <cellStyle name="40% - Accent1 3 6 2 2" xfId="10727"/>
    <cellStyle name="40% - Accent1 3 6 2 3" xfId="10728"/>
    <cellStyle name="40% - Accent1 3 6 3" xfId="10729"/>
    <cellStyle name="40% - Accent1 3 6 3 2" xfId="10730"/>
    <cellStyle name="40% - Accent1 3 6 3 3" xfId="10731"/>
    <cellStyle name="40% - Accent1 3 6 4" xfId="10732"/>
    <cellStyle name="40% - Accent1 3 6 5" xfId="10733"/>
    <cellStyle name="40% - Accent1 3 7" xfId="10734"/>
    <cellStyle name="40% - Accent1 3 7 2" xfId="10735"/>
    <cellStyle name="40% - Accent1 3 7 3" xfId="10736"/>
    <cellStyle name="40% - Accent1 3 8" xfId="10737"/>
    <cellStyle name="40% - Accent1 3 8 2" xfId="10738"/>
    <cellStyle name="40% - Accent1 3 8 3" xfId="10739"/>
    <cellStyle name="40% - Accent1 3 9" xfId="10740"/>
    <cellStyle name="40% - Accent1 3_Volatility" xfId="10741"/>
    <cellStyle name="40% - Accent1 4" xfId="10742"/>
    <cellStyle name="40% - Accent1 4 10" xfId="10743"/>
    <cellStyle name="40% - Accent1 4 2" xfId="10744"/>
    <cellStyle name="40% - Accent1 4 2 2" xfId="10745"/>
    <cellStyle name="40% - Accent1 4 2 2 2" xfId="10746"/>
    <cellStyle name="40% - Accent1 4 2 2 2 2" xfId="10747"/>
    <cellStyle name="40% - Accent1 4 2 2 2 3" xfId="10748"/>
    <cellStyle name="40% - Accent1 4 2 2 3" xfId="10749"/>
    <cellStyle name="40% - Accent1 4 2 2 3 2" xfId="10750"/>
    <cellStyle name="40% - Accent1 4 2 2 3 3" xfId="10751"/>
    <cellStyle name="40% - Accent1 4 2 2 4" xfId="10752"/>
    <cellStyle name="40% - Accent1 4 2 2 5" xfId="10753"/>
    <cellStyle name="40% - Accent1 4 2 3" xfId="10754"/>
    <cellStyle name="40% - Accent1 4 2 3 2" xfId="10755"/>
    <cellStyle name="40% - Accent1 4 2 3 2 2" xfId="10756"/>
    <cellStyle name="40% - Accent1 4 2 3 2 3" xfId="10757"/>
    <cellStyle name="40% - Accent1 4 2 3 3" xfId="10758"/>
    <cellStyle name="40% - Accent1 4 2 3 3 2" xfId="10759"/>
    <cellStyle name="40% - Accent1 4 2 3 3 3" xfId="10760"/>
    <cellStyle name="40% - Accent1 4 2 3 4" xfId="10761"/>
    <cellStyle name="40% - Accent1 4 2 3 5" xfId="10762"/>
    <cellStyle name="40% - Accent1 4 2 4" xfId="10763"/>
    <cellStyle name="40% - Accent1 4 2 4 2" xfId="10764"/>
    <cellStyle name="40% - Accent1 4 2 4 2 2" xfId="10765"/>
    <cellStyle name="40% - Accent1 4 2 4 2 3" xfId="10766"/>
    <cellStyle name="40% - Accent1 4 2 4 3" xfId="10767"/>
    <cellStyle name="40% - Accent1 4 2 4 3 2" xfId="10768"/>
    <cellStyle name="40% - Accent1 4 2 4 3 3" xfId="10769"/>
    <cellStyle name="40% - Accent1 4 2 4 4" xfId="10770"/>
    <cellStyle name="40% - Accent1 4 2 4 5" xfId="10771"/>
    <cellStyle name="40% - Accent1 4 2 5" xfId="10772"/>
    <cellStyle name="40% - Accent1 4 2 5 2" xfId="10773"/>
    <cellStyle name="40% - Accent1 4 2 5 3" xfId="10774"/>
    <cellStyle name="40% - Accent1 4 2 6" xfId="10775"/>
    <cellStyle name="40% - Accent1 4 2 6 2" xfId="10776"/>
    <cellStyle name="40% - Accent1 4 2 6 3" xfId="10777"/>
    <cellStyle name="40% - Accent1 4 2 7" xfId="10778"/>
    <cellStyle name="40% - Accent1 4 2 8" xfId="10779"/>
    <cellStyle name="40% - Accent1 4 2_Volatility" xfId="10780"/>
    <cellStyle name="40% - Accent1 4 3" xfId="10781"/>
    <cellStyle name="40% - Accent1 4 3 2" xfId="10782"/>
    <cellStyle name="40% - Accent1 4 3 2 2" xfId="10783"/>
    <cellStyle name="40% - Accent1 4 3 2 2 2" xfId="10784"/>
    <cellStyle name="40% - Accent1 4 3 2 2 3" xfId="10785"/>
    <cellStyle name="40% - Accent1 4 3 2 3" xfId="10786"/>
    <cellStyle name="40% - Accent1 4 3 2 3 2" xfId="10787"/>
    <cellStyle name="40% - Accent1 4 3 2 3 3" xfId="10788"/>
    <cellStyle name="40% - Accent1 4 3 2 4" xfId="10789"/>
    <cellStyle name="40% - Accent1 4 3 2 5" xfId="10790"/>
    <cellStyle name="40% - Accent1 4 3 3" xfId="10791"/>
    <cellStyle name="40% - Accent1 4 3 3 2" xfId="10792"/>
    <cellStyle name="40% - Accent1 4 3 3 2 2" xfId="10793"/>
    <cellStyle name="40% - Accent1 4 3 3 2 3" xfId="10794"/>
    <cellStyle name="40% - Accent1 4 3 3 3" xfId="10795"/>
    <cellStyle name="40% - Accent1 4 3 3 3 2" xfId="10796"/>
    <cellStyle name="40% - Accent1 4 3 3 3 3" xfId="10797"/>
    <cellStyle name="40% - Accent1 4 3 3 4" xfId="10798"/>
    <cellStyle name="40% - Accent1 4 3 3 5" xfId="10799"/>
    <cellStyle name="40% - Accent1 4 3 4" xfId="10800"/>
    <cellStyle name="40% - Accent1 4 3 4 2" xfId="10801"/>
    <cellStyle name="40% - Accent1 4 3 4 3" xfId="10802"/>
    <cellStyle name="40% - Accent1 4 3 5" xfId="10803"/>
    <cellStyle name="40% - Accent1 4 3 5 2" xfId="10804"/>
    <cellStyle name="40% - Accent1 4 3 5 3" xfId="10805"/>
    <cellStyle name="40% - Accent1 4 3 6" xfId="10806"/>
    <cellStyle name="40% - Accent1 4 3 7" xfId="10807"/>
    <cellStyle name="40% - Accent1 4 3_Volatility" xfId="10808"/>
    <cellStyle name="40% - Accent1 4 4" xfId="10809"/>
    <cellStyle name="40% - Accent1 4 4 2" xfId="10810"/>
    <cellStyle name="40% - Accent1 4 4 2 2" xfId="10811"/>
    <cellStyle name="40% - Accent1 4 4 2 3" xfId="10812"/>
    <cellStyle name="40% - Accent1 4 4 3" xfId="10813"/>
    <cellStyle name="40% - Accent1 4 4 3 2" xfId="10814"/>
    <cellStyle name="40% - Accent1 4 4 3 3" xfId="10815"/>
    <cellStyle name="40% - Accent1 4 4 4" xfId="10816"/>
    <cellStyle name="40% - Accent1 4 4 5" xfId="10817"/>
    <cellStyle name="40% - Accent1 4 5" xfId="10818"/>
    <cellStyle name="40% - Accent1 4 5 2" xfId="10819"/>
    <cellStyle name="40% - Accent1 4 5 2 2" xfId="10820"/>
    <cellStyle name="40% - Accent1 4 5 2 3" xfId="10821"/>
    <cellStyle name="40% - Accent1 4 5 3" xfId="10822"/>
    <cellStyle name="40% - Accent1 4 5 3 2" xfId="10823"/>
    <cellStyle name="40% - Accent1 4 5 3 3" xfId="10824"/>
    <cellStyle name="40% - Accent1 4 5 4" xfId="10825"/>
    <cellStyle name="40% - Accent1 4 5 5" xfId="10826"/>
    <cellStyle name="40% - Accent1 4 6" xfId="10827"/>
    <cellStyle name="40% - Accent1 4 6 2" xfId="10828"/>
    <cellStyle name="40% - Accent1 4 6 2 2" xfId="10829"/>
    <cellStyle name="40% - Accent1 4 6 2 3" xfId="10830"/>
    <cellStyle name="40% - Accent1 4 6 3" xfId="10831"/>
    <cellStyle name="40% - Accent1 4 6 3 2" xfId="10832"/>
    <cellStyle name="40% - Accent1 4 6 3 3" xfId="10833"/>
    <cellStyle name="40% - Accent1 4 6 4" xfId="10834"/>
    <cellStyle name="40% - Accent1 4 6 5" xfId="10835"/>
    <cellStyle name="40% - Accent1 4 7" xfId="10836"/>
    <cellStyle name="40% - Accent1 4 7 2" xfId="10837"/>
    <cellStyle name="40% - Accent1 4 7 3" xfId="10838"/>
    <cellStyle name="40% - Accent1 4 8" xfId="10839"/>
    <cellStyle name="40% - Accent1 4 8 2" xfId="10840"/>
    <cellStyle name="40% - Accent1 4 8 3" xfId="10841"/>
    <cellStyle name="40% - Accent1 4 9" xfId="10842"/>
    <cellStyle name="40% - Accent1 4_Volatility" xfId="10843"/>
    <cellStyle name="40% - Accent1 5" xfId="10844"/>
    <cellStyle name="40% - Accent1 5 10" xfId="10845"/>
    <cellStyle name="40% - Accent1 5 2" xfId="10846"/>
    <cellStyle name="40% - Accent1 5 2 2" xfId="10847"/>
    <cellStyle name="40% - Accent1 5 2 2 2" xfId="10848"/>
    <cellStyle name="40% - Accent1 5 2 2 2 2" xfId="10849"/>
    <cellStyle name="40% - Accent1 5 2 2 2 3" xfId="10850"/>
    <cellStyle name="40% - Accent1 5 2 2 3" xfId="10851"/>
    <cellStyle name="40% - Accent1 5 2 2 3 2" xfId="10852"/>
    <cellStyle name="40% - Accent1 5 2 2 3 3" xfId="10853"/>
    <cellStyle name="40% - Accent1 5 2 2 4" xfId="10854"/>
    <cellStyle name="40% - Accent1 5 2 2 5" xfId="10855"/>
    <cellStyle name="40% - Accent1 5 2 3" xfId="10856"/>
    <cellStyle name="40% - Accent1 5 2 3 2" xfId="10857"/>
    <cellStyle name="40% - Accent1 5 2 3 2 2" xfId="10858"/>
    <cellStyle name="40% - Accent1 5 2 3 2 3" xfId="10859"/>
    <cellStyle name="40% - Accent1 5 2 3 3" xfId="10860"/>
    <cellStyle name="40% - Accent1 5 2 3 3 2" xfId="10861"/>
    <cellStyle name="40% - Accent1 5 2 3 3 3" xfId="10862"/>
    <cellStyle name="40% - Accent1 5 2 3 4" xfId="10863"/>
    <cellStyle name="40% - Accent1 5 2 3 5" xfId="10864"/>
    <cellStyle name="40% - Accent1 5 2 4" xfId="10865"/>
    <cellStyle name="40% - Accent1 5 2 4 2" xfId="10866"/>
    <cellStyle name="40% - Accent1 5 2 4 2 2" xfId="10867"/>
    <cellStyle name="40% - Accent1 5 2 4 2 3" xfId="10868"/>
    <cellStyle name="40% - Accent1 5 2 4 3" xfId="10869"/>
    <cellStyle name="40% - Accent1 5 2 4 3 2" xfId="10870"/>
    <cellStyle name="40% - Accent1 5 2 4 3 3" xfId="10871"/>
    <cellStyle name="40% - Accent1 5 2 4 4" xfId="10872"/>
    <cellStyle name="40% - Accent1 5 2 4 5" xfId="10873"/>
    <cellStyle name="40% - Accent1 5 2 5" xfId="10874"/>
    <cellStyle name="40% - Accent1 5 2 5 2" xfId="10875"/>
    <cellStyle name="40% - Accent1 5 2 5 3" xfId="10876"/>
    <cellStyle name="40% - Accent1 5 2 6" xfId="10877"/>
    <cellStyle name="40% - Accent1 5 2 6 2" xfId="10878"/>
    <cellStyle name="40% - Accent1 5 2 6 3" xfId="10879"/>
    <cellStyle name="40% - Accent1 5 2 7" xfId="10880"/>
    <cellStyle name="40% - Accent1 5 2 8" xfId="10881"/>
    <cellStyle name="40% - Accent1 5 2_Volatility" xfId="10882"/>
    <cellStyle name="40% - Accent1 5 3" xfId="10883"/>
    <cellStyle name="40% - Accent1 5 3 2" xfId="10884"/>
    <cellStyle name="40% - Accent1 5 3 2 2" xfId="10885"/>
    <cellStyle name="40% - Accent1 5 3 2 2 2" xfId="10886"/>
    <cellStyle name="40% - Accent1 5 3 2 2 3" xfId="10887"/>
    <cellStyle name="40% - Accent1 5 3 2 3" xfId="10888"/>
    <cellStyle name="40% - Accent1 5 3 2 3 2" xfId="10889"/>
    <cellStyle name="40% - Accent1 5 3 2 3 3" xfId="10890"/>
    <cellStyle name="40% - Accent1 5 3 2 4" xfId="10891"/>
    <cellStyle name="40% - Accent1 5 3 2 5" xfId="10892"/>
    <cellStyle name="40% - Accent1 5 3 3" xfId="10893"/>
    <cellStyle name="40% - Accent1 5 3 3 2" xfId="10894"/>
    <cellStyle name="40% - Accent1 5 3 3 2 2" xfId="10895"/>
    <cellStyle name="40% - Accent1 5 3 3 2 3" xfId="10896"/>
    <cellStyle name="40% - Accent1 5 3 3 3" xfId="10897"/>
    <cellStyle name="40% - Accent1 5 3 3 3 2" xfId="10898"/>
    <cellStyle name="40% - Accent1 5 3 3 3 3" xfId="10899"/>
    <cellStyle name="40% - Accent1 5 3 3 4" xfId="10900"/>
    <cellStyle name="40% - Accent1 5 3 3 5" xfId="10901"/>
    <cellStyle name="40% - Accent1 5 3 4" xfId="10902"/>
    <cellStyle name="40% - Accent1 5 3 4 2" xfId="10903"/>
    <cellStyle name="40% - Accent1 5 3 4 3" xfId="10904"/>
    <cellStyle name="40% - Accent1 5 3 5" xfId="10905"/>
    <cellStyle name="40% - Accent1 5 3 5 2" xfId="10906"/>
    <cellStyle name="40% - Accent1 5 3 5 3" xfId="10907"/>
    <cellStyle name="40% - Accent1 5 3 6" xfId="10908"/>
    <cellStyle name="40% - Accent1 5 3 7" xfId="10909"/>
    <cellStyle name="40% - Accent1 5 3_Volatility" xfId="10910"/>
    <cellStyle name="40% - Accent1 5 4" xfId="10911"/>
    <cellStyle name="40% - Accent1 5 4 2" xfId="10912"/>
    <cellStyle name="40% - Accent1 5 4 2 2" xfId="10913"/>
    <cellStyle name="40% - Accent1 5 4 2 3" xfId="10914"/>
    <cellStyle name="40% - Accent1 5 4 3" xfId="10915"/>
    <cellStyle name="40% - Accent1 5 4 3 2" xfId="10916"/>
    <cellStyle name="40% - Accent1 5 4 3 3" xfId="10917"/>
    <cellStyle name="40% - Accent1 5 4 4" xfId="10918"/>
    <cellStyle name="40% - Accent1 5 4 5" xfId="10919"/>
    <cellStyle name="40% - Accent1 5 5" xfId="10920"/>
    <cellStyle name="40% - Accent1 5 5 2" xfId="10921"/>
    <cellStyle name="40% - Accent1 5 5 2 2" xfId="10922"/>
    <cellStyle name="40% - Accent1 5 5 2 3" xfId="10923"/>
    <cellStyle name="40% - Accent1 5 5 3" xfId="10924"/>
    <cellStyle name="40% - Accent1 5 5 3 2" xfId="10925"/>
    <cellStyle name="40% - Accent1 5 5 3 3" xfId="10926"/>
    <cellStyle name="40% - Accent1 5 5 4" xfId="10927"/>
    <cellStyle name="40% - Accent1 5 5 5" xfId="10928"/>
    <cellStyle name="40% - Accent1 5 6" xfId="10929"/>
    <cellStyle name="40% - Accent1 5 6 2" xfId="10930"/>
    <cellStyle name="40% - Accent1 5 6 2 2" xfId="10931"/>
    <cellStyle name="40% - Accent1 5 6 2 3" xfId="10932"/>
    <cellStyle name="40% - Accent1 5 6 3" xfId="10933"/>
    <cellStyle name="40% - Accent1 5 6 3 2" xfId="10934"/>
    <cellStyle name="40% - Accent1 5 6 3 3" xfId="10935"/>
    <cellStyle name="40% - Accent1 5 6 4" xfId="10936"/>
    <cellStyle name="40% - Accent1 5 6 5" xfId="10937"/>
    <cellStyle name="40% - Accent1 5 7" xfId="10938"/>
    <cellStyle name="40% - Accent1 5 7 2" xfId="10939"/>
    <cellStyle name="40% - Accent1 5 7 3" xfId="10940"/>
    <cellStyle name="40% - Accent1 5 8" xfId="10941"/>
    <cellStyle name="40% - Accent1 5 8 2" xfId="10942"/>
    <cellStyle name="40% - Accent1 5 8 3" xfId="10943"/>
    <cellStyle name="40% - Accent1 5 9" xfId="10944"/>
    <cellStyle name="40% - Accent1 5_Volatility" xfId="10945"/>
    <cellStyle name="40% - Accent1 6" xfId="10946"/>
    <cellStyle name="40% - Accent1 6 10" xfId="10947"/>
    <cellStyle name="40% - Accent1 6 2" xfId="10948"/>
    <cellStyle name="40% - Accent1 6 2 2" xfId="10949"/>
    <cellStyle name="40% - Accent1 6 2 2 2" xfId="10950"/>
    <cellStyle name="40% - Accent1 6 2 2 2 2" xfId="10951"/>
    <cellStyle name="40% - Accent1 6 2 2 2 3" xfId="10952"/>
    <cellStyle name="40% - Accent1 6 2 2 3" xfId="10953"/>
    <cellStyle name="40% - Accent1 6 2 2 3 2" xfId="10954"/>
    <cellStyle name="40% - Accent1 6 2 2 3 3" xfId="10955"/>
    <cellStyle name="40% - Accent1 6 2 2 4" xfId="10956"/>
    <cellStyle name="40% - Accent1 6 2 2 5" xfId="10957"/>
    <cellStyle name="40% - Accent1 6 2 3" xfId="10958"/>
    <cellStyle name="40% - Accent1 6 2 3 2" xfId="10959"/>
    <cellStyle name="40% - Accent1 6 2 3 2 2" xfId="10960"/>
    <cellStyle name="40% - Accent1 6 2 3 2 3" xfId="10961"/>
    <cellStyle name="40% - Accent1 6 2 3 3" xfId="10962"/>
    <cellStyle name="40% - Accent1 6 2 3 3 2" xfId="10963"/>
    <cellStyle name="40% - Accent1 6 2 3 3 3" xfId="10964"/>
    <cellStyle name="40% - Accent1 6 2 3 4" xfId="10965"/>
    <cellStyle name="40% - Accent1 6 2 3 5" xfId="10966"/>
    <cellStyle name="40% - Accent1 6 2 4" xfId="10967"/>
    <cellStyle name="40% - Accent1 6 2 4 2" xfId="10968"/>
    <cellStyle name="40% - Accent1 6 2 4 2 2" xfId="10969"/>
    <cellStyle name="40% - Accent1 6 2 4 2 3" xfId="10970"/>
    <cellStyle name="40% - Accent1 6 2 4 3" xfId="10971"/>
    <cellStyle name="40% - Accent1 6 2 4 3 2" xfId="10972"/>
    <cellStyle name="40% - Accent1 6 2 4 3 3" xfId="10973"/>
    <cellStyle name="40% - Accent1 6 2 4 4" xfId="10974"/>
    <cellStyle name="40% - Accent1 6 2 4 5" xfId="10975"/>
    <cellStyle name="40% - Accent1 6 2 5" xfId="10976"/>
    <cellStyle name="40% - Accent1 6 2 5 2" xfId="10977"/>
    <cellStyle name="40% - Accent1 6 2 5 3" xfId="10978"/>
    <cellStyle name="40% - Accent1 6 2 6" xfId="10979"/>
    <cellStyle name="40% - Accent1 6 2 6 2" xfId="10980"/>
    <cellStyle name="40% - Accent1 6 2 6 3" xfId="10981"/>
    <cellStyle name="40% - Accent1 6 2 7" xfId="10982"/>
    <cellStyle name="40% - Accent1 6 2 8" xfId="10983"/>
    <cellStyle name="40% - Accent1 6 2_Volatility" xfId="10984"/>
    <cellStyle name="40% - Accent1 6 3" xfId="10985"/>
    <cellStyle name="40% - Accent1 6 3 2" xfId="10986"/>
    <cellStyle name="40% - Accent1 6 3 2 2" xfId="10987"/>
    <cellStyle name="40% - Accent1 6 3 2 2 2" xfId="10988"/>
    <cellStyle name="40% - Accent1 6 3 2 2 3" xfId="10989"/>
    <cellStyle name="40% - Accent1 6 3 2 3" xfId="10990"/>
    <cellStyle name="40% - Accent1 6 3 2 3 2" xfId="10991"/>
    <cellStyle name="40% - Accent1 6 3 2 3 3" xfId="10992"/>
    <cellStyle name="40% - Accent1 6 3 2 4" xfId="10993"/>
    <cellStyle name="40% - Accent1 6 3 2 5" xfId="10994"/>
    <cellStyle name="40% - Accent1 6 3 3" xfId="10995"/>
    <cellStyle name="40% - Accent1 6 3 3 2" xfId="10996"/>
    <cellStyle name="40% - Accent1 6 3 3 2 2" xfId="10997"/>
    <cellStyle name="40% - Accent1 6 3 3 2 3" xfId="10998"/>
    <cellStyle name="40% - Accent1 6 3 3 3" xfId="10999"/>
    <cellStyle name="40% - Accent1 6 3 3 3 2" xfId="11000"/>
    <cellStyle name="40% - Accent1 6 3 3 3 3" xfId="11001"/>
    <cellStyle name="40% - Accent1 6 3 3 4" xfId="11002"/>
    <cellStyle name="40% - Accent1 6 3 3 5" xfId="11003"/>
    <cellStyle name="40% - Accent1 6 3 4" xfId="11004"/>
    <cellStyle name="40% - Accent1 6 3 4 2" xfId="11005"/>
    <cellStyle name="40% - Accent1 6 3 4 3" xfId="11006"/>
    <cellStyle name="40% - Accent1 6 3 5" xfId="11007"/>
    <cellStyle name="40% - Accent1 6 3 5 2" xfId="11008"/>
    <cellStyle name="40% - Accent1 6 3 5 3" xfId="11009"/>
    <cellStyle name="40% - Accent1 6 3 6" xfId="11010"/>
    <cellStyle name="40% - Accent1 6 3 7" xfId="11011"/>
    <cellStyle name="40% - Accent1 6 3_Volatility" xfId="11012"/>
    <cellStyle name="40% - Accent1 6 4" xfId="11013"/>
    <cellStyle name="40% - Accent1 6 4 2" xfId="11014"/>
    <cellStyle name="40% - Accent1 6 4 2 2" xfId="11015"/>
    <cellStyle name="40% - Accent1 6 4 2 3" xfId="11016"/>
    <cellStyle name="40% - Accent1 6 4 3" xfId="11017"/>
    <cellStyle name="40% - Accent1 6 4 3 2" xfId="11018"/>
    <cellStyle name="40% - Accent1 6 4 3 3" xfId="11019"/>
    <cellStyle name="40% - Accent1 6 4 4" xfId="11020"/>
    <cellStyle name="40% - Accent1 6 4 5" xfId="11021"/>
    <cellStyle name="40% - Accent1 6 5" xfId="11022"/>
    <cellStyle name="40% - Accent1 6 5 2" xfId="11023"/>
    <cellStyle name="40% - Accent1 6 5 2 2" xfId="11024"/>
    <cellStyle name="40% - Accent1 6 5 2 3" xfId="11025"/>
    <cellStyle name="40% - Accent1 6 5 3" xfId="11026"/>
    <cellStyle name="40% - Accent1 6 5 3 2" xfId="11027"/>
    <cellStyle name="40% - Accent1 6 5 3 3" xfId="11028"/>
    <cellStyle name="40% - Accent1 6 5 4" xfId="11029"/>
    <cellStyle name="40% - Accent1 6 5 5" xfId="11030"/>
    <cellStyle name="40% - Accent1 6 6" xfId="11031"/>
    <cellStyle name="40% - Accent1 6 6 2" xfId="11032"/>
    <cellStyle name="40% - Accent1 6 6 2 2" xfId="11033"/>
    <cellStyle name="40% - Accent1 6 6 2 3" xfId="11034"/>
    <cellStyle name="40% - Accent1 6 6 3" xfId="11035"/>
    <cellStyle name="40% - Accent1 6 6 3 2" xfId="11036"/>
    <cellStyle name="40% - Accent1 6 6 3 3" xfId="11037"/>
    <cellStyle name="40% - Accent1 6 6 4" xfId="11038"/>
    <cellStyle name="40% - Accent1 6 6 5" xfId="11039"/>
    <cellStyle name="40% - Accent1 6 7" xfId="11040"/>
    <cellStyle name="40% - Accent1 6 7 2" xfId="11041"/>
    <cellStyle name="40% - Accent1 6 7 3" xfId="11042"/>
    <cellStyle name="40% - Accent1 6 8" xfId="11043"/>
    <cellStyle name="40% - Accent1 6 8 2" xfId="11044"/>
    <cellStyle name="40% - Accent1 6 8 3" xfId="11045"/>
    <cellStyle name="40% - Accent1 6 9" xfId="11046"/>
    <cellStyle name="40% - Accent1 6_Volatility" xfId="11047"/>
    <cellStyle name="40% - Accent1 7" xfId="11048"/>
    <cellStyle name="40% - Accent1 7 10" xfId="11049"/>
    <cellStyle name="40% - Accent1 7 2" xfId="11050"/>
    <cellStyle name="40% - Accent1 7 2 2" xfId="11051"/>
    <cellStyle name="40% - Accent1 7 2 2 2" xfId="11052"/>
    <cellStyle name="40% - Accent1 7 2 2 2 2" xfId="11053"/>
    <cellStyle name="40% - Accent1 7 2 2 2 3" xfId="11054"/>
    <cellStyle name="40% - Accent1 7 2 2 3" xfId="11055"/>
    <cellStyle name="40% - Accent1 7 2 2 3 2" xfId="11056"/>
    <cellStyle name="40% - Accent1 7 2 2 3 3" xfId="11057"/>
    <cellStyle name="40% - Accent1 7 2 2 4" xfId="11058"/>
    <cellStyle name="40% - Accent1 7 2 2 5" xfId="11059"/>
    <cellStyle name="40% - Accent1 7 2 3" xfId="11060"/>
    <cellStyle name="40% - Accent1 7 2 3 2" xfId="11061"/>
    <cellStyle name="40% - Accent1 7 2 3 2 2" xfId="11062"/>
    <cellStyle name="40% - Accent1 7 2 3 2 3" xfId="11063"/>
    <cellStyle name="40% - Accent1 7 2 3 3" xfId="11064"/>
    <cellStyle name="40% - Accent1 7 2 3 3 2" xfId="11065"/>
    <cellStyle name="40% - Accent1 7 2 3 3 3" xfId="11066"/>
    <cellStyle name="40% - Accent1 7 2 3 4" xfId="11067"/>
    <cellStyle name="40% - Accent1 7 2 3 5" xfId="11068"/>
    <cellStyle name="40% - Accent1 7 2 4" xfId="11069"/>
    <cellStyle name="40% - Accent1 7 2 4 2" xfId="11070"/>
    <cellStyle name="40% - Accent1 7 2 4 2 2" xfId="11071"/>
    <cellStyle name="40% - Accent1 7 2 4 2 3" xfId="11072"/>
    <cellStyle name="40% - Accent1 7 2 4 3" xfId="11073"/>
    <cellStyle name="40% - Accent1 7 2 4 3 2" xfId="11074"/>
    <cellStyle name="40% - Accent1 7 2 4 3 3" xfId="11075"/>
    <cellStyle name="40% - Accent1 7 2 4 4" xfId="11076"/>
    <cellStyle name="40% - Accent1 7 2 4 5" xfId="11077"/>
    <cellStyle name="40% - Accent1 7 2 5" xfId="11078"/>
    <cellStyle name="40% - Accent1 7 2 5 2" xfId="11079"/>
    <cellStyle name="40% - Accent1 7 2 5 3" xfId="11080"/>
    <cellStyle name="40% - Accent1 7 2 6" xfId="11081"/>
    <cellStyle name="40% - Accent1 7 2 6 2" xfId="11082"/>
    <cellStyle name="40% - Accent1 7 2 6 3" xfId="11083"/>
    <cellStyle name="40% - Accent1 7 2 7" xfId="11084"/>
    <cellStyle name="40% - Accent1 7 2 8" xfId="11085"/>
    <cellStyle name="40% - Accent1 7 2_Volatility" xfId="11086"/>
    <cellStyle name="40% - Accent1 7 3" xfId="11087"/>
    <cellStyle name="40% - Accent1 7 3 2" xfId="11088"/>
    <cellStyle name="40% - Accent1 7 3 2 2" xfId="11089"/>
    <cellStyle name="40% - Accent1 7 3 2 2 2" xfId="11090"/>
    <cellStyle name="40% - Accent1 7 3 2 2 3" xfId="11091"/>
    <cellStyle name="40% - Accent1 7 3 2 3" xfId="11092"/>
    <cellStyle name="40% - Accent1 7 3 2 3 2" xfId="11093"/>
    <cellStyle name="40% - Accent1 7 3 2 3 3" xfId="11094"/>
    <cellStyle name="40% - Accent1 7 3 2 4" xfId="11095"/>
    <cellStyle name="40% - Accent1 7 3 2 5" xfId="11096"/>
    <cellStyle name="40% - Accent1 7 3 3" xfId="11097"/>
    <cellStyle name="40% - Accent1 7 3 3 2" xfId="11098"/>
    <cellStyle name="40% - Accent1 7 3 3 2 2" xfId="11099"/>
    <cellStyle name="40% - Accent1 7 3 3 2 3" xfId="11100"/>
    <cellStyle name="40% - Accent1 7 3 3 3" xfId="11101"/>
    <cellStyle name="40% - Accent1 7 3 3 3 2" xfId="11102"/>
    <cellStyle name="40% - Accent1 7 3 3 3 3" xfId="11103"/>
    <cellStyle name="40% - Accent1 7 3 3 4" xfId="11104"/>
    <cellStyle name="40% - Accent1 7 3 3 5" xfId="11105"/>
    <cellStyle name="40% - Accent1 7 3 4" xfId="11106"/>
    <cellStyle name="40% - Accent1 7 3 4 2" xfId="11107"/>
    <cellStyle name="40% - Accent1 7 3 4 3" xfId="11108"/>
    <cellStyle name="40% - Accent1 7 3 5" xfId="11109"/>
    <cellStyle name="40% - Accent1 7 3 5 2" xfId="11110"/>
    <cellStyle name="40% - Accent1 7 3 5 3" xfId="11111"/>
    <cellStyle name="40% - Accent1 7 3 6" xfId="11112"/>
    <cellStyle name="40% - Accent1 7 3 7" xfId="11113"/>
    <cellStyle name="40% - Accent1 7 3_Volatility" xfId="11114"/>
    <cellStyle name="40% - Accent1 7 4" xfId="11115"/>
    <cellStyle name="40% - Accent1 7 4 2" xfId="11116"/>
    <cellStyle name="40% - Accent1 7 4 2 2" xfId="11117"/>
    <cellStyle name="40% - Accent1 7 4 2 3" xfId="11118"/>
    <cellStyle name="40% - Accent1 7 4 3" xfId="11119"/>
    <cellStyle name="40% - Accent1 7 4 3 2" xfId="11120"/>
    <cellStyle name="40% - Accent1 7 4 3 3" xfId="11121"/>
    <cellStyle name="40% - Accent1 7 4 4" xfId="11122"/>
    <cellStyle name="40% - Accent1 7 4 5" xfId="11123"/>
    <cellStyle name="40% - Accent1 7 5" xfId="11124"/>
    <cellStyle name="40% - Accent1 7 5 2" xfId="11125"/>
    <cellStyle name="40% - Accent1 7 5 2 2" xfId="11126"/>
    <cellStyle name="40% - Accent1 7 5 2 3" xfId="11127"/>
    <cellStyle name="40% - Accent1 7 5 3" xfId="11128"/>
    <cellStyle name="40% - Accent1 7 5 3 2" xfId="11129"/>
    <cellStyle name="40% - Accent1 7 5 3 3" xfId="11130"/>
    <cellStyle name="40% - Accent1 7 5 4" xfId="11131"/>
    <cellStyle name="40% - Accent1 7 5 5" xfId="11132"/>
    <cellStyle name="40% - Accent1 7 6" xfId="11133"/>
    <cellStyle name="40% - Accent1 7 6 2" xfId="11134"/>
    <cellStyle name="40% - Accent1 7 6 2 2" xfId="11135"/>
    <cellStyle name="40% - Accent1 7 6 2 3" xfId="11136"/>
    <cellStyle name="40% - Accent1 7 6 3" xfId="11137"/>
    <cellStyle name="40% - Accent1 7 6 3 2" xfId="11138"/>
    <cellStyle name="40% - Accent1 7 6 3 3" xfId="11139"/>
    <cellStyle name="40% - Accent1 7 6 4" xfId="11140"/>
    <cellStyle name="40% - Accent1 7 6 5" xfId="11141"/>
    <cellStyle name="40% - Accent1 7 7" xfId="11142"/>
    <cellStyle name="40% - Accent1 7 7 2" xfId="11143"/>
    <cellStyle name="40% - Accent1 7 7 3" xfId="11144"/>
    <cellStyle name="40% - Accent1 7 8" xfId="11145"/>
    <cellStyle name="40% - Accent1 7 8 2" xfId="11146"/>
    <cellStyle name="40% - Accent1 7 8 3" xfId="11147"/>
    <cellStyle name="40% - Accent1 7 9" xfId="11148"/>
    <cellStyle name="40% - Accent1 7_Volatility" xfId="11149"/>
    <cellStyle name="40% - Accent1 8" xfId="11150"/>
    <cellStyle name="40% - Accent1 8 10" xfId="11151"/>
    <cellStyle name="40% - Accent1 8 2" xfId="11152"/>
    <cellStyle name="40% - Accent1 8 2 2" xfId="11153"/>
    <cellStyle name="40% - Accent1 8 2 2 2" xfId="11154"/>
    <cellStyle name="40% - Accent1 8 2 2 2 2" xfId="11155"/>
    <cellStyle name="40% - Accent1 8 2 2 2 3" xfId="11156"/>
    <cellStyle name="40% - Accent1 8 2 2 3" xfId="11157"/>
    <cellStyle name="40% - Accent1 8 2 2 3 2" xfId="11158"/>
    <cellStyle name="40% - Accent1 8 2 2 3 3" xfId="11159"/>
    <cellStyle name="40% - Accent1 8 2 2 4" xfId="11160"/>
    <cellStyle name="40% - Accent1 8 2 2 5" xfId="11161"/>
    <cellStyle name="40% - Accent1 8 2 3" xfId="11162"/>
    <cellStyle name="40% - Accent1 8 2 3 2" xfId="11163"/>
    <cellStyle name="40% - Accent1 8 2 3 2 2" xfId="11164"/>
    <cellStyle name="40% - Accent1 8 2 3 2 3" xfId="11165"/>
    <cellStyle name="40% - Accent1 8 2 3 3" xfId="11166"/>
    <cellStyle name="40% - Accent1 8 2 3 3 2" xfId="11167"/>
    <cellStyle name="40% - Accent1 8 2 3 3 3" xfId="11168"/>
    <cellStyle name="40% - Accent1 8 2 3 4" xfId="11169"/>
    <cellStyle name="40% - Accent1 8 2 3 5" xfId="11170"/>
    <cellStyle name="40% - Accent1 8 2 4" xfId="11171"/>
    <cellStyle name="40% - Accent1 8 2 4 2" xfId="11172"/>
    <cellStyle name="40% - Accent1 8 2 4 2 2" xfId="11173"/>
    <cellStyle name="40% - Accent1 8 2 4 2 3" xfId="11174"/>
    <cellStyle name="40% - Accent1 8 2 4 3" xfId="11175"/>
    <cellStyle name="40% - Accent1 8 2 4 3 2" xfId="11176"/>
    <cellStyle name="40% - Accent1 8 2 4 3 3" xfId="11177"/>
    <cellStyle name="40% - Accent1 8 2 4 4" xfId="11178"/>
    <cellStyle name="40% - Accent1 8 2 4 5" xfId="11179"/>
    <cellStyle name="40% - Accent1 8 2 5" xfId="11180"/>
    <cellStyle name="40% - Accent1 8 2 5 2" xfId="11181"/>
    <cellStyle name="40% - Accent1 8 2 5 3" xfId="11182"/>
    <cellStyle name="40% - Accent1 8 2 6" xfId="11183"/>
    <cellStyle name="40% - Accent1 8 2 6 2" xfId="11184"/>
    <cellStyle name="40% - Accent1 8 2 6 3" xfId="11185"/>
    <cellStyle name="40% - Accent1 8 2 7" xfId="11186"/>
    <cellStyle name="40% - Accent1 8 2 8" xfId="11187"/>
    <cellStyle name="40% - Accent1 8 2_Volatility" xfId="11188"/>
    <cellStyle name="40% - Accent1 8 3" xfId="11189"/>
    <cellStyle name="40% - Accent1 8 3 2" xfId="11190"/>
    <cellStyle name="40% - Accent1 8 3 2 2" xfId="11191"/>
    <cellStyle name="40% - Accent1 8 3 2 2 2" xfId="11192"/>
    <cellStyle name="40% - Accent1 8 3 2 2 3" xfId="11193"/>
    <cellStyle name="40% - Accent1 8 3 2 3" xfId="11194"/>
    <cellStyle name="40% - Accent1 8 3 2 3 2" xfId="11195"/>
    <cellStyle name="40% - Accent1 8 3 2 3 3" xfId="11196"/>
    <cellStyle name="40% - Accent1 8 3 2 4" xfId="11197"/>
    <cellStyle name="40% - Accent1 8 3 2 5" xfId="11198"/>
    <cellStyle name="40% - Accent1 8 3 3" xfId="11199"/>
    <cellStyle name="40% - Accent1 8 3 3 2" xfId="11200"/>
    <cellStyle name="40% - Accent1 8 3 3 2 2" xfId="11201"/>
    <cellStyle name="40% - Accent1 8 3 3 2 3" xfId="11202"/>
    <cellStyle name="40% - Accent1 8 3 3 3" xfId="11203"/>
    <cellStyle name="40% - Accent1 8 3 3 3 2" xfId="11204"/>
    <cellStyle name="40% - Accent1 8 3 3 3 3" xfId="11205"/>
    <cellStyle name="40% - Accent1 8 3 3 4" xfId="11206"/>
    <cellStyle name="40% - Accent1 8 3 3 5" xfId="11207"/>
    <cellStyle name="40% - Accent1 8 3 4" xfId="11208"/>
    <cellStyle name="40% - Accent1 8 3 4 2" xfId="11209"/>
    <cellStyle name="40% - Accent1 8 3 4 3" xfId="11210"/>
    <cellStyle name="40% - Accent1 8 3 5" xfId="11211"/>
    <cellStyle name="40% - Accent1 8 3 5 2" xfId="11212"/>
    <cellStyle name="40% - Accent1 8 3 5 3" xfId="11213"/>
    <cellStyle name="40% - Accent1 8 3 6" xfId="11214"/>
    <cellStyle name="40% - Accent1 8 3 7" xfId="11215"/>
    <cellStyle name="40% - Accent1 8 3_Volatility" xfId="11216"/>
    <cellStyle name="40% - Accent1 8 4" xfId="11217"/>
    <cellStyle name="40% - Accent1 8 4 2" xfId="11218"/>
    <cellStyle name="40% - Accent1 8 4 2 2" xfId="11219"/>
    <cellStyle name="40% - Accent1 8 4 2 3" xfId="11220"/>
    <cellStyle name="40% - Accent1 8 4 3" xfId="11221"/>
    <cellStyle name="40% - Accent1 8 4 3 2" xfId="11222"/>
    <cellStyle name="40% - Accent1 8 4 3 3" xfId="11223"/>
    <cellStyle name="40% - Accent1 8 4 4" xfId="11224"/>
    <cellStyle name="40% - Accent1 8 4 5" xfId="11225"/>
    <cellStyle name="40% - Accent1 8 5" xfId="11226"/>
    <cellStyle name="40% - Accent1 8 5 2" xfId="11227"/>
    <cellStyle name="40% - Accent1 8 5 2 2" xfId="11228"/>
    <cellStyle name="40% - Accent1 8 5 2 3" xfId="11229"/>
    <cellStyle name="40% - Accent1 8 5 3" xfId="11230"/>
    <cellStyle name="40% - Accent1 8 5 3 2" xfId="11231"/>
    <cellStyle name="40% - Accent1 8 5 3 3" xfId="11232"/>
    <cellStyle name="40% - Accent1 8 5 4" xfId="11233"/>
    <cellStyle name="40% - Accent1 8 5 5" xfId="11234"/>
    <cellStyle name="40% - Accent1 8 6" xfId="11235"/>
    <cellStyle name="40% - Accent1 8 6 2" xfId="11236"/>
    <cellStyle name="40% - Accent1 8 6 2 2" xfId="11237"/>
    <cellStyle name="40% - Accent1 8 6 2 3" xfId="11238"/>
    <cellStyle name="40% - Accent1 8 6 3" xfId="11239"/>
    <cellStyle name="40% - Accent1 8 6 3 2" xfId="11240"/>
    <cellStyle name="40% - Accent1 8 6 3 3" xfId="11241"/>
    <cellStyle name="40% - Accent1 8 6 4" xfId="11242"/>
    <cellStyle name="40% - Accent1 8 6 5" xfId="11243"/>
    <cellStyle name="40% - Accent1 8 7" xfId="11244"/>
    <cellStyle name="40% - Accent1 8 7 2" xfId="11245"/>
    <cellStyle name="40% - Accent1 8 7 3" xfId="11246"/>
    <cellStyle name="40% - Accent1 8 8" xfId="11247"/>
    <cellStyle name="40% - Accent1 8 8 2" xfId="11248"/>
    <cellStyle name="40% - Accent1 8 8 3" xfId="11249"/>
    <cellStyle name="40% - Accent1 8 9" xfId="11250"/>
    <cellStyle name="40% - Accent1 8_Volatility" xfId="11251"/>
    <cellStyle name="40% - Accent1 9" xfId="11252"/>
    <cellStyle name="40% - Accent1 9 10" xfId="11253"/>
    <cellStyle name="40% - Accent1 9 2" xfId="11254"/>
    <cellStyle name="40% - Accent1 9 2 2" xfId="11255"/>
    <cellStyle name="40% - Accent1 9 2 2 2" xfId="11256"/>
    <cellStyle name="40% - Accent1 9 2 2 2 2" xfId="11257"/>
    <cellStyle name="40% - Accent1 9 2 2 2 3" xfId="11258"/>
    <cellStyle name="40% - Accent1 9 2 2 3" xfId="11259"/>
    <cellStyle name="40% - Accent1 9 2 2 3 2" xfId="11260"/>
    <cellStyle name="40% - Accent1 9 2 2 3 3" xfId="11261"/>
    <cellStyle name="40% - Accent1 9 2 2 4" xfId="11262"/>
    <cellStyle name="40% - Accent1 9 2 2 5" xfId="11263"/>
    <cellStyle name="40% - Accent1 9 2 3" xfId="11264"/>
    <cellStyle name="40% - Accent1 9 2 3 2" xfId="11265"/>
    <cellStyle name="40% - Accent1 9 2 3 2 2" xfId="11266"/>
    <cellStyle name="40% - Accent1 9 2 3 2 3" xfId="11267"/>
    <cellStyle name="40% - Accent1 9 2 3 3" xfId="11268"/>
    <cellStyle name="40% - Accent1 9 2 3 3 2" xfId="11269"/>
    <cellStyle name="40% - Accent1 9 2 3 3 3" xfId="11270"/>
    <cellStyle name="40% - Accent1 9 2 3 4" xfId="11271"/>
    <cellStyle name="40% - Accent1 9 2 3 5" xfId="11272"/>
    <cellStyle name="40% - Accent1 9 2 4" xfId="11273"/>
    <cellStyle name="40% - Accent1 9 2 4 2" xfId="11274"/>
    <cellStyle name="40% - Accent1 9 2 4 2 2" xfId="11275"/>
    <cellStyle name="40% - Accent1 9 2 4 2 3" xfId="11276"/>
    <cellStyle name="40% - Accent1 9 2 4 3" xfId="11277"/>
    <cellStyle name="40% - Accent1 9 2 4 3 2" xfId="11278"/>
    <cellStyle name="40% - Accent1 9 2 4 3 3" xfId="11279"/>
    <cellStyle name="40% - Accent1 9 2 4 4" xfId="11280"/>
    <cellStyle name="40% - Accent1 9 2 4 5" xfId="11281"/>
    <cellStyle name="40% - Accent1 9 2 5" xfId="11282"/>
    <cellStyle name="40% - Accent1 9 2 5 2" xfId="11283"/>
    <cellStyle name="40% - Accent1 9 2 5 3" xfId="11284"/>
    <cellStyle name="40% - Accent1 9 2 6" xfId="11285"/>
    <cellStyle name="40% - Accent1 9 2 6 2" xfId="11286"/>
    <cellStyle name="40% - Accent1 9 2 6 3" xfId="11287"/>
    <cellStyle name="40% - Accent1 9 2 7" xfId="11288"/>
    <cellStyle name="40% - Accent1 9 2 8" xfId="11289"/>
    <cellStyle name="40% - Accent1 9 2_Volatility" xfId="11290"/>
    <cellStyle name="40% - Accent1 9 3" xfId="11291"/>
    <cellStyle name="40% - Accent1 9 3 2" xfId="11292"/>
    <cellStyle name="40% - Accent1 9 3 2 2" xfId="11293"/>
    <cellStyle name="40% - Accent1 9 3 2 2 2" xfId="11294"/>
    <cellStyle name="40% - Accent1 9 3 2 2 3" xfId="11295"/>
    <cellStyle name="40% - Accent1 9 3 2 3" xfId="11296"/>
    <cellStyle name="40% - Accent1 9 3 2 3 2" xfId="11297"/>
    <cellStyle name="40% - Accent1 9 3 2 3 3" xfId="11298"/>
    <cellStyle name="40% - Accent1 9 3 2 4" xfId="11299"/>
    <cellStyle name="40% - Accent1 9 3 2 5" xfId="11300"/>
    <cellStyle name="40% - Accent1 9 3 3" xfId="11301"/>
    <cellStyle name="40% - Accent1 9 3 3 2" xfId="11302"/>
    <cellStyle name="40% - Accent1 9 3 3 2 2" xfId="11303"/>
    <cellStyle name="40% - Accent1 9 3 3 2 3" xfId="11304"/>
    <cellStyle name="40% - Accent1 9 3 3 3" xfId="11305"/>
    <cellStyle name="40% - Accent1 9 3 3 3 2" xfId="11306"/>
    <cellStyle name="40% - Accent1 9 3 3 3 3" xfId="11307"/>
    <cellStyle name="40% - Accent1 9 3 3 4" xfId="11308"/>
    <cellStyle name="40% - Accent1 9 3 3 5" xfId="11309"/>
    <cellStyle name="40% - Accent1 9 3 4" xfId="11310"/>
    <cellStyle name="40% - Accent1 9 3 4 2" xfId="11311"/>
    <cellStyle name="40% - Accent1 9 3 4 3" xfId="11312"/>
    <cellStyle name="40% - Accent1 9 3 5" xfId="11313"/>
    <cellStyle name="40% - Accent1 9 3 5 2" xfId="11314"/>
    <cellStyle name="40% - Accent1 9 3 5 3" xfId="11315"/>
    <cellStyle name="40% - Accent1 9 3 6" xfId="11316"/>
    <cellStyle name="40% - Accent1 9 3 7" xfId="11317"/>
    <cellStyle name="40% - Accent1 9 3_Volatility" xfId="11318"/>
    <cellStyle name="40% - Accent1 9 4" xfId="11319"/>
    <cellStyle name="40% - Accent1 9 4 2" xfId="11320"/>
    <cellStyle name="40% - Accent1 9 4 2 2" xfId="11321"/>
    <cellStyle name="40% - Accent1 9 4 2 3" xfId="11322"/>
    <cellStyle name="40% - Accent1 9 4 3" xfId="11323"/>
    <cellStyle name="40% - Accent1 9 4 3 2" xfId="11324"/>
    <cellStyle name="40% - Accent1 9 4 3 3" xfId="11325"/>
    <cellStyle name="40% - Accent1 9 4 4" xfId="11326"/>
    <cellStyle name="40% - Accent1 9 4 5" xfId="11327"/>
    <cellStyle name="40% - Accent1 9 5" xfId="11328"/>
    <cellStyle name="40% - Accent1 9 5 2" xfId="11329"/>
    <cellStyle name="40% - Accent1 9 5 2 2" xfId="11330"/>
    <cellStyle name="40% - Accent1 9 5 2 3" xfId="11331"/>
    <cellStyle name="40% - Accent1 9 5 3" xfId="11332"/>
    <cellStyle name="40% - Accent1 9 5 3 2" xfId="11333"/>
    <cellStyle name="40% - Accent1 9 5 3 3" xfId="11334"/>
    <cellStyle name="40% - Accent1 9 5 4" xfId="11335"/>
    <cellStyle name="40% - Accent1 9 5 5" xfId="11336"/>
    <cellStyle name="40% - Accent1 9 6" xfId="11337"/>
    <cellStyle name="40% - Accent1 9 6 2" xfId="11338"/>
    <cellStyle name="40% - Accent1 9 6 2 2" xfId="11339"/>
    <cellStyle name="40% - Accent1 9 6 2 3" xfId="11340"/>
    <cellStyle name="40% - Accent1 9 6 3" xfId="11341"/>
    <cellStyle name="40% - Accent1 9 6 3 2" xfId="11342"/>
    <cellStyle name="40% - Accent1 9 6 3 3" xfId="11343"/>
    <cellStyle name="40% - Accent1 9 6 4" xfId="11344"/>
    <cellStyle name="40% - Accent1 9 6 5" xfId="11345"/>
    <cellStyle name="40% - Accent1 9 7" xfId="11346"/>
    <cellStyle name="40% - Accent1 9 7 2" xfId="11347"/>
    <cellStyle name="40% - Accent1 9 7 3" xfId="11348"/>
    <cellStyle name="40% - Accent1 9 8" xfId="11349"/>
    <cellStyle name="40% - Accent1 9 8 2" xfId="11350"/>
    <cellStyle name="40% - Accent1 9 8 3" xfId="11351"/>
    <cellStyle name="40% - Accent1 9 9" xfId="11352"/>
    <cellStyle name="40% - Accent1 9_Volatility" xfId="11353"/>
    <cellStyle name="40% - Accent2" xfId="25" builtinId="35" customBuiltin="1"/>
    <cellStyle name="40% - Accent2 10" xfId="11354"/>
    <cellStyle name="40% - Accent2 10 10" xfId="11355"/>
    <cellStyle name="40% - Accent2 10 2" xfId="11356"/>
    <cellStyle name="40% - Accent2 10 2 2" xfId="11357"/>
    <cellStyle name="40% - Accent2 10 2 2 2" xfId="11358"/>
    <cellStyle name="40% - Accent2 10 2 2 2 2" xfId="11359"/>
    <cellStyle name="40% - Accent2 10 2 2 2 3" xfId="11360"/>
    <cellStyle name="40% - Accent2 10 2 2 3" xfId="11361"/>
    <cellStyle name="40% - Accent2 10 2 2 3 2" xfId="11362"/>
    <cellStyle name="40% - Accent2 10 2 2 3 3" xfId="11363"/>
    <cellStyle name="40% - Accent2 10 2 2 4" xfId="11364"/>
    <cellStyle name="40% - Accent2 10 2 2 5" xfId="11365"/>
    <cellStyle name="40% - Accent2 10 2 3" xfId="11366"/>
    <cellStyle name="40% - Accent2 10 2 3 2" xfId="11367"/>
    <cellStyle name="40% - Accent2 10 2 3 2 2" xfId="11368"/>
    <cellStyle name="40% - Accent2 10 2 3 2 3" xfId="11369"/>
    <cellStyle name="40% - Accent2 10 2 3 3" xfId="11370"/>
    <cellStyle name="40% - Accent2 10 2 3 3 2" xfId="11371"/>
    <cellStyle name="40% - Accent2 10 2 3 3 3" xfId="11372"/>
    <cellStyle name="40% - Accent2 10 2 3 4" xfId="11373"/>
    <cellStyle name="40% - Accent2 10 2 3 5" xfId="11374"/>
    <cellStyle name="40% - Accent2 10 2 4" xfId="11375"/>
    <cellStyle name="40% - Accent2 10 2 4 2" xfId="11376"/>
    <cellStyle name="40% - Accent2 10 2 4 2 2" xfId="11377"/>
    <cellStyle name="40% - Accent2 10 2 4 2 3" xfId="11378"/>
    <cellStyle name="40% - Accent2 10 2 4 3" xfId="11379"/>
    <cellStyle name="40% - Accent2 10 2 4 3 2" xfId="11380"/>
    <cellStyle name="40% - Accent2 10 2 4 3 3" xfId="11381"/>
    <cellStyle name="40% - Accent2 10 2 4 4" xfId="11382"/>
    <cellStyle name="40% - Accent2 10 2 4 5" xfId="11383"/>
    <cellStyle name="40% - Accent2 10 2 5" xfId="11384"/>
    <cellStyle name="40% - Accent2 10 2 5 2" xfId="11385"/>
    <cellStyle name="40% - Accent2 10 2 5 3" xfId="11386"/>
    <cellStyle name="40% - Accent2 10 2 6" xfId="11387"/>
    <cellStyle name="40% - Accent2 10 2 6 2" xfId="11388"/>
    <cellStyle name="40% - Accent2 10 2 6 3" xfId="11389"/>
    <cellStyle name="40% - Accent2 10 2 7" xfId="11390"/>
    <cellStyle name="40% - Accent2 10 2 8" xfId="11391"/>
    <cellStyle name="40% - Accent2 10 2_Volatility" xfId="11392"/>
    <cellStyle name="40% - Accent2 10 3" xfId="11393"/>
    <cellStyle name="40% - Accent2 10 3 2" xfId="11394"/>
    <cellStyle name="40% - Accent2 10 3 2 2" xfId="11395"/>
    <cellStyle name="40% - Accent2 10 3 2 2 2" xfId="11396"/>
    <cellStyle name="40% - Accent2 10 3 2 2 3" xfId="11397"/>
    <cellStyle name="40% - Accent2 10 3 2 3" xfId="11398"/>
    <cellStyle name="40% - Accent2 10 3 2 3 2" xfId="11399"/>
    <cellStyle name="40% - Accent2 10 3 2 3 3" xfId="11400"/>
    <cellStyle name="40% - Accent2 10 3 2 4" xfId="11401"/>
    <cellStyle name="40% - Accent2 10 3 2 5" xfId="11402"/>
    <cellStyle name="40% - Accent2 10 3 3" xfId="11403"/>
    <cellStyle name="40% - Accent2 10 3 3 2" xfId="11404"/>
    <cellStyle name="40% - Accent2 10 3 3 2 2" xfId="11405"/>
    <cellStyle name="40% - Accent2 10 3 3 2 3" xfId="11406"/>
    <cellStyle name="40% - Accent2 10 3 3 3" xfId="11407"/>
    <cellStyle name="40% - Accent2 10 3 3 3 2" xfId="11408"/>
    <cellStyle name="40% - Accent2 10 3 3 3 3" xfId="11409"/>
    <cellStyle name="40% - Accent2 10 3 3 4" xfId="11410"/>
    <cellStyle name="40% - Accent2 10 3 3 5" xfId="11411"/>
    <cellStyle name="40% - Accent2 10 3 4" xfId="11412"/>
    <cellStyle name="40% - Accent2 10 3 4 2" xfId="11413"/>
    <cellStyle name="40% - Accent2 10 3 4 3" xfId="11414"/>
    <cellStyle name="40% - Accent2 10 3 5" xfId="11415"/>
    <cellStyle name="40% - Accent2 10 3 5 2" xfId="11416"/>
    <cellStyle name="40% - Accent2 10 3 5 3" xfId="11417"/>
    <cellStyle name="40% - Accent2 10 3 6" xfId="11418"/>
    <cellStyle name="40% - Accent2 10 3 7" xfId="11419"/>
    <cellStyle name="40% - Accent2 10 3_Volatility" xfId="11420"/>
    <cellStyle name="40% - Accent2 10 4" xfId="11421"/>
    <cellStyle name="40% - Accent2 10 4 2" xfId="11422"/>
    <cellStyle name="40% - Accent2 10 4 2 2" xfId="11423"/>
    <cellStyle name="40% - Accent2 10 4 2 3" xfId="11424"/>
    <cellStyle name="40% - Accent2 10 4 3" xfId="11425"/>
    <cellStyle name="40% - Accent2 10 4 3 2" xfId="11426"/>
    <cellStyle name="40% - Accent2 10 4 3 3" xfId="11427"/>
    <cellStyle name="40% - Accent2 10 4 4" xfId="11428"/>
    <cellStyle name="40% - Accent2 10 4 5" xfId="11429"/>
    <cellStyle name="40% - Accent2 10 5" xfId="11430"/>
    <cellStyle name="40% - Accent2 10 5 2" xfId="11431"/>
    <cellStyle name="40% - Accent2 10 5 2 2" xfId="11432"/>
    <cellStyle name="40% - Accent2 10 5 2 3" xfId="11433"/>
    <cellStyle name="40% - Accent2 10 5 3" xfId="11434"/>
    <cellStyle name="40% - Accent2 10 5 3 2" xfId="11435"/>
    <cellStyle name="40% - Accent2 10 5 3 3" xfId="11436"/>
    <cellStyle name="40% - Accent2 10 5 4" xfId="11437"/>
    <cellStyle name="40% - Accent2 10 5 5" xfId="11438"/>
    <cellStyle name="40% - Accent2 10 6" xfId="11439"/>
    <cellStyle name="40% - Accent2 10 6 2" xfId="11440"/>
    <cellStyle name="40% - Accent2 10 6 2 2" xfId="11441"/>
    <cellStyle name="40% - Accent2 10 6 2 3" xfId="11442"/>
    <cellStyle name="40% - Accent2 10 6 3" xfId="11443"/>
    <cellStyle name="40% - Accent2 10 6 3 2" xfId="11444"/>
    <cellStyle name="40% - Accent2 10 6 3 3" xfId="11445"/>
    <cellStyle name="40% - Accent2 10 6 4" xfId="11446"/>
    <cellStyle name="40% - Accent2 10 6 5" xfId="11447"/>
    <cellStyle name="40% - Accent2 10 7" xfId="11448"/>
    <cellStyle name="40% - Accent2 10 7 2" xfId="11449"/>
    <cellStyle name="40% - Accent2 10 7 3" xfId="11450"/>
    <cellStyle name="40% - Accent2 10 8" xfId="11451"/>
    <cellStyle name="40% - Accent2 10 8 2" xfId="11452"/>
    <cellStyle name="40% - Accent2 10 8 3" xfId="11453"/>
    <cellStyle name="40% - Accent2 10 9" xfId="11454"/>
    <cellStyle name="40% - Accent2 10_Volatility" xfId="11455"/>
    <cellStyle name="40% - Accent2 11" xfId="11456"/>
    <cellStyle name="40% - Accent2 11 10" xfId="11457"/>
    <cellStyle name="40% - Accent2 11 2" xfId="11458"/>
    <cellStyle name="40% - Accent2 11 2 2" xfId="11459"/>
    <cellStyle name="40% - Accent2 11 2 2 2" xfId="11460"/>
    <cellStyle name="40% - Accent2 11 2 2 2 2" xfId="11461"/>
    <cellStyle name="40% - Accent2 11 2 2 2 3" xfId="11462"/>
    <cellStyle name="40% - Accent2 11 2 2 3" xfId="11463"/>
    <cellStyle name="40% - Accent2 11 2 2 3 2" xfId="11464"/>
    <cellStyle name="40% - Accent2 11 2 2 3 3" xfId="11465"/>
    <cellStyle name="40% - Accent2 11 2 2 4" xfId="11466"/>
    <cellStyle name="40% - Accent2 11 2 2 5" xfId="11467"/>
    <cellStyle name="40% - Accent2 11 2 3" xfId="11468"/>
    <cellStyle name="40% - Accent2 11 2 3 2" xfId="11469"/>
    <cellStyle name="40% - Accent2 11 2 3 2 2" xfId="11470"/>
    <cellStyle name="40% - Accent2 11 2 3 2 3" xfId="11471"/>
    <cellStyle name="40% - Accent2 11 2 3 3" xfId="11472"/>
    <cellStyle name="40% - Accent2 11 2 3 3 2" xfId="11473"/>
    <cellStyle name="40% - Accent2 11 2 3 3 3" xfId="11474"/>
    <cellStyle name="40% - Accent2 11 2 3 4" xfId="11475"/>
    <cellStyle name="40% - Accent2 11 2 3 5" xfId="11476"/>
    <cellStyle name="40% - Accent2 11 2 4" xfId="11477"/>
    <cellStyle name="40% - Accent2 11 2 4 2" xfId="11478"/>
    <cellStyle name="40% - Accent2 11 2 4 2 2" xfId="11479"/>
    <cellStyle name="40% - Accent2 11 2 4 2 3" xfId="11480"/>
    <cellStyle name="40% - Accent2 11 2 4 3" xfId="11481"/>
    <cellStyle name="40% - Accent2 11 2 4 3 2" xfId="11482"/>
    <cellStyle name="40% - Accent2 11 2 4 3 3" xfId="11483"/>
    <cellStyle name="40% - Accent2 11 2 4 4" xfId="11484"/>
    <cellStyle name="40% - Accent2 11 2 4 5" xfId="11485"/>
    <cellStyle name="40% - Accent2 11 2 5" xfId="11486"/>
    <cellStyle name="40% - Accent2 11 2 5 2" xfId="11487"/>
    <cellStyle name="40% - Accent2 11 2 5 3" xfId="11488"/>
    <cellStyle name="40% - Accent2 11 2 6" xfId="11489"/>
    <cellStyle name="40% - Accent2 11 2 6 2" xfId="11490"/>
    <cellStyle name="40% - Accent2 11 2 6 3" xfId="11491"/>
    <cellStyle name="40% - Accent2 11 2 7" xfId="11492"/>
    <cellStyle name="40% - Accent2 11 2 8" xfId="11493"/>
    <cellStyle name="40% - Accent2 11 2_Volatility" xfId="11494"/>
    <cellStyle name="40% - Accent2 11 3" xfId="11495"/>
    <cellStyle name="40% - Accent2 11 3 2" xfId="11496"/>
    <cellStyle name="40% - Accent2 11 3 2 2" xfId="11497"/>
    <cellStyle name="40% - Accent2 11 3 2 2 2" xfId="11498"/>
    <cellStyle name="40% - Accent2 11 3 2 2 3" xfId="11499"/>
    <cellStyle name="40% - Accent2 11 3 2 3" xfId="11500"/>
    <cellStyle name="40% - Accent2 11 3 2 3 2" xfId="11501"/>
    <cellStyle name="40% - Accent2 11 3 2 3 3" xfId="11502"/>
    <cellStyle name="40% - Accent2 11 3 2 4" xfId="11503"/>
    <cellStyle name="40% - Accent2 11 3 2 5" xfId="11504"/>
    <cellStyle name="40% - Accent2 11 3 3" xfId="11505"/>
    <cellStyle name="40% - Accent2 11 3 3 2" xfId="11506"/>
    <cellStyle name="40% - Accent2 11 3 3 2 2" xfId="11507"/>
    <cellStyle name="40% - Accent2 11 3 3 2 3" xfId="11508"/>
    <cellStyle name="40% - Accent2 11 3 3 3" xfId="11509"/>
    <cellStyle name="40% - Accent2 11 3 3 3 2" xfId="11510"/>
    <cellStyle name="40% - Accent2 11 3 3 3 3" xfId="11511"/>
    <cellStyle name="40% - Accent2 11 3 3 4" xfId="11512"/>
    <cellStyle name="40% - Accent2 11 3 3 5" xfId="11513"/>
    <cellStyle name="40% - Accent2 11 3 4" xfId="11514"/>
    <cellStyle name="40% - Accent2 11 3 4 2" xfId="11515"/>
    <cellStyle name="40% - Accent2 11 3 4 3" xfId="11516"/>
    <cellStyle name="40% - Accent2 11 3 5" xfId="11517"/>
    <cellStyle name="40% - Accent2 11 3 5 2" xfId="11518"/>
    <cellStyle name="40% - Accent2 11 3 5 3" xfId="11519"/>
    <cellStyle name="40% - Accent2 11 3 6" xfId="11520"/>
    <cellStyle name="40% - Accent2 11 3 7" xfId="11521"/>
    <cellStyle name="40% - Accent2 11 3_Volatility" xfId="11522"/>
    <cellStyle name="40% - Accent2 11 4" xfId="11523"/>
    <cellStyle name="40% - Accent2 11 4 2" xfId="11524"/>
    <cellStyle name="40% - Accent2 11 4 2 2" xfId="11525"/>
    <cellStyle name="40% - Accent2 11 4 2 3" xfId="11526"/>
    <cellStyle name="40% - Accent2 11 4 3" xfId="11527"/>
    <cellStyle name="40% - Accent2 11 4 3 2" xfId="11528"/>
    <cellStyle name="40% - Accent2 11 4 3 3" xfId="11529"/>
    <cellStyle name="40% - Accent2 11 4 4" xfId="11530"/>
    <cellStyle name="40% - Accent2 11 4 5" xfId="11531"/>
    <cellStyle name="40% - Accent2 11 5" xfId="11532"/>
    <cellStyle name="40% - Accent2 11 5 2" xfId="11533"/>
    <cellStyle name="40% - Accent2 11 5 2 2" xfId="11534"/>
    <cellStyle name="40% - Accent2 11 5 2 3" xfId="11535"/>
    <cellStyle name="40% - Accent2 11 5 3" xfId="11536"/>
    <cellStyle name="40% - Accent2 11 5 3 2" xfId="11537"/>
    <cellStyle name="40% - Accent2 11 5 3 3" xfId="11538"/>
    <cellStyle name="40% - Accent2 11 5 4" xfId="11539"/>
    <cellStyle name="40% - Accent2 11 5 5" xfId="11540"/>
    <cellStyle name="40% - Accent2 11 6" xfId="11541"/>
    <cellStyle name="40% - Accent2 11 6 2" xfId="11542"/>
    <cellStyle name="40% - Accent2 11 6 2 2" xfId="11543"/>
    <cellStyle name="40% - Accent2 11 6 2 3" xfId="11544"/>
    <cellStyle name="40% - Accent2 11 6 3" xfId="11545"/>
    <cellStyle name="40% - Accent2 11 6 3 2" xfId="11546"/>
    <cellStyle name="40% - Accent2 11 6 3 3" xfId="11547"/>
    <cellStyle name="40% - Accent2 11 6 4" xfId="11548"/>
    <cellStyle name="40% - Accent2 11 6 5" xfId="11549"/>
    <cellStyle name="40% - Accent2 11 7" xfId="11550"/>
    <cellStyle name="40% - Accent2 11 7 2" xfId="11551"/>
    <cellStyle name="40% - Accent2 11 7 3" xfId="11552"/>
    <cellStyle name="40% - Accent2 11 8" xfId="11553"/>
    <cellStyle name="40% - Accent2 11 8 2" xfId="11554"/>
    <cellStyle name="40% - Accent2 11 8 3" xfId="11555"/>
    <cellStyle name="40% - Accent2 11 9" xfId="11556"/>
    <cellStyle name="40% - Accent2 11_Volatility" xfId="11557"/>
    <cellStyle name="40% - Accent2 12" xfId="11558"/>
    <cellStyle name="40% - Accent2 12 10" xfId="11559"/>
    <cellStyle name="40% - Accent2 12 2" xfId="11560"/>
    <cellStyle name="40% - Accent2 12 2 2" xfId="11561"/>
    <cellStyle name="40% - Accent2 12 2 2 2" xfId="11562"/>
    <cellStyle name="40% - Accent2 12 2 2 2 2" xfId="11563"/>
    <cellStyle name="40% - Accent2 12 2 2 2 3" xfId="11564"/>
    <cellStyle name="40% - Accent2 12 2 2 3" xfId="11565"/>
    <cellStyle name="40% - Accent2 12 2 2 3 2" xfId="11566"/>
    <cellStyle name="40% - Accent2 12 2 2 3 3" xfId="11567"/>
    <cellStyle name="40% - Accent2 12 2 2 4" xfId="11568"/>
    <cellStyle name="40% - Accent2 12 2 2 5" xfId="11569"/>
    <cellStyle name="40% - Accent2 12 2 3" xfId="11570"/>
    <cellStyle name="40% - Accent2 12 2 3 2" xfId="11571"/>
    <cellStyle name="40% - Accent2 12 2 3 2 2" xfId="11572"/>
    <cellStyle name="40% - Accent2 12 2 3 2 3" xfId="11573"/>
    <cellStyle name="40% - Accent2 12 2 3 3" xfId="11574"/>
    <cellStyle name="40% - Accent2 12 2 3 3 2" xfId="11575"/>
    <cellStyle name="40% - Accent2 12 2 3 3 3" xfId="11576"/>
    <cellStyle name="40% - Accent2 12 2 3 4" xfId="11577"/>
    <cellStyle name="40% - Accent2 12 2 3 5" xfId="11578"/>
    <cellStyle name="40% - Accent2 12 2 4" xfId="11579"/>
    <cellStyle name="40% - Accent2 12 2 4 2" xfId="11580"/>
    <cellStyle name="40% - Accent2 12 2 4 2 2" xfId="11581"/>
    <cellStyle name="40% - Accent2 12 2 4 2 3" xfId="11582"/>
    <cellStyle name="40% - Accent2 12 2 4 3" xfId="11583"/>
    <cellStyle name="40% - Accent2 12 2 4 3 2" xfId="11584"/>
    <cellStyle name="40% - Accent2 12 2 4 3 3" xfId="11585"/>
    <cellStyle name="40% - Accent2 12 2 4 4" xfId="11586"/>
    <cellStyle name="40% - Accent2 12 2 4 5" xfId="11587"/>
    <cellStyle name="40% - Accent2 12 2 5" xfId="11588"/>
    <cellStyle name="40% - Accent2 12 2 5 2" xfId="11589"/>
    <cellStyle name="40% - Accent2 12 2 5 3" xfId="11590"/>
    <cellStyle name="40% - Accent2 12 2 6" xfId="11591"/>
    <cellStyle name="40% - Accent2 12 2 6 2" xfId="11592"/>
    <cellStyle name="40% - Accent2 12 2 6 3" xfId="11593"/>
    <cellStyle name="40% - Accent2 12 2 7" xfId="11594"/>
    <cellStyle name="40% - Accent2 12 2 8" xfId="11595"/>
    <cellStyle name="40% - Accent2 12 2_Volatility" xfId="11596"/>
    <cellStyle name="40% - Accent2 12 3" xfId="11597"/>
    <cellStyle name="40% - Accent2 12 3 2" xfId="11598"/>
    <cellStyle name="40% - Accent2 12 3 2 2" xfId="11599"/>
    <cellStyle name="40% - Accent2 12 3 2 2 2" xfId="11600"/>
    <cellStyle name="40% - Accent2 12 3 2 2 3" xfId="11601"/>
    <cellStyle name="40% - Accent2 12 3 2 3" xfId="11602"/>
    <cellStyle name="40% - Accent2 12 3 2 3 2" xfId="11603"/>
    <cellStyle name="40% - Accent2 12 3 2 3 3" xfId="11604"/>
    <cellStyle name="40% - Accent2 12 3 2 4" xfId="11605"/>
    <cellStyle name="40% - Accent2 12 3 2 5" xfId="11606"/>
    <cellStyle name="40% - Accent2 12 3 3" xfId="11607"/>
    <cellStyle name="40% - Accent2 12 3 3 2" xfId="11608"/>
    <cellStyle name="40% - Accent2 12 3 3 2 2" xfId="11609"/>
    <cellStyle name="40% - Accent2 12 3 3 2 3" xfId="11610"/>
    <cellStyle name="40% - Accent2 12 3 3 3" xfId="11611"/>
    <cellStyle name="40% - Accent2 12 3 3 3 2" xfId="11612"/>
    <cellStyle name="40% - Accent2 12 3 3 3 3" xfId="11613"/>
    <cellStyle name="40% - Accent2 12 3 3 4" xfId="11614"/>
    <cellStyle name="40% - Accent2 12 3 3 5" xfId="11615"/>
    <cellStyle name="40% - Accent2 12 3 4" xfId="11616"/>
    <cellStyle name="40% - Accent2 12 3 4 2" xfId="11617"/>
    <cellStyle name="40% - Accent2 12 3 4 3" xfId="11618"/>
    <cellStyle name="40% - Accent2 12 3 5" xfId="11619"/>
    <cellStyle name="40% - Accent2 12 3 5 2" xfId="11620"/>
    <cellStyle name="40% - Accent2 12 3 5 3" xfId="11621"/>
    <cellStyle name="40% - Accent2 12 3 6" xfId="11622"/>
    <cellStyle name="40% - Accent2 12 3 7" xfId="11623"/>
    <cellStyle name="40% - Accent2 12 3_Volatility" xfId="11624"/>
    <cellStyle name="40% - Accent2 12 4" xfId="11625"/>
    <cellStyle name="40% - Accent2 12 4 2" xfId="11626"/>
    <cellStyle name="40% - Accent2 12 4 2 2" xfId="11627"/>
    <cellStyle name="40% - Accent2 12 4 2 3" xfId="11628"/>
    <cellStyle name="40% - Accent2 12 4 3" xfId="11629"/>
    <cellStyle name="40% - Accent2 12 4 3 2" xfId="11630"/>
    <cellStyle name="40% - Accent2 12 4 3 3" xfId="11631"/>
    <cellStyle name="40% - Accent2 12 4 4" xfId="11632"/>
    <cellStyle name="40% - Accent2 12 4 5" xfId="11633"/>
    <cellStyle name="40% - Accent2 12 5" xfId="11634"/>
    <cellStyle name="40% - Accent2 12 5 2" xfId="11635"/>
    <cellStyle name="40% - Accent2 12 5 2 2" xfId="11636"/>
    <cellStyle name="40% - Accent2 12 5 2 3" xfId="11637"/>
    <cellStyle name="40% - Accent2 12 5 3" xfId="11638"/>
    <cellStyle name="40% - Accent2 12 5 3 2" xfId="11639"/>
    <cellStyle name="40% - Accent2 12 5 3 3" xfId="11640"/>
    <cellStyle name="40% - Accent2 12 5 4" xfId="11641"/>
    <cellStyle name="40% - Accent2 12 5 5" xfId="11642"/>
    <cellStyle name="40% - Accent2 12 6" xfId="11643"/>
    <cellStyle name="40% - Accent2 12 6 2" xfId="11644"/>
    <cellStyle name="40% - Accent2 12 6 2 2" xfId="11645"/>
    <cellStyle name="40% - Accent2 12 6 2 3" xfId="11646"/>
    <cellStyle name="40% - Accent2 12 6 3" xfId="11647"/>
    <cellStyle name="40% - Accent2 12 6 3 2" xfId="11648"/>
    <cellStyle name="40% - Accent2 12 6 3 3" xfId="11649"/>
    <cellStyle name="40% - Accent2 12 6 4" xfId="11650"/>
    <cellStyle name="40% - Accent2 12 6 5" xfId="11651"/>
    <cellStyle name="40% - Accent2 12 7" xfId="11652"/>
    <cellStyle name="40% - Accent2 12 7 2" xfId="11653"/>
    <cellStyle name="40% - Accent2 12 7 3" xfId="11654"/>
    <cellStyle name="40% - Accent2 12 8" xfId="11655"/>
    <cellStyle name="40% - Accent2 12 8 2" xfId="11656"/>
    <cellStyle name="40% - Accent2 12 8 3" xfId="11657"/>
    <cellStyle name="40% - Accent2 12 9" xfId="11658"/>
    <cellStyle name="40% - Accent2 12_Volatility" xfId="11659"/>
    <cellStyle name="40% - Accent2 13" xfId="11660"/>
    <cellStyle name="40% - Accent2 13 10" xfId="11661"/>
    <cellStyle name="40% - Accent2 13 2" xfId="11662"/>
    <cellStyle name="40% - Accent2 13 2 2" xfId="11663"/>
    <cellStyle name="40% - Accent2 13 2 2 2" xfId="11664"/>
    <cellStyle name="40% - Accent2 13 2 2 2 2" xfId="11665"/>
    <cellStyle name="40% - Accent2 13 2 2 2 3" xfId="11666"/>
    <cellStyle name="40% - Accent2 13 2 2 3" xfId="11667"/>
    <cellStyle name="40% - Accent2 13 2 2 3 2" xfId="11668"/>
    <cellStyle name="40% - Accent2 13 2 2 3 3" xfId="11669"/>
    <cellStyle name="40% - Accent2 13 2 2 4" xfId="11670"/>
    <cellStyle name="40% - Accent2 13 2 2 5" xfId="11671"/>
    <cellStyle name="40% - Accent2 13 2 3" xfId="11672"/>
    <cellStyle name="40% - Accent2 13 2 3 2" xfId="11673"/>
    <cellStyle name="40% - Accent2 13 2 3 2 2" xfId="11674"/>
    <cellStyle name="40% - Accent2 13 2 3 2 3" xfId="11675"/>
    <cellStyle name="40% - Accent2 13 2 3 3" xfId="11676"/>
    <cellStyle name="40% - Accent2 13 2 3 3 2" xfId="11677"/>
    <cellStyle name="40% - Accent2 13 2 3 3 3" xfId="11678"/>
    <cellStyle name="40% - Accent2 13 2 3 4" xfId="11679"/>
    <cellStyle name="40% - Accent2 13 2 3 5" xfId="11680"/>
    <cellStyle name="40% - Accent2 13 2 4" xfId="11681"/>
    <cellStyle name="40% - Accent2 13 2 4 2" xfId="11682"/>
    <cellStyle name="40% - Accent2 13 2 4 2 2" xfId="11683"/>
    <cellStyle name="40% - Accent2 13 2 4 2 3" xfId="11684"/>
    <cellStyle name="40% - Accent2 13 2 4 3" xfId="11685"/>
    <cellStyle name="40% - Accent2 13 2 4 3 2" xfId="11686"/>
    <cellStyle name="40% - Accent2 13 2 4 3 3" xfId="11687"/>
    <cellStyle name="40% - Accent2 13 2 4 4" xfId="11688"/>
    <cellStyle name="40% - Accent2 13 2 4 5" xfId="11689"/>
    <cellStyle name="40% - Accent2 13 2 5" xfId="11690"/>
    <cellStyle name="40% - Accent2 13 2 5 2" xfId="11691"/>
    <cellStyle name="40% - Accent2 13 2 5 3" xfId="11692"/>
    <cellStyle name="40% - Accent2 13 2 6" xfId="11693"/>
    <cellStyle name="40% - Accent2 13 2 6 2" xfId="11694"/>
    <cellStyle name="40% - Accent2 13 2 6 3" xfId="11695"/>
    <cellStyle name="40% - Accent2 13 2 7" xfId="11696"/>
    <cellStyle name="40% - Accent2 13 2 8" xfId="11697"/>
    <cellStyle name="40% - Accent2 13 2_Volatility" xfId="11698"/>
    <cellStyle name="40% - Accent2 13 3" xfId="11699"/>
    <cellStyle name="40% - Accent2 13 3 2" xfId="11700"/>
    <cellStyle name="40% - Accent2 13 3 2 2" xfId="11701"/>
    <cellStyle name="40% - Accent2 13 3 2 2 2" xfId="11702"/>
    <cellStyle name="40% - Accent2 13 3 2 2 3" xfId="11703"/>
    <cellStyle name="40% - Accent2 13 3 2 3" xfId="11704"/>
    <cellStyle name="40% - Accent2 13 3 2 3 2" xfId="11705"/>
    <cellStyle name="40% - Accent2 13 3 2 3 3" xfId="11706"/>
    <cellStyle name="40% - Accent2 13 3 2 4" xfId="11707"/>
    <cellStyle name="40% - Accent2 13 3 2 5" xfId="11708"/>
    <cellStyle name="40% - Accent2 13 3 3" xfId="11709"/>
    <cellStyle name="40% - Accent2 13 3 3 2" xfId="11710"/>
    <cellStyle name="40% - Accent2 13 3 3 2 2" xfId="11711"/>
    <cellStyle name="40% - Accent2 13 3 3 2 3" xfId="11712"/>
    <cellStyle name="40% - Accent2 13 3 3 3" xfId="11713"/>
    <cellStyle name="40% - Accent2 13 3 3 3 2" xfId="11714"/>
    <cellStyle name="40% - Accent2 13 3 3 3 3" xfId="11715"/>
    <cellStyle name="40% - Accent2 13 3 3 4" xfId="11716"/>
    <cellStyle name="40% - Accent2 13 3 3 5" xfId="11717"/>
    <cellStyle name="40% - Accent2 13 3 4" xfId="11718"/>
    <cellStyle name="40% - Accent2 13 3 4 2" xfId="11719"/>
    <cellStyle name="40% - Accent2 13 3 4 3" xfId="11720"/>
    <cellStyle name="40% - Accent2 13 3 5" xfId="11721"/>
    <cellStyle name="40% - Accent2 13 3 5 2" xfId="11722"/>
    <cellStyle name="40% - Accent2 13 3 5 3" xfId="11723"/>
    <cellStyle name="40% - Accent2 13 3 6" xfId="11724"/>
    <cellStyle name="40% - Accent2 13 3 7" xfId="11725"/>
    <cellStyle name="40% - Accent2 13 3_Volatility" xfId="11726"/>
    <cellStyle name="40% - Accent2 13 4" xfId="11727"/>
    <cellStyle name="40% - Accent2 13 4 2" xfId="11728"/>
    <cellStyle name="40% - Accent2 13 4 2 2" xfId="11729"/>
    <cellStyle name="40% - Accent2 13 4 2 3" xfId="11730"/>
    <cellStyle name="40% - Accent2 13 4 3" xfId="11731"/>
    <cellStyle name="40% - Accent2 13 4 3 2" xfId="11732"/>
    <cellStyle name="40% - Accent2 13 4 3 3" xfId="11733"/>
    <cellStyle name="40% - Accent2 13 4 4" xfId="11734"/>
    <cellStyle name="40% - Accent2 13 4 5" xfId="11735"/>
    <cellStyle name="40% - Accent2 13 5" xfId="11736"/>
    <cellStyle name="40% - Accent2 13 5 2" xfId="11737"/>
    <cellStyle name="40% - Accent2 13 5 2 2" xfId="11738"/>
    <cellStyle name="40% - Accent2 13 5 2 3" xfId="11739"/>
    <cellStyle name="40% - Accent2 13 5 3" xfId="11740"/>
    <cellStyle name="40% - Accent2 13 5 3 2" xfId="11741"/>
    <cellStyle name="40% - Accent2 13 5 3 3" xfId="11742"/>
    <cellStyle name="40% - Accent2 13 5 4" xfId="11743"/>
    <cellStyle name="40% - Accent2 13 5 5" xfId="11744"/>
    <cellStyle name="40% - Accent2 13 6" xfId="11745"/>
    <cellStyle name="40% - Accent2 13 6 2" xfId="11746"/>
    <cellStyle name="40% - Accent2 13 6 2 2" xfId="11747"/>
    <cellStyle name="40% - Accent2 13 6 2 3" xfId="11748"/>
    <cellStyle name="40% - Accent2 13 6 3" xfId="11749"/>
    <cellStyle name="40% - Accent2 13 6 3 2" xfId="11750"/>
    <cellStyle name="40% - Accent2 13 6 3 3" xfId="11751"/>
    <cellStyle name="40% - Accent2 13 6 4" xfId="11752"/>
    <cellStyle name="40% - Accent2 13 6 5" xfId="11753"/>
    <cellStyle name="40% - Accent2 13 7" xfId="11754"/>
    <cellStyle name="40% - Accent2 13 7 2" xfId="11755"/>
    <cellStyle name="40% - Accent2 13 7 3" xfId="11756"/>
    <cellStyle name="40% - Accent2 13 8" xfId="11757"/>
    <cellStyle name="40% - Accent2 13 8 2" xfId="11758"/>
    <cellStyle name="40% - Accent2 13 8 3" xfId="11759"/>
    <cellStyle name="40% - Accent2 13 9" xfId="11760"/>
    <cellStyle name="40% - Accent2 13_Volatility" xfId="11761"/>
    <cellStyle name="40% - Accent2 14" xfId="11762"/>
    <cellStyle name="40% - Accent2 14 10" xfId="11763"/>
    <cellStyle name="40% - Accent2 14 2" xfId="11764"/>
    <cellStyle name="40% - Accent2 14 2 2" xfId="11765"/>
    <cellStyle name="40% - Accent2 14 2 2 2" xfId="11766"/>
    <cellStyle name="40% - Accent2 14 2 2 2 2" xfId="11767"/>
    <cellStyle name="40% - Accent2 14 2 2 2 3" xfId="11768"/>
    <cellStyle name="40% - Accent2 14 2 2 3" xfId="11769"/>
    <cellStyle name="40% - Accent2 14 2 2 3 2" xfId="11770"/>
    <cellStyle name="40% - Accent2 14 2 2 3 3" xfId="11771"/>
    <cellStyle name="40% - Accent2 14 2 2 4" xfId="11772"/>
    <cellStyle name="40% - Accent2 14 2 2 5" xfId="11773"/>
    <cellStyle name="40% - Accent2 14 2 3" xfId="11774"/>
    <cellStyle name="40% - Accent2 14 2 3 2" xfId="11775"/>
    <cellStyle name="40% - Accent2 14 2 3 2 2" xfId="11776"/>
    <cellStyle name="40% - Accent2 14 2 3 2 3" xfId="11777"/>
    <cellStyle name="40% - Accent2 14 2 3 3" xfId="11778"/>
    <cellStyle name="40% - Accent2 14 2 3 3 2" xfId="11779"/>
    <cellStyle name="40% - Accent2 14 2 3 3 3" xfId="11780"/>
    <cellStyle name="40% - Accent2 14 2 3 4" xfId="11781"/>
    <cellStyle name="40% - Accent2 14 2 3 5" xfId="11782"/>
    <cellStyle name="40% - Accent2 14 2 4" xfId="11783"/>
    <cellStyle name="40% - Accent2 14 2 4 2" xfId="11784"/>
    <cellStyle name="40% - Accent2 14 2 4 2 2" xfId="11785"/>
    <cellStyle name="40% - Accent2 14 2 4 2 3" xfId="11786"/>
    <cellStyle name="40% - Accent2 14 2 4 3" xfId="11787"/>
    <cellStyle name="40% - Accent2 14 2 4 3 2" xfId="11788"/>
    <cellStyle name="40% - Accent2 14 2 4 3 3" xfId="11789"/>
    <cellStyle name="40% - Accent2 14 2 4 4" xfId="11790"/>
    <cellStyle name="40% - Accent2 14 2 4 5" xfId="11791"/>
    <cellStyle name="40% - Accent2 14 2 5" xfId="11792"/>
    <cellStyle name="40% - Accent2 14 2 5 2" xfId="11793"/>
    <cellStyle name="40% - Accent2 14 2 5 3" xfId="11794"/>
    <cellStyle name="40% - Accent2 14 2 6" xfId="11795"/>
    <cellStyle name="40% - Accent2 14 2 6 2" xfId="11796"/>
    <cellStyle name="40% - Accent2 14 2 6 3" xfId="11797"/>
    <cellStyle name="40% - Accent2 14 2 7" xfId="11798"/>
    <cellStyle name="40% - Accent2 14 2 8" xfId="11799"/>
    <cellStyle name="40% - Accent2 14 2_Volatility" xfId="11800"/>
    <cellStyle name="40% - Accent2 14 3" xfId="11801"/>
    <cellStyle name="40% - Accent2 14 3 2" xfId="11802"/>
    <cellStyle name="40% - Accent2 14 3 2 2" xfId="11803"/>
    <cellStyle name="40% - Accent2 14 3 2 2 2" xfId="11804"/>
    <cellStyle name="40% - Accent2 14 3 2 2 3" xfId="11805"/>
    <cellStyle name="40% - Accent2 14 3 2 3" xfId="11806"/>
    <cellStyle name="40% - Accent2 14 3 2 3 2" xfId="11807"/>
    <cellStyle name="40% - Accent2 14 3 2 3 3" xfId="11808"/>
    <cellStyle name="40% - Accent2 14 3 2 4" xfId="11809"/>
    <cellStyle name="40% - Accent2 14 3 2 5" xfId="11810"/>
    <cellStyle name="40% - Accent2 14 3 3" xfId="11811"/>
    <cellStyle name="40% - Accent2 14 3 3 2" xfId="11812"/>
    <cellStyle name="40% - Accent2 14 3 3 2 2" xfId="11813"/>
    <cellStyle name="40% - Accent2 14 3 3 2 3" xfId="11814"/>
    <cellStyle name="40% - Accent2 14 3 3 3" xfId="11815"/>
    <cellStyle name="40% - Accent2 14 3 3 3 2" xfId="11816"/>
    <cellStyle name="40% - Accent2 14 3 3 3 3" xfId="11817"/>
    <cellStyle name="40% - Accent2 14 3 3 4" xfId="11818"/>
    <cellStyle name="40% - Accent2 14 3 3 5" xfId="11819"/>
    <cellStyle name="40% - Accent2 14 3 4" xfId="11820"/>
    <cellStyle name="40% - Accent2 14 3 4 2" xfId="11821"/>
    <cellStyle name="40% - Accent2 14 3 4 3" xfId="11822"/>
    <cellStyle name="40% - Accent2 14 3 5" xfId="11823"/>
    <cellStyle name="40% - Accent2 14 3 5 2" xfId="11824"/>
    <cellStyle name="40% - Accent2 14 3 5 3" xfId="11825"/>
    <cellStyle name="40% - Accent2 14 3 6" xfId="11826"/>
    <cellStyle name="40% - Accent2 14 3 7" xfId="11827"/>
    <cellStyle name="40% - Accent2 14 3_Volatility" xfId="11828"/>
    <cellStyle name="40% - Accent2 14 4" xfId="11829"/>
    <cellStyle name="40% - Accent2 14 4 2" xfId="11830"/>
    <cellStyle name="40% - Accent2 14 4 2 2" xfId="11831"/>
    <cellStyle name="40% - Accent2 14 4 2 3" xfId="11832"/>
    <cellStyle name="40% - Accent2 14 4 3" xfId="11833"/>
    <cellStyle name="40% - Accent2 14 4 3 2" xfId="11834"/>
    <cellStyle name="40% - Accent2 14 4 3 3" xfId="11835"/>
    <cellStyle name="40% - Accent2 14 4 4" xfId="11836"/>
    <cellStyle name="40% - Accent2 14 4 5" xfId="11837"/>
    <cellStyle name="40% - Accent2 14 5" xfId="11838"/>
    <cellStyle name="40% - Accent2 14 5 2" xfId="11839"/>
    <cellStyle name="40% - Accent2 14 5 2 2" xfId="11840"/>
    <cellStyle name="40% - Accent2 14 5 2 3" xfId="11841"/>
    <cellStyle name="40% - Accent2 14 5 3" xfId="11842"/>
    <cellStyle name="40% - Accent2 14 5 3 2" xfId="11843"/>
    <cellStyle name="40% - Accent2 14 5 3 3" xfId="11844"/>
    <cellStyle name="40% - Accent2 14 5 4" xfId="11845"/>
    <cellStyle name="40% - Accent2 14 5 5" xfId="11846"/>
    <cellStyle name="40% - Accent2 14 6" xfId="11847"/>
    <cellStyle name="40% - Accent2 14 6 2" xfId="11848"/>
    <cellStyle name="40% - Accent2 14 6 2 2" xfId="11849"/>
    <cellStyle name="40% - Accent2 14 6 2 3" xfId="11850"/>
    <cellStyle name="40% - Accent2 14 6 3" xfId="11851"/>
    <cellStyle name="40% - Accent2 14 6 3 2" xfId="11852"/>
    <cellStyle name="40% - Accent2 14 6 3 3" xfId="11853"/>
    <cellStyle name="40% - Accent2 14 6 4" xfId="11854"/>
    <cellStyle name="40% - Accent2 14 6 5" xfId="11855"/>
    <cellStyle name="40% - Accent2 14 7" xfId="11856"/>
    <cellStyle name="40% - Accent2 14 7 2" xfId="11857"/>
    <cellStyle name="40% - Accent2 14 7 3" xfId="11858"/>
    <cellStyle name="40% - Accent2 14 8" xfId="11859"/>
    <cellStyle name="40% - Accent2 14 8 2" xfId="11860"/>
    <cellStyle name="40% - Accent2 14 8 3" xfId="11861"/>
    <cellStyle name="40% - Accent2 14 9" xfId="11862"/>
    <cellStyle name="40% - Accent2 14_Volatility" xfId="11863"/>
    <cellStyle name="40% - Accent2 15" xfId="11864"/>
    <cellStyle name="40% - Accent2 15 10" xfId="11865"/>
    <cellStyle name="40% - Accent2 15 2" xfId="11866"/>
    <cellStyle name="40% - Accent2 15 2 2" xfId="11867"/>
    <cellStyle name="40% - Accent2 15 2 2 2" xfId="11868"/>
    <cellStyle name="40% - Accent2 15 2 2 2 2" xfId="11869"/>
    <cellStyle name="40% - Accent2 15 2 2 2 3" xfId="11870"/>
    <cellStyle name="40% - Accent2 15 2 2 3" xfId="11871"/>
    <cellStyle name="40% - Accent2 15 2 2 3 2" xfId="11872"/>
    <cellStyle name="40% - Accent2 15 2 2 3 3" xfId="11873"/>
    <cellStyle name="40% - Accent2 15 2 2 4" xfId="11874"/>
    <cellStyle name="40% - Accent2 15 2 2 5" xfId="11875"/>
    <cellStyle name="40% - Accent2 15 2 3" xfId="11876"/>
    <cellStyle name="40% - Accent2 15 2 3 2" xfId="11877"/>
    <cellStyle name="40% - Accent2 15 2 3 2 2" xfId="11878"/>
    <cellStyle name="40% - Accent2 15 2 3 2 3" xfId="11879"/>
    <cellStyle name="40% - Accent2 15 2 3 3" xfId="11880"/>
    <cellStyle name="40% - Accent2 15 2 3 3 2" xfId="11881"/>
    <cellStyle name="40% - Accent2 15 2 3 3 3" xfId="11882"/>
    <cellStyle name="40% - Accent2 15 2 3 4" xfId="11883"/>
    <cellStyle name="40% - Accent2 15 2 3 5" xfId="11884"/>
    <cellStyle name="40% - Accent2 15 2 4" xfId="11885"/>
    <cellStyle name="40% - Accent2 15 2 4 2" xfId="11886"/>
    <cellStyle name="40% - Accent2 15 2 4 2 2" xfId="11887"/>
    <cellStyle name="40% - Accent2 15 2 4 2 3" xfId="11888"/>
    <cellStyle name="40% - Accent2 15 2 4 3" xfId="11889"/>
    <cellStyle name="40% - Accent2 15 2 4 3 2" xfId="11890"/>
    <cellStyle name="40% - Accent2 15 2 4 3 3" xfId="11891"/>
    <cellStyle name="40% - Accent2 15 2 4 4" xfId="11892"/>
    <cellStyle name="40% - Accent2 15 2 4 5" xfId="11893"/>
    <cellStyle name="40% - Accent2 15 2 5" xfId="11894"/>
    <cellStyle name="40% - Accent2 15 2 5 2" xfId="11895"/>
    <cellStyle name="40% - Accent2 15 2 5 3" xfId="11896"/>
    <cellStyle name="40% - Accent2 15 2 6" xfId="11897"/>
    <cellStyle name="40% - Accent2 15 2 6 2" xfId="11898"/>
    <cellStyle name="40% - Accent2 15 2 6 3" xfId="11899"/>
    <cellStyle name="40% - Accent2 15 2 7" xfId="11900"/>
    <cellStyle name="40% - Accent2 15 2 8" xfId="11901"/>
    <cellStyle name="40% - Accent2 15 2_Volatility" xfId="11902"/>
    <cellStyle name="40% - Accent2 15 3" xfId="11903"/>
    <cellStyle name="40% - Accent2 15 3 2" xfId="11904"/>
    <cellStyle name="40% - Accent2 15 3 2 2" xfId="11905"/>
    <cellStyle name="40% - Accent2 15 3 2 2 2" xfId="11906"/>
    <cellStyle name="40% - Accent2 15 3 2 2 3" xfId="11907"/>
    <cellStyle name="40% - Accent2 15 3 2 3" xfId="11908"/>
    <cellStyle name="40% - Accent2 15 3 2 3 2" xfId="11909"/>
    <cellStyle name="40% - Accent2 15 3 2 3 3" xfId="11910"/>
    <cellStyle name="40% - Accent2 15 3 2 4" xfId="11911"/>
    <cellStyle name="40% - Accent2 15 3 2 5" xfId="11912"/>
    <cellStyle name="40% - Accent2 15 3 3" xfId="11913"/>
    <cellStyle name="40% - Accent2 15 3 3 2" xfId="11914"/>
    <cellStyle name="40% - Accent2 15 3 3 2 2" xfId="11915"/>
    <cellStyle name="40% - Accent2 15 3 3 2 3" xfId="11916"/>
    <cellStyle name="40% - Accent2 15 3 3 3" xfId="11917"/>
    <cellStyle name="40% - Accent2 15 3 3 3 2" xfId="11918"/>
    <cellStyle name="40% - Accent2 15 3 3 3 3" xfId="11919"/>
    <cellStyle name="40% - Accent2 15 3 3 4" xfId="11920"/>
    <cellStyle name="40% - Accent2 15 3 3 5" xfId="11921"/>
    <cellStyle name="40% - Accent2 15 3 4" xfId="11922"/>
    <cellStyle name="40% - Accent2 15 3 4 2" xfId="11923"/>
    <cellStyle name="40% - Accent2 15 3 4 3" xfId="11924"/>
    <cellStyle name="40% - Accent2 15 3 5" xfId="11925"/>
    <cellStyle name="40% - Accent2 15 3 5 2" xfId="11926"/>
    <cellStyle name="40% - Accent2 15 3 5 3" xfId="11927"/>
    <cellStyle name="40% - Accent2 15 3 6" xfId="11928"/>
    <cellStyle name="40% - Accent2 15 3 7" xfId="11929"/>
    <cellStyle name="40% - Accent2 15 3_Volatility" xfId="11930"/>
    <cellStyle name="40% - Accent2 15 4" xfId="11931"/>
    <cellStyle name="40% - Accent2 15 4 2" xfId="11932"/>
    <cellStyle name="40% - Accent2 15 4 2 2" xfId="11933"/>
    <cellStyle name="40% - Accent2 15 4 2 3" xfId="11934"/>
    <cellStyle name="40% - Accent2 15 4 3" xfId="11935"/>
    <cellStyle name="40% - Accent2 15 4 3 2" xfId="11936"/>
    <cellStyle name="40% - Accent2 15 4 3 3" xfId="11937"/>
    <cellStyle name="40% - Accent2 15 4 4" xfId="11938"/>
    <cellStyle name="40% - Accent2 15 4 5" xfId="11939"/>
    <cellStyle name="40% - Accent2 15 5" xfId="11940"/>
    <cellStyle name="40% - Accent2 15 5 2" xfId="11941"/>
    <cellStyle name="40% - Accent2 15 5 2 2" xfId="11942"/>
    <cellStyle name="40% - Accent2 15 5 2 3" xfId="11943"/>
    <cellStyle name="40% - Accent2 15 5 3" xfId="11944"/>
    <cellStyle name="40% - Accent2 15 5 3 2" xfId="11945"/>
    <cellStyle name="40% - Accent2 15 5 3 3" xfId="11946"/>
    <cellStyle name="40% - Accent2 15 5 4" xfId="11947"/>
    <cellStyle name="40% - Accent2 15 5 5" xfId="11948"/>
    <cellStyle name="40% - Accent2 15 6" xfId="11949"/>
    <cellStyle name="40% - Accent2 15 6 2" xfId="11950"/>
    <cellStyle name="40% - Accent2 15 6 2 2" xfId="11951"/>
    <cellStyle name="40% - Accent2 15 6 2 3" xfId="11952"/>
    <cellStyle name="40% - Accent2 15 6 3" xfId="11953"/>
    <cellStyle name="40% - Accent2 15 6 3 2" xfId="11954"/>
    <cellStyle name="40% - Accent2 15 6 3 3" xfId="11955"/>
    <cellStyle name="40% - Accent2 15 6 4" xfId="11956"/>
    <cellStyle name="40% - Accent2 15 6 5" xfId="11957"/>
    <cellStyle name="40% - Accent2 15 7" xfId="11958"/>
    <cellStyle name="40% - Accent2 15 7 2" xfId="11959"/>
    <cellStyle name="40% - Accent2 15 7 3" xfId="11960"/>
    <cellStyle name="40% - Accent2 15 8" xfId="11961"/>
    <cellStyle name="40% - Accent2 15 8 2" xfId="11962"/>
    <cellStyle name="40% - Accent2 15 8 3" xfId="11963"/>
    <cellStyle name="40% - Accent2 15 9" xfId="11964"/>
    <cellStyle name="40% - Accent2 15_Volatility" xfId="11965"/>
    <cellStyle name="40% - Accent2 16" xfId="11966"/>
    <cellStyle name="40% - Accent2 16 2" xfId="11967"/>
    <cellStyle name="40% - Accent2 16 3" xfId="11968"/>
    <cellStyle name="40% - Accent2 17" xfId="11969"/>
    <cellStyle name="40% - Accent2 17 2" xfId="11970"/>
    <cellStyle name="40% - Accent2 17 3" xfId="11971"/>
    <cellStyle name="40% - Accent2 18" xfId="11972"/>
    <cellStyle name="40% - Accent2 18 2" xfId="11973"/>
    <cellStyle name="40% - Accent2 18 3" xfId="11974"/>
    <cellStyle name="40% - Accent2 19" xfId="11975"/>
    <cellStyle name="40% - Accent2 19 2" xfId="11976"/>
    <cellStyle name="40% - Accent2 19 3" xfId="11977"/>
    <cellStyle name="40% - Accent2 2" xfId="11978"/>
    <cellStyle name="40% - Accent2 2 10" xfId="11979"/>
    <cellStyle name="40% - Accent2 2 2" xfId="11980"/>
    <cellStyle name="40% - Accent2 2 2 2" xfId="11981"/>
    <cellStyle name="40% - Accent2 2 2 2 2" xfId="11982"/>
    <cellStyle name="40% - Accent2 2 2 2 2 2" xfId="11983"/>
    <cellStyle name="40% - Accent2 2 2 2 2 3" xfId="11984"/>
    <cellStyle name="40% - Accent2 2 2 2 3" xfId="11985"/>
    <cellStyle name="40% - Accent2 2 2 2 3 2" xfId="11986"/>
    <cellStyle name="40% - Accent2 2 2 2 3 3" xfId="11987"/>
    <cellStyle name="40% - Accent2 2 2 2 4" xfId="11988"/>
    <cellStyle name="40% - Accent2 2 2 2 5" xfId="11989"/>
    <cellStyle name="40% - Accent2 2 2 3" xfId="11990"/>
    <cellStyle name="40% - Accent2 2 2 3 2" xfId="11991"/>
    <cellStyle name="40% - Accent2 2 2 3 2 2" xfId="11992"/>
    <cellStyle name="40% - Accent2 2 2 3 2 3" xfId="11993"/>
    <cellStyle name="40% - Accent2 2 2 3 3" xfId="11994"/>
    <cellStyle name="40% - Accent2 2 2 3 3 2" xfId="11995"/>
    <cellStyle name="40% - Accent2 2 2 3 3 3" xfId="11996"/>
    <cellStyle name="40% - Accent2 2 2 3 4" xfId="11997"/>
    <cellStyle name="40% - Accent2 2 2 3 5" xfId="11998"/>
    <cellStyle name="40% - Accent2 2 2 4" xfId="11999"/>
    <cellStyle name="40% - Accent2 2 2 4 2" xfId="12000"/>
    <cellStyle name="40% - Accent2 2 2 4 2 2" xfId="12001"/>
    <cellStyle name="40% - Accent2 2 2 4 2 3" xfId="12002"/>
    <cellStyle name="40% - Accent2 2 2 4 3" xfId="12003"/>
    <cellStyle name="40% - Accent2 2 2 4 3 2" xfId="12004"/>
    <cellStyle name="40% - Accent2 2 2 4 3 3" xfId="12005"/>
    <cellStyle name="40% - Accent2 2 2 4 4" xfId="12006"/>
    <cellStyle name="40% - Accent2 2 2 4 5" xfId="12007"/>
    <cellStyle name="40% - Accent2 2 2 5" xfId="12008"/>
    <cellStyle name="40% - Accent2 2 2 5 2" xfId="12009"/>
    <cellStyle name="40% - Accent2 2 2 5 3" xfId="12010"/>
    <cellStyle name="40% - Accent2 2 2 6" xfId="12011"/>
    <cellStyle name="40% - Accent2 2 2 6 2" xfId="12012"/>
    <cellStyle name="40% - Accent2 2 2 6 3" xfId="12013"/>
    <cellStyle name="40% - Accent2 2 2 7" xfId="12014"/>
    <cellStyle name="40% - Accent2 2 2 8" xfId="12015"/>
    <cellStyle name="40% - Accent2 2 2_Volatility" xfId="12016"/>
    <cellStyle name="40% - Accent2 2 3" xfId="12017"/>
    <cellStyle name="40% - Accent2 2 3 2" xfId="12018"/>
    <cellStyle name="40% - Accent2 2 3 2 2" xfId="12019"/>
    <cellStyle name="40% - Accent2 2 3 2 2 2" xfId="12020"/>
    <cellStyle name="40% - Accent2 2 3 2 2 3" xfId="12021"/>
    <cellStyle name="40% - Accent2 2 3 2 3" xfId="12022"/>
    <cellStyle name="40% - Accent2 2 3 2 3 2" xfId="12023"/>
    <cellStyle name="40% - Accent2 2 3 2 3 3" xfId="12024"/>
    <cellStyle name="40% - Accent2 2 3 2 4" xfId="12025"/>
    <cellStyle name="40% - Accent2 2 3 2 5" xfId="12026"/>
    <cellStyle name="40% - Accent2 2 3 3" xfId="12027"/>
    <cellStyle name="40% - Accent2 2 3 3 2" xfId="12028"/>
    <cellStyle name="40% - Accent2 2 3 3 2 2" xfId="12029"/>
    <cellStyle name="40% - Accent2 2 3 3 2 3" xfId="12030"/>
    <cellStyle name="40% - Accent2 2 3 3 3" xfId="12031"/>
    <cellStyle name="40% - Accent2 2 3 3 3 2" xfId="12032"/>
    <cellStyle name="40% - Accent2 2 3 3 3 3" xfId="12033"/>
    <cellStyle name="40% - Accent2 2 3 3 4" xfId="12034"/>
    <cellStyle name="40% - Accent2 2 3 3 5" xfId="12035"/>
    <cellStyle name="40% - Accent2 2 3 4" xfId="12036"/>
    <cellStyle name="40% - Accent2 2 3 4 2" xfId="12037"/>
    <cellStyle name="40% - Accent2 2 3 4 3" xfId="12038"/>
    <cellStyle name="40% - Accent2 2 3 5" xfId="12039"/>
    <cellStyle name="40% - Accent2 2 3 5 2" xfId="12040"/>
    <cellStyle name="40% - Accent2 2 3 5 3" xfId="12041"/>
    <cellStyle name="40% - Accent2 2 3 6" xfId="12042"/>
    <cellStyle name="40% - Accent2 2 3 7" xfId="12043"/>
    <cellStyle name="40% - Accent2 2 3_Volatility" xfId="12044"/>
    <cellStyle name="40% - Accent2 2 4" xfId="12045"/>
    <cellStyle name="40% - Accent2 2 4 2" xfId="12046"/>
    <cellStyle name="40% - Accent2 2 4 2 2" xfId="12047"/>
    <cellStyle name="40% - Accent2 2 4 2 3" xfId="12048"/>
    <cellStyle name="40% - Accent2 2 4 3" xfId="12049"/>
    <cellStyle name="40% - Accent2 2 4 3 2" xfId="12050"/>
    <cellStyle name="40% - Accent2 2 4 3 3" xfId="12051"/>
    <cellStyle name="40% - Accent2 2 4 4" xfId="12052"/>
    <cellStyle name="40% - Accent2 2 4 5" xfId="12053"/>
    <cellStyle name="40% - Accent2 2 5" xfId="12054"/>
    <cellStyle name="40% - Accent2 2 5 2" xfId="12055"/>
    <cellStyle name="40% - Accent2 2 5 2 2" xfId="12056"/>
    <cellStyle name="40% - Accent2 2 5 2 3" xfId="12057"/>
    <cellStyle name="40% - Accent2 2 5 3" xfId="12058"/>
    <cellStyle name="40% - Accent2 2 5 3 2" xfId="12059"/>
    <cellStyle name="40% - Accent2 2 5 3 3" xfId="12060"/>
    <cellStyle name="40% - Accent2 2 5 4" xfId="12061"/>
    <cellStyle name="40% - Accent2 2 5 5" xfId="12062"/>
    <cellStyle name="40% - Accent2 2 6" xfId="12063"/>
    <cellStyle name="40% - Accent2 2 6 2" xfId="12064"/>
    <cellStyle name="40% - Accent2 2 6 3" xfId="12065"/>
    <cellStyle name="40% - Accent2 2 6 4" xfId="12066"/>
    <cellStyle name="40% - Accent2 2 6 5" xfId="12067"/>
    <cellStyle name="40% - Accent2 2 7" xfId="12068"/>
    <cellStyle name="40% - Accent2 2 8" xfId="12069"/>
    <cellStyle name="40% - Accent2 2 9" xfId="12070"/>
    <cellStyle name="40% - Accent2 2_Volatility" xfId="12071"/>
    <cellStyle name="40% - Accent2 3" xfId="12072"/>
    <cellStyle name="40% - Accent2 3 2" xfId="12073"/>
    <cellStyle name="40% - Accent2 3 2 2" xfId="12074"/>
    <cellStyle name="40% - Accent2 3 2 2 2" xfId="12075"/>
    <cellStyle name="40% - Accent2 3 2 2 3" xfId="12076"/>
    <cellStyle name="40% - Accent2 3 2 3" xfId="12077"/>
    <cellStyle name="40% - Accent2 3 2 3 2" xfId="12078"/>
    <cellStyle name="40% - Accent2 3 2 3 3" xfId="12079"/>
    <cellStyle name="40% - Accent2 3 2 4" xfId="12080"/>
    <cellStyle name="40% - Accent2 3 2 4 2" xfId="12081"/>
    <cellStyle name="40% - Accent2 3 2 4 3" xfId="12082"/>
    <cellStyle name="40% - Accent2 3 2 5" xfId="12083"/>
    <cellStyle name="40% - Accent2 3 2 6" xfId="12084"/>
    <cellStyle name="40% - Accent2 3 2_Volatility" xfId="12085"/>
    <cellStyle name="40% - Accent2 3 3" xfId="12086"/>
    <cellStyle name="40% - Accent2 3 3 2" xfId="12087"/>
    <cellStyle name="40% - Accent2 3 3 2 2" xfId="12088"/>
    <cellStyle name="40% - Accent2 3 3 2 3" xfId="12089"/>
    <cellStyle name="40% - Accent2 3 3 3" xfId="12090"/>
    <cellStyle name="40% - Accent2 3 3 3 2" xfId="12091"/>
    <cellStyle name="40% - Accent2 3 3 3 3" xfId="12092"/>
    <cellStyle name="40% - Accent2 3 3 4" xfId="12093"/>
    <cellStyle name="40% - Accent2 3 3 5" xfId="12094"/>
    <cellStyle name="40% - Accent2 3 3_Volatility" xfId="12095"/>
    <cellStyle name="40% - Accent2 3 4" xfId="12096"/>
    <cellStyle name="40% - Accent2 3 4 2" xfId="12097"/>
    <cellStyle name="40% - Accent2 3 4 3" xfId="12098"/>
    <cellStyle name="40% - Accent2 3 5" xfId="12099"/>
    <cellStyle name="40% - Accent2 3 5 2" xfId="12100"/>
    <cellStyle name="40% - Accent2 3 5 3" xfId="12101"/>
    <cellStyle name="40% - Accent2 3 6" xfId="12102"/>
    <cellStyle name="40% - Accent2 3 6 2" xfId="12103"/>
    <cellStyle name="40% - Accent2 3 6 3" xfId="12104"/>
    <cellStyle name="40% - Accent2 3 7" xfId="12105"/>
    <cellStyle name="40% - Accent2 3 8" xfId="12106"/>
    <cellStyle name="40% - Accent2 3_Volatility" xfId="12107"/>
    <cellStyle name="40% - Accent2 4" xfId="12108"/>
    <cellStyle name="40% - Accent2 4 2" xfId="12109"/>
    <cellStyle name="40% - Accent2 4 2 2" xfId="12110"/>
    <cellStyle name="40% - Accent2 4 2 2 2" xfId="12111"/>
    <cellStyle name="40% - Accent2 4 2 2 3" xfId="12112"/>
    <cellStyle name="40% - Accent2 4 2 3" xfId="12113"/>
    <cellStyle name="40% - Accent2 4 2 3 2" xfId="12114"/>
    <cellStyle name="40% - Accent2 4 2 3 3" xfId="12115"/>
    <cellStyle name="40% - Accent2 4 2 4" xfId="12116"/>
    <cellStyle name="40% - Accent2 4 2 4 2" xfId="12117"/>
    <cellStyle name="40% - Accent2 4 2 4 3" xfId="12118"/>
    <cellStyle name="40% - Accent2 4 2 5" xfId="12119"/>
    <cellStyle name="40% - Accent2 4 2 6" xfId="12120"/>
    <cellStyle name="40% - Accent2 4 2_Volatility" xfId="12121"/>
    <cellStyle name="40% - Accent2 4 3" xfId="12122"/>
    <cellStyle name="40% - Accent2 4 3 2" xfId="12123"/>
    <cellStyle name="40% - Accent2 4 3 2 2" xfId="12124"/>
    <cellStyle name="40% - Accent2 4 3 2 3" xfId="12125"/>
    <cellStyle name="40% - Accent2 4 3 3" xfId="12126"/>
    <cellStyle name="40% - Accent2 4 3 3 2" xfId="12127"/>
    <cellStyle name="40% - Accent2 4 3 3 3" xfId="12128"/>
    <cellStyle name="40% - Accent2 4 3 4" xfId="12129"/>
    <cellStyle name="40% - Accent2 4 3 5" xfId="12130"/>
    <cellStyle name="40% - Accent2 4 3_Volatility" xfId="12131"/>
    <cellStyle name="40% - Accent2 4 4" xfId="12132"/>
    <cellStyle name="40% - Accent2 4 4 2" xfId="12133"/>
    <cellStyle name="40% - Accent2 4 4 3" xfId="12134"/>
    <cellStyle name="40% - Accent2 4 5" xfId="12135"/>
    <cellStyle name="40% - Accent2 4 5 2" xfId="12136"/>
    <cellStyle name="40% - Accent2 4 5 3" xfId="12137"/>
    <cellStyle name="40% - Accent2 4 6" xfId="12138"/>
    <cellStyle name="40% - Accent2 4 6 2" xfId="12139"/>
    <cellStyle name="40% - Accent2 4 6 3" xfId="12140"/>
    <cellStyle name="40% - Accent2 4 7" xfId="12141"/>
    <cellStyle name="40% - Accent2 4 8" xfId="12142"/>
    <cellStyle name="40% - Accent2 4_Volatility" xfId="12143"/>
    <cellStyle name="40% - Accent2 5" xfId="12144"/>
    <cellStyle name="40% - Accent2 5 2" xfId="12145"/>
    <cellStyle name="40% - Accent2 5 2 2" xfId="12146"/>
    <cellStyle name="40% - Accent2 5 2 2 2" xfId="12147"/>
    <cellStyle name="40% - Accent2 5 2 2 3" xfId="12148"/>
    <cellStyle name="40% - Accent2 5 2 3" xfId="12149"/>
    <cellStyle name="40% - Accent2 5 2 3 2" xfId="12150"/>
    <cellStyle name="40% - Accent2 5 2 3 3" xfId="12151"/>
    <cellStyle name="40% - Accent2 5 2 4" xfId="12152"/>
    <cellStyle name="40% - Accent2 5 2 4 2" xfId="12153"/>
    <cellStyle name="40% - Accent2 5 2 4 3" xfId="12154"/>
    <cellStyle name="40% - Accent2 5 2 5" xfId="12155"/>
    <cellStyle name="40% - Accent2 5 2 6" xfId="12156"/>
    <cellStyle name="40% - Accent2 5 2_Volatility" xfId="12157"/>
    <cellStyle name="40% - Accent2 5 3" xfId="12158"/>
    <cellStyle name="40% - Accent2 5 3 2" xfId="12159"/>
    <cellStyle name="40% - Accent2 5 3 2 2" xfId="12160"/>
    <cellStyle name="40% - Accent2 5 3 2 3" xfId="12161"/>
    <cellStyle name="40% - Accent2 5 3 3" xfId="12162"/>
    <cellStyle name="40% - Accent2 5 3 3 2" xfId="12163"/>
    <cellStyle name="40% - Accent2 5 3 3 3" xfId="12164"/>
    <cellStyle name="40% - Accent2 5 3 4" xfId="12165"/>
    <cellStyle name="40% - Accent2 5 3 5" xfId="12166"/>
    <cellStyle name="40% - Accent2 5 3_Volatility" xfId="12167"/>
    <cellStyle name="40% - Accent2 5 4" xfId="12168"/>
    <cellStyle name="40% - Accent2 5 4 2" xfId="12169"/>
    <cellStyle name="40% - Accent2 5 4 3" xfId="12170"/>
    <cellStyle name="40% - Accent2 5 5" xfId="12171"/>
    <cellStyle name="40% - Accent2 5 5 2" xfId="12172"/>
    <cellStyle name="40% - Accent2 5 5 3" xfId="12173"/>
    <cellStyle name="40% - Accent2 5 6" xfId="12174"/>
    <cellStyle name="40% - Accent2 5 6 2" xfId="12175"/>
    <cellStyle name="40% - Accent2 5 6 3" xfId="12176"/>
    <cellStyle name="40% - Accent2 5 7" xfId="12177"/>
    <cellStyle name="40% - Accent2 5 8" xfId="12178"/>
    <cellStyle name="40% - Accent2 5_Volatility" xfId="12179"/>
    <cellStyle name="40% - Accent2 6" xfId="12180"/>
    <cellStyle name="40% - Accent2 6 2" xfId="12181"/>
    <cellStyle name="40% - Accent2 6 2 2" xfId="12182"/>
    <cellStyle name="40% - Accent2 6 2 2 2" xfId="12183"/>
    <cellStyle name="40% - Accent2 6 2 2 3" xfId="12184"/>
    <cellStyle name="40% - Accent2 6 2 3" xfId="12185"/>
    <cellStyle name="40% - Accent2 6 2 3 2" xfId="12186"/>
    <cellStyle name="40% - Accent2 6 2 3 3" xfId="12187"/>
    <cellStyle name="40% - Accent2 6 2 4" xfId="12188"/>
    <cellStyle name="40% - Accent2 6 2 4 2" xfId="12189"/>
    <cellStyle name="40% - Accent2 6 2 4 3" xfId="12190"/>
    <cellStyle name="40% - Accent2 6 2 5" xfId="12191"/>
    <cellStyle name="40% - Accent2 6 2 6" xfId="12192"/>
    <cellStyle name="40% - Accent2 6 2_Volatility" xfId="12193"/>
    <cellStyle name="40% - Accent2 6 3" xfId="12194"/>
    <cellStyle name="40% - Accent2 6 3 2" xfId="12195"/>
    <cellStyle name="40% - Accent2 6 3 2 2" xfId="12196"/>
    <cellStyle name="40% - Accent2 6 3 2 3" xfId="12197"/>
    <cellStyle name="40% - Accent2 6 3 3" xfId="12198"/>
    <cellStyle name="40% - Accent2 6 3 3 2" xfId="12199"/>
    <cellStyle name="40% - Accent2 6 3 3 3" xfId="12200"/>
    <cellStyle name="40% - Accent2 6 3 4" xfId="12201"/>
    <cellStyle name="40% - Accent2 6 3 5" xfId="12202"/>
    <cellStyle name="40% - Accent2 6 3_Volatility" xfId="12203"/>
    <cellStyle name="40% - Accent2 6 4" xfId="12204"/>
    <cellStyle name="40% - Accent2 6 4 2" xfId="12205"/>
    <cellStyle name="40% - Accent2 6 4 3" xfId="12206"/>
    <cellStyle name="40% - Accent2 6 5" xfId="12207"/>
    <cellStyle name="40% - Accent2 6 5 2" xfId="12208"/>
    <cellStyle name="40% - Accent2 6 5 3" xfId="12209"/>
    <cellStyle name="40% - Accent2 6 6" xfId="12210"/>
    <cellStyle name="40% - Accent2 6 6 2" xfId="12211"/>
    <cellStyle name="40% - Accent2 6 6 3" xfId="12212"/>
    <cellStyle name="40% - Accent2 6 7" xfId="12213"/>
    <cellStyle name="40% - Accent2 6 8" xfId="12214"/>
    <cellStyle name="40% - Accent2 6_Volatility" xfId="12215"/>
    <cellStyle name="40% - Accent2 7" xfId="12216"/>
    <cellStyle name="40% - Accent2 7 2" xfId="12217"/>
    <cellStyle name="40% - Accent2 7 2 2" xfId="12218"/>
    <cellStyle name="40% - Accent2 7 2 2 2" xfId="12219"/>
    <cellStyle name="40% - Accent2 7 2 2 3" xfId="12220"/>
    <cellStyle name="40% - Accent2 7 2 3" xfId="12221"/>
    <cellStyle name="40% - Accent2 7 2 3 2" xfId="12222"/>
    <cellStyle name="40% - Accent2 7 2 3 3" xfId="12223"/>
    <cellStyle name="40% - Accent2 7 2 4" xfId="12224"/>
    <cellStyle name="40% - Accent2 7 2 4 2" xfId="12225"/>
    <cellStyle name="40% - Accent2 7 2 4 3" xfId="12226"/>
    <cellStyle name="40% - Accent2 7 2 5" xfId="12227"/>
    <cellStyle name="40% - Accent2 7 2 6" xfId="12228"/>
    <cellStyle name="40% - Accent2 7 2_Volatility" xfId="12229"/>
    <cellStyle name="40% - Accent2 7 3" xfId="12230"/>
    <cellStyle name="40% - Accent2 7 3 2" xfId="12231"/>
    <cellStyle name="40% - Accent2 7 3 2 2" xfId="12232"/>
    <cellStyle name="40% - Accent2 7 3 2 3" xfId="12233"/>
    <cellStyle name="40% - Accent2 7 3 3" xfId="12234"/>
    <cellStyle name="40% - Accent2 7 3 3 2" xfId="12235"/>
    <cellStyle name="40% - Accent2 7 3 3 3" xfId="12236"/>
    <cellStyle name="40% - Accent2 7 3 4" xfId="12237"/>
    <cellStyle name="40% - Accent2 7 3 5" xfId="12238"/>
    <cellStyle name="40% - Accent2 7 3_Volatility" xfId="12239"/>
    <cellStyle name="40% - Accent2 7 4" xfId="12240"/>
    <cellStyle name="40% - Accent2 7 4 2" xfId="12241"/>
    <cellStyle name="40% - Accent2 7 4 3" xfId="12242"/>
    <cellStyle name="40% - Accent2 7 5" xfId="12243"/>
    <cellStyle name="40% - Accent2 7 5 2" xfId="12244"/>
    <cellStyle name="40% - Accent2 7 5 3" xfId="12245"/>
    <cellStyle name="40% - Accent2 7 6" xfId="12246"/>
    <cellStyle name="40% - Accent2 7 6 2" xfId="12247"/>
    <cellStyle name="40% - Accent2 7 6 3" xfId="12248"/>
    <cellStyle name="40% - Accent2 7 7" xfId="12249"/>
    <cellStyle name="40% - Accent2 7 8" xfId="12250"/>
    <cellStyle name="40% - Accent2 7_Volatility" xfId="12251"/>
    <cellStyle name="40% - Accent2 8" xfId="12252"/>
    <cellStyle name="40% - Accent2 8 2" xfId="12253"/>
    <cellStyle name="40% - Accent2 8 2 2" xfId="12254"/>
    <cellStyle name="40% - Accent2 8 2 2 2" xfId="12255"/>
    <cellStyle name="40% - Accent2 8 2 2 3" xfId="12256"/>
    <cellStyle name="40% - Accent2 8 2 3" xfId="12257"/>
    <cellStyle name="40% - Accent2 8 2 3 2" xfId="12258"/>
    <cellStyle name="40% - Accent2 8 2 3 3" xfId="12259"/>
    <cellStyle name="40% - Accent2 8 2 4" xfId="12260"/>
    <cellStyle name="40% - Accent2 8 2 4 2" xfId="12261"/>
    <cellStyle name="40% - Accent2 8 2 4 3" xfId="12262"/>
    <cellStyle name="40% - Accent2 8 2 5" xfId="12263"/>
    <cellStyle name="40% - Accent2 8 2 6" xfId="12264"/>
    <cellStyle name="40% - Accent2 8 2_Volatility" xfId="12265"/>
    <cellStyle name="40% - Accent2 8 3" xfId="12266"/>
    <cellStyle name="40% - Accent2 8 3 2" xfId="12267"/>
    <cellStyle name="40% - Accent2 8 3 2 2" xfId="12268"/>
    <cellStyle name="40% - Accent2 8 3 2 3" xfId="12269"/>
    <cellStyle name="40% - Accent2 8 3 3" xfId="12270"/>
    <cellStyle name="40% - Accent2 8 3 3 2" xfId="12271"/>
    <cellStyle name="40% - Accent2 8 3 3 3" xfId="12272"/>
    <cellStyle name="40% - Accent2 8 3 4" xfId="12273"/>
    <cellStyle name="40% - Accent2 8 3 5" xfId="12274"/>
    <cellStyle name="40% - Accent2 8 3_Volatility" xfId="12275"/>
    <cellStyle name="40% - Accent2 8 4" xfId="12276"/>
    <cellStyle name="40% - Accent2 8 4 2" xfId="12277"/>
    <cellStyle name="40% - Accent2 8 4 3" xfId="12278"/>
    <cellStyle name="40% - Accent2 8 5" xfId="12279"/>
    <cellStyle name="40% - Accent2 8 5 2" xfId="12280"/>
    <cellStyle name="40% - Accent2 8 5 3" xfId="12281"/>
    <cellStyle name="40% - Accent2 8 6" xfId="12282"/>
    <cellStyle name="40% - Accent2 8 6 2" xfId="12283"/>
    <cellStyle name="40% - Accent2 8 6 3" xfId="12284"/>
    <cellStyle name="40% - Accent2 8 7" xfId="12285"/>
    <cellStyle name="40% - Accent2 8 8" xfId="12286"/>
    <cellStyle name="40% - Accent2 8_Volatility" xfId="12287"/>
    <cellStyle name="40% - Accent2 9" xfId="12288"/>
    <cellStyle name="40% - Accent2 9 2" xfId="12289"/>
    <cellStyle name="40% - Accent2 9 2 2" xfId="12290"/>
    <cellStyle name="40% - Accent2 9 2 2 2" xfId="12291"/>
    <cellStyle name="40% - Accent2 9 2 2 3" xfId="12292"/>
    <cellStyle name="40% - Accent2 9 2 3" xfId="12293"/>
    <cellStyle name="40% - Accent2 9 2 3 2" xfId="12294"/>
    <cellStyle name="40% - Accent2 9 2 3 3" xfId="12295"/>
    <cellStyle name="40% - Accent2 9 2 4" xfId="12296"/>
    <cellStyle name="40% - Accent2 9 2 4 2" xfId="12297"/>
    <cellStyle name="40% - Accent2 9 2 4 3" xfId="12298"/>
    <cellStyle name="40% - Accent2 9 2 5" xfId="12299"/>
    <cellStyle name="40% - Accent2 9 2 6" xfId="12300"/>
    <cellStyle name="40% - Accent2 9 2_Volatility" xfId="12301"/>
    <cellStyle name="40% - Accent2 9 3" xfId="12302"/>
    <cellStyle name="40% - Accent2 9 3 2" xfId="12303"/>
    <cellStyle name="40% - Accent2 9 3 2 2" xfId="12304"/>
    <cellStyle name="40% - Accent2 9 3 2 3" xfId="12305"/>
    <cellStyle name="40% - Accent2 9 3 3" xfId="12306"/>
    <cellStyle name="40% - Accent2 9 3 3 2" xfId="12307"/>
    <cellStyle name="40% - Accent2 9 3 3 3" xfId="12308"/>
    <cellStyle name="40% - Accent2 9 3 4" xfId="12309"/>
    <cellStyle name="40% - Accent2 9 3 5" xfId="12310"/>
    <cellStyle name="40% - Accent2 9 3_Volatility" xfId="12311"/>
    <cellStyle name="40% - Accent2 9 4" xfId="12312"/>
    <cellStyle name="40% - Accent2 9 4 2" xfId="12313"/>
    <cellStyle name="40% - Accent2 9 4 3" xfId="12314"/>
    <cellStyle name="40% - Accent2 9 5" xfId="12315"/>
    <cellStyle name="40% - Accent2 9 5 2" xfId="12316"/>
    <cellStyle name="40% - Accent2 9 5 3" xfId="12317"/>
    <cellStyle name="40% - Accent2 9 6" xfId="12318"/>
    <cellStyle name="40% - Accent2 9 6 2" xfId="12319"/>
    <cellStyle name="40% - Accent2 9 6 3" xfId="12320"/>
    <cellStyle name="40% - Accent2 9 7" xfId="12321"/>
    <cellStyle name="40% - Accent2 9 8" xfId="12322"/>
    <cellStyle name="40% - Accent2 9_Volatility" xfId="12323"/>
    <cellStyle name="40% - Accent3" xfId="29" builtinId="39" customBuiltin="1"/>
    <cellStyle name="40% - Accent3 10" xfId="12324"/>
    <cellStyle name="40% - Accent3 10 2" xfId="12325"/>
    <cellStyle name="40% - Accent3 10 2 2" xfId="12326"/>
    <cellStyle name="40% - Accent3 10 2 2 2" xfId="12327"/>
    <cellStyle name="40% - Accent3 10 2 2 3" xfId="12328"/>
    <cellStyle name="40% - Accent3 10 2 3" xfId="12329"/>
    <cellStyle name="40% - Accent3 10 2 3 2" xfId="12330"/>
    <cellStyle name="40% - Accent3 10 2 3 3" xfId="12331"/>
    <cellStyle name="40% - Accent3 10 2 4" xfId="12332"/>
    <cellStyle name="40% - Accent3 10 2 4 2" xfId="12333"/>
    <cellStyle name="40% - Accent3 10 2 4 3" xfId="12334"/>
    <cellStyle name="40% - Accent3 10 2 5" xfId="12335"/>
    <cellStyle name="40% - Accent3 10 2 6" xfId="12336"/>
    <cellStyle name="40% - Accent3 10 2_Volatility" xfId="12337"/>
    <cellStyle name="40% - Accent3 10 3" xfId="12338"/>
    <cellStyle name="40% - Accent3 10 3 2" xfId="12339"/>
    <cellStyle name="40% - Accent3 10 3 2 2" xfId="12340"/>
    <cellStyle name="40% - Accent3 10 3 2 3" xfId="12341"/>
    <cellStyle name="40% - Accent3 10 3 3" xfId="12342"/>
    <cellStyle name="40% - Accent3 10 3 3 2" xfId="12343"/>
    <cellStyle name="40% - Accent3 10 3 3 3" xfId="12344"/>
    <cellStyle name="40% - Accent3 10 3 4" xfId="12345"/>
    <cellStyle name="40% - Accent3 10 3 5" xfId="12346"/>
    <cellStyle name="40% - Accent3 10 3_Volatility" xfId="12347"/>
    <cellStyle name="40% - Accent3 10 4" xfId="12348"/>
    <cellStyle name="40% - Accent3 10 4 2" xfId="12349"/>
    <cellStyle name="40% - Accent3 10 4 3" xfId="12350"/>
    <cellStyle name="40% - Accent3 10 5" xfId="12351"/>
    <cellStyle name="40% - Accent3 10 5 2" xfId="12352"/>
    <cellStyle name="40% - Accent3 10 5 3" xfId="12353"/>
    <cellStyle name="40% - Accent3 10 6" xfId="12354"/>
    <cellStyle name="40% - Accent3 10 6 2" xfId="12355"/>
    <cellStyle name="40% - Accent3 10 6 3" xfId="12356"/>
    <cellStyle name="40% - Accent3 10 7" xfId="12357"/>
    <cellStyle name="40% - Accent3 10 8" xfId="12358"/>
    <cellStyle name="40% - Accent3 10_Volatility" xfId="12359"/>
    <cellStyle name="40% - Accent3 11" xfId="12360"/>
    <cellStyle name="40% - Accent3 11 2" xfId="12361"/>
    <cellStyle name="40% - Accent3 11 2 2" xfId="12362"/>
    <cellStyle name="40% - Accent3 11 2 2 2" xfId="12363"/>
    <cellStyle name="40% - Accent3 11 2 2 3" xfId="12364"/>
    <cellStyle name="40% - Accent3 11 2 3" xfId="12365"/>
    <cellStyle name="40% - Accent3 11 2 3 2" xfId="12366"/>
    <cellStyle name="40% - Accent3 11 2 3 3" xfId="12367"/>
    <cellStyle name="40% - Accent3 11 2 4" xfId="12368"/>
    <cellStyle name="40% - Accent3 11 2 4 2" xfId="12369"/>
    <cellStyle name="40% - Accent3 11 2 4 3" xfId="12370"/>
    <cellStyle name="40% - Accent3 11 2 5" xfId="12371"/>
    <cellStyle name="40% - Accent3 11 2 6" xfId="12372"/>
    <cellStyle name="40% - Accent3 11 2_Volatility" xfId="12373"/>
    <cellStyle name="40% - Accent3 11 3" xfId="12374"/>
    <cellStyle name="40% - Accent3 11 3 2" xfId="12375"/>
    <cellStyle name="40% - Accent3 11 3 2 2" xfId="12376"/>
    <cellStyle name="40% - Accent3 11 3 2 3" xfId="12377"/>
    <cellStyle name="40% - Accent3 11 3 3" xfId="12378"/>
    <cellStyle name="40% - Accent3 11 3 3 2" xfId="12379"/>
    <cellStyle name="40% - Accent3 11 3 3 3" xfId="12380"/>
    <cellStyle name="40% - Accent3 11 3 4" xfId="12381"/>
    <cellStyle name="40% - Accent3 11 3 5" xfId="12382"/>
    <cellStyle name="40% - Accent3 11 3_Volatility" xfId="12383"/>
    <cellStyle name="40% - Accent3 11 4" xfId="12384"/>
    <cellStyle name="40% - Accent3 11 4 2" xfId="12385"/>
    <cellStyle name="40% - Accent3 11 4 3" xfId="12386"/>
    <cellStyle name="40% - Accent3 11 5" xfId="12387"/>
    <cellStyle name="40% - Accent3 11 5 2" xfId="12388"/>
    <cellStyle name="40% - Accent3 11 5 3" xfId="12389"/>
    <cellStyle name="40% - Accent3 11 6" xfId="12390"/>
    <cellStyle name="40% - Accent3 11 6 2" xfId="12391"/>
    <cellStyle name="40% - Accent3 11 6 3" xfId="12392"/>
    <cellStyle name="40% - Accent3 11 7" xfId="12393"/>
    <cellStyle name="40% - Accent3 11 8" xfId="12394"/>
    <cellStyle name="40% - Accent3 11_Volatility" xfId="12395"/>
    <cellStyle name="40% - Accent3 12" xfId="12396"/>
    <cellStyle name="40% - Accent3 12 2" xfId="12397"/>
    <cellStyle name="40% - Accent3 12 2 2" xfId="12398"/>
    <cellStyle name="40% - Accent3 12 2 2 2" xfId="12399"/>
    <cellStyle name="40% - Accent3 12 2 2 3" xfId="12400"/>
    <cellStyle name="40% - Accent3 12 2 3" xfId="12401"/>
    <cellStyle name="40% - Accent3 12 2 3 2" xfId="12402"/>
    <cellStyle name="40% - Accent3 12 2 3 3" xfId="12403"/>
    <cellStyle name="40% - Accent3 12 2 4" xfId="12404"/>
    <cellStyle name="40% - Accent3 12 2 4 2" xfId="12405"/>
    <cellStyle name="40% - Accent3 12 2 4 3" xfId="12406"/>
    <cellStyle name="40% - Accent3 12 2 5" xfId="12407"/>
    <cellStyle name="40% - Accent3 12 2 6" xfId="12408"/>
    <cellStyle name="40% - Accent3 12 2_Volatility" xfId="12409"/>
    <cellStyle name="40% - Accent3 12 3" xfId="12410"/>
    <cellStyle name="40% - Accent3 12 3 2" xfId="12411"/>
    <cellStyle name="40% - Accent3 12 3 2 2" xfId="12412"/>
    <cellStyle name="40% - Accent3 12 3 2 3" xfId="12413"/>
    <cellStyle name="40% - Accent3 12 3 3" xfId="12414"/>
    <cellStyle name="40% - Accent3 12 3 3 2" xfId="12415"/>
    <cellStyle name="40% - Accent3 12 3 3 3" xfId="12416"/>
    <cellStyle name="40% - Accent3 12 3 4" xfId="12417"/>
    <cellStyle name="40% - Accent3 12 3 5" xfId="12418"/>
    <cellStyle name="40% - Accent3 12 3_Volatility" xfId="12419"/>
    <cellStyle name="40% - Accent3 12 4" xfId="12420"/>
    <cellStyle name="40% - Accent3 12 4 2" xfId="12421"/>
    <cellStyle name="40% - Accent3 12 4 3" xfId="12422"/>
    <cellStyle name="40% - Accent3 12 5" xfId="12423"/>
    <cellStyle name="40% - Accent3 12 5 2" xfId="12424"/>
    <cellStyle name="40% - Accent3 12 5 3" xfId="12425"/>
    <cellStyle name="40% - Accent3 12 6" xfId="12426"/>
    <cellStyle name="40% - Accent3 12 6 2" xfId="12427"/>
    <cellStyle name="40% - Accent3 12 6 3" xfId="12428"/>
    <cellStyle name="40% - Accent3 12 7" xfId="12429"/>
    <cellStyle name="40% - Accent3 12 8" xfId="12430"/>
    <cellStyle name="40% - Accent3 12_Volatility" xfId="12431"/>
    <cellStyle name="40% - Accent3 13" xfId="12432"/>
    <cellStyle name="40% - Accent3 13 2" xfId="12433"/>
    <cellStyle name="40% - Accent3 13 2 2" xfId="12434"/>
    <cellStyle name="40% - Accent3 13 2 2 2" xfId="12435"/>
    <cellStyle name="40% - Accent3 13 2 2 3" xfId="12436"/>
    <cellStyle name="40% - Accent3 13 2 3" xfId="12437"/>
    <cellStyle name="40% - Accent3 13 2 3 2" xfId="12438"/>
    <cellStyle name="40% - Accent3 13 2 3 3" xfId="12439"/>
    <cellStyle name="40% - Accent3 13 2 4" xfId="12440"/>
    <cellStyle name="40% - Accent3 13 2 4 2" xfId="12441"/>
    <cellStyle name="40% - Accent3 13 2 4 3" xfId="12442"/>
    <cellStyle name="40% - Accent3 13 2 5" xfId="12443"/>
    <cellStyle name="40% - Accent3 13 2 6" xfId="12444"/>
    <cellStyle name="40% - Accent3 13 2_Volatility" xfId="12445"/>
    <cellStyle name="40% - Accent3 13 3" xfId="12446"/>
    <cellStyle name="40% - Accent3 13 3 2" xfId="12447"/>
    <cellStyle name="40% - Accent3 13 3 2 2" xfId="12448"/>
    <cellStyle name="40% - Accent3 13 3 2 3" xfId="12449"/>
    <cellStyle name="40% - Accent3 13 3 3" xfId="12450"/>
    <cellStyle name="40% - Accent3 13 3 3 2" xfId="12451"/>
    <cellStyle name="40% - Accent3 13 3 3 3" xfId="12452"/>
    <cellStyle name="40% - Accent3 13 3 4" xfId="12453"/>
    <cellStyle name="40% - Accent3 13 3 5" xfId="12454"/>
    <cellStyle name="40% - Accent3 13 3_Volatility" xfId="12455"/>
    <cellStyle name="40% - Accent3 13 4" xfId="12456"/>
    <cellStyle name="40% - Accent3 13 4 2" xfId="12457"/>
    <cellStyle name="40% - Accent3 13 4 3" xfId="12458"/>
    <cellStyle name="40% - Accent3 13 5" xfId="12459"/>
    <cellStyle name="40% - Accent3 13 5 2" xfId="12460"/>
    <cellStyle name="40% - Accent3 13 5 3" xfId="12461"/>
    <cellStyle name="40% - Accent3 13 6" xfId="12462"/>
    <cellStyle name="40% - Accent3 13 6 2" xfId="12463"/>
    <cellStyle name="40% - Accent3 13 6 3" xfId="12464"/>
    <cellStyle name="40% - Accent3 13 7" xfId="12465"/>
    <cellStyle name="40% - Accent3 13 8" xfId="12466"/>
    <cellStyle name="40% - Accent3 13_Volatility" xfId="12467"/>
    <cellStyle name="40% - Accent3 14" xfId="12468"/>
    <cellStyle name="40% - Accent3 14 2" xfId="12469"/>
    <cellStyle name="40% - Accent3 14 2 2" xfId="12470"/>
    <cellStyle name="40% - Accent3 14 2 2 2" xfId="12471"/>
    <cellStyle name="40% - Accent3 14 2 2 3" xfId="12472"/>
    <cellStyle name="40% - Accent3 14 2 3" xfId="12473"/>
    <cellStyle name="40% - Accent3 14 2 3 2" xfId="12474"/>
    <cellStyle name="40% - Accent3 14 2 3 3" xfId="12475"/>
    <cellStyle name="40% - Accent3 14 2 4" xfId="12476"/>
    <cellStyle name="40% - Accent3 14 2 4 2" xfId="12477"/>
    <cellStyle name="40% - Accent3 14 2 4 3" xfId="12478"/>
    <cellStyle name="40% - Accent3 14 2 5" xfId="12479"/>
    <cellStyle name="40% - Accent3 14 2 6" xfId="12480"/>
    <cellStyle name="40% - Accent3 14 2_Volatility" xfId="12481"/>
    <cellStyle name="40% - Accent3 14 3" xfId="12482"/>
    <cellStyle name="40% - Accent3 14 3 2" xfId="12483"/>
    <cellStyle name="40% - Accent3 14 3 2 2" xfId="12484"/>
    <cellStyle name="40% - Accent3 14 3 2 3" xfId="12485"/>
    <cellStyle name="40% - Accent3 14 3 3" xfId="12486"/>
    <cellStyle name="40% - Accent3 14 3 3 2" xfId="12487"/>
    <cellStyle name="40% - Accent3 14 3 3 3" xfId="12488"/>
    <cellStyle name="40% - Accent3 14 3 4" xfId="12489"/>
    <cellStyle name="40% - Accent3 14 3 5" xfId="12490"/>
    <cellStyle name="40% - Accent3 14 3_Volatility" xfId="12491"/>
    <cellStyle name="40% - Accent3 14 4" xfId="12492"/>
    <cellStyle name="40% - Accent3 14 4 2" xfId="12493"/>
    <cellStyle name="40% - Accent3 14 4 3" xfId="12494"/>
    <cellStyle name="40% - Accent3 14 5" xfId="12495"/>
    <cellStyle name="40% - Accent3 14 5 2" xfId="12496"/>
    <cellStyle name="40% - Accent3 14 5 3" xfId="12497"/>
    <cellStyle name="40% - Accent3 14 6" xfId="12498"/>
    <cellStyle name="40% - Accent3 14 6 2" xfId="12499"/>
    <cellStyle name="40% - Accent3 14 6 3" xfId="12500"/>
    <cellStyle name="40% - Accent3 14 7" xfId="12501"/>
    <cellStyle name="40% - Accent3 14 8" xfId="12502"/>
    <cellStyle name="40% - Accent3 14_Volatility" xfId="12503"/>
    <cellStyle name="40% - Accent3 15" xfId="12504"/>
    <cellStyle name="40% - Accent3 15 2" xfId="12505"/>
    <cellStyle name="40% - Accent3 15 2 2" xfId="12506"/>
    <cellStyle name="40% - Accent3 15 2 2 2" xfId="12507"/>
    <cellStyle name="40% - Accent3 15 2 2 3" xfId="12508"/>
    <cellStyle name="40% - Accent3 15 2 3" xfId="12509"/>
    <cellStyle name="40% - Accent3 15 2 3 2" xfId="12510"/>
    <cellStyle name="40% - Accent3 15 2 3 3" xfId="12511"/>
    <cellStyle name="40% - Accent3 15 2 4" xfId="12512"/>
    <cellStyle name="40% - Accent3 15 2 4 2" xfId="12513"/>
    <cellStyle name="40% - Accent3 15 2 4 3" xfId="12514"/>
    <cellStyle name="40% - Accent3 15 2 5" xfId="12515"/>
    <cellStyle name="40% - Accent3 15 2 6" xfId="12516"/>
    <cellStyle name="40% - Accent3 15 2_Volatility" xfId="12517"/>
    <cellStyle name="40% - Accent3 15 3" xfId="12518"/>
    <cellStyle name="40% - Accent3 15 3 2" xfId="12519"/>
    <cellStyle name="40% - Accent3 15 3 2 2" xfId="12520"/>
    <cellStyle name="40% - Accent3 15 3 2 3" xfId="12521"/>
    <cellStyle name="40% - Accent3 15 3 3" xfId="12522"/>
    <cellStyle name="40% - Accent3 15 3 3 2" xfId="12523"/>
    <cellStyle name="40% - Accent3 15 3 3 3" xfId="12524"/>
    <cellStyle name="40% - Accent3 15 3 4" xfId="12525"/>
    <cellStyle name="40% - Accent3 15 3 5" xfId="12526"/>
    <cellStyle name="40% - Accent3 15 3_Volatility" xfId="12527"/>
    <cellStyle name="40% - Accent3 15 4" xfId="12528"/>
    <cellStyle name="40% - Accent3 15 4 2" xfId="12529"/>
    <cellStyle name="40% - Accent3 15 4 3" xfId="12530"/>
    <cellStyle name="40% - Accent3 15 5" xfId="12531"/>
    <cellStyle name="40% - Accent3 15 5 2" xfId="12532"/>
    <cellStyle name="40% - Accent3 15 5 3" xfId="12533"/>
    <cellStyle name="40% - Accent3 15 6" xfId="12534"/>
    <cellStyle name="40% - Accent3 15 6 2" xfId="12535"/>
    <cellStyle name="40% - Accent3 15 6 3" xfId="12536"/>
    <cellStyle name="40% - Accent3 15 7" xfId="12537"/>
    <cellStyle name="40% - Accent3 15 8" xfId="12538"/>
    <cellStyle name="40% - Accent3 15_Volatility" xfId="12539"/>
    <cellStyle name="40% - Accent3 16" xfId="12540"/>
    <cellStyle name="40% - Accent3 16 2" xfId="12541"/>
    <cellStyle name="40% - Accent3 16 3" xfId="12542"/>
    <cellStyle name="40% - Accent3 17" xfId="12543"/>
    <cellStyle name="40% - Accent3 17 2" xfId="12544"/>
    <cellStyle name="40% - Accent3 17 3" xfId="12545"/>
    <cellStyle name="40% - Accent3 18" xfId="12546"/>
    <cellStyle name="40% - Accent3 18 2" xfId="12547"/>
    <cellStyle name="40% - Accent3 18 3" xfId="12548"/>
    <cellStyle name="40% - Accent3 19" xfId="12549"/>
    <cellStyle name="40% - Accent3 19 2" xfId="12550"/>
    <cellStyle name="40% - Accent3 19 3" xfId="12551"/>
    <cellStyle name="40% - Accent3 2" xfId="12552"/>
    <cellStyle name="40% - Accent3 2 2" xfId="12553"/>
    <cellStyle name="40% - Accent3 2 2 2" xfId="12554"/>
    <cellStyle name="40% - Accent3 2 2 2 2" xfId="12555"/>
    <cellStyle name="40% - Accent3 2 2 2 3" xfId="12556"/>
    <cellStyle name="40% - Accent3 2 2 3" xfId="12557"/>
    <cellStyle name="40% - Accent3 2 2 3 2" xfId="12558"/>
    <cellStyle name="40% - Accent3 2 2 3 3" xfId="12559"/>
    <cellStyle name="40% - Accent3 2 2 4" xfId="12560"/>
    <cellStyle name="40% - Accent3 2 2 4 2" xfId="12561"/>
    <cellStyle name="40% - Accent3 2 2 4 3" xfId="12562"/>
    <cellStyle name="40% - Accent3 2 2 5" xfId="12563"/>
    <cellStyle name="40% - Accent3 2 2 6" xfId="12564"/>
    <cellStyle name="40% - Accent3 2 2_Volatility" xfId="12565"/>
    <cellStyle name="40% - Accent3 2 3" xfId="12566"/>
    <cellStyle name="40% - Accent3 2 3 2" xfId="12567"/>
    <cellStyle name="40% - Accent3 2 3 2 2" xfId="12568"/>
    <cellStyle name="40% - Accent3 2 3 2 3" xfId="12569"/>
    <cellStyle name="40% - Accent3 2 3 3" xfId="12570"/>
    <cellStyle name="40% - Accent3 2 3 3 2" xfId="12571"/>
    <cellStyle name="40% - Accent3 2 3 3 3" xfId="12572"/>
    <cellStyle name="40% - Accent3 2 3 4" xfId="12573"/>
    <cellStyle name="40% - Accent3 2 3 5" xfId="12574"/>
    <cellStyle name="40% - Accent3 2 3_Volatility" xfId="12575"/>
    <cellStyle name="40% - Accent3 2 4" xfId="12576"/>
    <cellStyle name="40% - Accent3 2 4 2" xfId="12577"/>
    <cellStyle name="40% - Accent3 2 4 3" xfId="12578"/>
    <cellStyle name="40% - Accent3 2 5" xfId="12579"/>
    <cellStyle name="40% - Accent3 2 5 2" xfId="12580"/>
    <cellStyle name="40% - Accent3 2 5 3" xfId="12581"/>
    <cellStyle name="40% - Accent3 2 6" xfId="12582"/>
    <cellStyle name="40% - Accent3 2 6 2" xfId="12583"/>
    <cellStyle name="40% - Accent3 2 6 3" xfId="12584"/>
    <cellStyle name="40% - Accent3 2 7" xfId="12585"/>
    <cellStyle name="40% - Accent3 2 8" xfId="12586"/>
    <cellStyle name="40% - Accent3 2_Volatility" xfId="12587"/>
    <cellStyle name="40% - Accent3 3" xfId="12588"/>
    <cellStyle name="40% - Accent3 3 2" xfId="12589"/>
    <cellStyle name="40% - Accent3 3 2 2" xfId="12590"/>
    <cellStyle name="40% - Accent3 3 2 2 2" xfId="12591"/>
    <cellStyle name="40% - Accent3 3 2 2 3" xfId="12592"/>
    <cellStyle name="40% - Accent3 3 2 3" xfId="12593"/>
    <cellStyle name="40% - Accent3 3 2 3 2" xfId="12594"/>
    <cellStyle name="40% - Accent3 3 2 3 3" xfId="12595"/>
    <cellStyle name="40% - Accent3 3 2 4" xfId="12596"/>
    <cellStyle name="40% - Accent3 3 2 4 2" xfId="12597"/>
    <cellStyle name="40% - Accent3 3 2 4 3" xfId="12598"/>
    <cellStyle name="40% - Accent3 3 2 5" xfId="12599"/>
    <cellStyle name="40% - Accent3 3 2 6" xfId="12600"/>
    <cellStyle name="40% - Accent3 3 2_Volatility" xfId="12601"/>
    <cellStyle name="40% - Accent3 3 3" xfId="12602"/>
    <cellStyle name="40% - Accent3 3 3 2" xfId="12603"/>
    <cellStyle name="40% - Accent3 3 3 2 2" xfId="12604"/>
    <cellStyle name="40% - Accent3 3 3 2 3" xfId="12605"/>
    <cellStyle name="40% - Accent3 3 3 3" xfId="12606"/>
    <cellStyle name="40% - Accent3 3 3 3 2" xfId="12607"/>
    <cellStyle name="40% - Accent3 3 3 3 3" xfId="12608"/>
    <cellStyle name="40% - Accent3 3 3 4" xfId="12609"/>
    <cellStyle name="40% - Accent3 3 3 5" xfId="12610"/>
    <cellStyle name="40% - Accent3 3 3_Volatility" xfId="12611"/>
    <cellStyle name="40% - Accent3 3 4" xfId="12612"/>
    <cellStyle name="40% - Accent3 3 4 2" xfId="12613"/>
    <cellStyle name="40% - Accent3 3 4 3" xfId="12614"/>
    <cellStyle name="40% - Accent3 3 5" xfId="12615"/>
    <cellStyle name="40% - Accent3 3 5 2" xfId="12616"/>
    <cellStyle name="40% - Accent3 3 5 3" xfId="12617"/>
    <cellStyle name="40% - Accent3 3 6" xfId="12618"/>
    <cellStyle name="40% - Accent3 3 6 2" xfId="12619"/>
    <cellStyle name="40% - Accent3 3 6 3" xfId="12620"/>
    <cellStyle name="40% - Accent3 3 7" xfId="12621"/>
    <cellStyle name="40% - Accent3 3 8" xfId="12622"/>
    <cellStyle name="40% - Accent3 3_Volatility" xfId="12623"/>
    <cellStyle name="40% - Accent3 4" xfId="12624"/>
    <cellStyle name="40% - Accent3 4 2" xfId="12625"/>
    <cellStyle name="40% - Accent3 4 2 2" xfId="12626"/>
    <cellStyle name="40% - Accent3 4 2 2 2" xfId="12627"/>
    <cellStyle name="40% - Accent3 4 2 2 3" xfId="12628"/>
    <cellStyle name="40% - Accent3 4 2 3" xfId="12629"/>
    <cellStyle name="40% - Accent3 4 2 3 2" xfId="12630"/>
    <cellStyle name="40% - Accent3 4 2 3 3" xfId="12631"/>
    <cellStyle name="40% - Accent3 4 2 4" xfId="12632"/>
    <cellStyle name="40% - Accent3 4 2 4 2" xfId="12633"/>
    <cellStyle name="40% - Accent3 4 2 4 3" xfId="12634"/>
    <cellStyle name="40% - Accent3 4 2 5" xfId="12635"/>
    <cellStyle name="40% - Accent3 4 2 6" xfId="12636"/>
    <cellStyle name="40% - Accent3 4 2_Volatility" xfId="12637"/>
    <cellStyle name="40% - Accent3 4 3" xfId="12638"/>
    <cellStyle name="40% - Accent3 4 3 2" xfId="12639"/>
    <cellStyle name="40% - Accent3 4 3 2 2" xfId="12640"/>
    <cellStyle name="40% - Accent3 4 3 2 3" xfId="12641"/>
    <cellStyle name="40% - Accent3 4 3 3" xfId="12642"/>
    <cellStyle name="40% - Accent3 4 3 3 2" xfId="12643"/>
    <cellStyle name="40% - Accent3 4 3 3 3" xfId="12644"/>
    <cellStyle name="40% - Accent3 4 3 4" xfId="12645"/>
    <cellStyle name="40% - Accent3 4 3 5" xfId="12646"/>
    <cellStyle name="40% - Accent3 4 3_Volatility" xfId="12647"/>
    <cellStyle name="40% - Accent3 4 4" xfId="12648"/>
    <cellStyle name="40% - Accent3 4 4 2" xfId="12649"/>
    <cellStyle name="40% - Accent3 4 4 3" xfId="12650"/>
    <cellStyle name="40% - Accent3 4 5" xfId="12651"/>
    <cellStyle name="40% - Accent3 4 5 2" xfId="12652"/>
    <cellStyle name="40% - Accent3 4 5 3" xfId="12653"/>
    <cellStyle name="40% - Accent3 4 6" xfId="12654"/>
    <cellStyle name="40% - Accent3 4 6 2" xfId="12655"/>
    <cellStyle name="40% - Accent3 4 6 3" xfId="12656"/>
    <cellStyle name="40% - Accent3 4 7" xfId="12657"/>
    <cellStyle name="40% - Accent3 4 8" xfId="12658"/>
    <cellStyle name="40% - Accent3 4_Volatility" xfId="12659"/>
    <cellStyle name="40% - Accent3 5" xfId="12660"/>
    <cellStyle name="40% - Accent3 5 2" xfId="12661"/>
    <cellStyle name="40% - Accent3 5 2 2" xfId="12662"/>
    <cellStyle name="40% - Accent3 5 2 2 2" xfId="12663"/>
    <cellStyle name="40% - Accent3 5 2 2 3" xfId="12664"/>
    <cellStyle name="40% - Accent3 5 2 3" xfId="12665"/>
    <cellStyle name="40% - Accent3 5 2 3 2" xfId="12666"/>
    <cellStyle name="40% - Accent3 5 2 3 3" xfId="12667"/>
    <cellStyle name="40% - Accent3 5 2 4" xfId="12668"/>
    <cellStyle name="40% - Accent3 5 2 4 2" xfId="12669"/>
    <cellStyle name="40% - Accent3 5 2 4 3" xfId="12670"/>
    <cellStyle name="40% - Accent3 5 2 5" xfId="12671"/>
    <cellStyle name="40% - Accent3 5 2 6" xfId="12672"/>
    <cellStyle name="40% - Accent3 5 2_Volatility" xfId="12673"/>
    <cellStyle name="40% - Accent3 5 3" xfId="12674"/>
    <cellStyle name="40% - Accent3 5 3 2" xfId="12675"/>
    <cellStyle name="40% - Accent3 5 3 2 2" xfId="12676"/>
    <cellStyle name="40% - Accent3 5 3 2 3" xfId="12677"/>
    <cellStyle name="40% - Accent3 5 3 3" xfId="12678"/>
    <cellStyle name="40% - Accent3 5 3 3 2" xfId="12679"/>
    <cellStyle name="40% - Accent3 5 3 3 3" xfId="12680"/>
    <cellStyle name="40% - Accent3 5 3 4" xfId="12681"/>
    <cellStyle name="40% - Accent3 5 3 5" xfId="12682"/>
    <cellStyle name="40% - Accent3 5 3_Volatility" xfId="12683"/>
    <cellStyle name="40% - Accent3 5 4" xfId="12684"/>
    <cellStyle name="40% - Accent3 5 4 2" xfId="12685"/>
    <cellStyle name="40% - Accent3 5 4 3" xfId="12686"/>
    <cellStyle name="40% - Accent3 5 5" xfId="12687"/>
    <cellStyle name="40% - Accent3 5 5 2" xfId="12688"/>
    <cellStyle name="40% - Accent3 5 5 3" xfId="12689"/>
    <cellStyle name="40% - Accent3 5 6" xfId="12690"/>
    <cellStyle name="40% - Accent3 5 6 2" xfId="12691"/>
    <cellStyle name="40% - Accent3 5 6 3" xfId="12692"/>
    <cellStyle name="40% - Accent3 5 7" xfId="12693"/>
    <cellStyle name="40% - Accent3 5 8" xfId="12694"/>
    <cellStyle name="40% - Accent3 5_Volatility" xfId="12695"/>
    <cellStyle name="40% - Accent3 6" xfId="12696"/>
    <cellStyle name="40% - Accent3 6 2" xfId="12697"/>
    <cellStyle name="40% - Accent3 6 2 2" xfId="12698"/>
    <cellStyle name="40% - Accent3 6 2 2 2" xfId="12699"/>
    <cellStyle name="40% - Accent3 6 2 2 3" xfId="12700"/>
    <cellStyle name="40% - Accent3 6 2 3" xfId="12701"/>
    <cellStyle name="40% - Accent3 6 2 3 2" xfId="12702"/>
    <cellStyle name="40% - Accent3 6 2 3 3" xfId="12703"/>
    <cellStyle name="40% - Accent3 6 2 4" xfId="12704"/>
    <cellStyle name="40% - Accent3 6 2 4 2" xfId="12705"/>
    <cellStyle name="40% - Accent3 6 2 4 3" xfId="12706"/>
    <cellStyle name="40% - Accent3 6 2 5" xfId="12707"/>
    <cellStyle name="40% - Accent3 6 2 6" xfId="12708"/>
    <cellStyle name="40% - Accent3 6 2_Volatility" xfId="12709"/>
    <cellStyle name="40% - Accent3 6 3" xfId="12710"/>
    <cellStyle name="40% - Accent3 6 3 2" xfId="12711"/>
    <cellStyle name="40% - Accent3 6 3 2 2" xfId="12712"/>
    <cellStyle name="40% - Accent3 6 3 2 3" xfId="12713"/>
    <cellStyle name="40% - Accent3 6 3 3" xfId="12714"/>
    <cellStyle name="40% - Accent3 6 3 3 2" xfId="12715"/>
    <cellStyle name="40% - Accent3 6 3 3 3" xfId="12716"/>
    <cellStyle name="40% - Accent3 6 3 4" xfId="12717"/>
    <cellStyle name="40% - Accent3 6 3 5" xfId="12718"/>
    <cellStyle name="40% - Accent3 6 3_Volatility" xfId="12719"/>
    <cellStyle name="40% - Accent3 6 4" xfId="12720"/>
    <cellStyle name="40% - Accent3 6 4 2" xfId="12721"/>
    <cellStyle name="40% - Accent3 6 4 3" xfId="12722"/>
    <cellStyle name="40% - Accent3 6 5" xfId="12723"/>
    <cellStyle name="40% - Accent3 6 5 2" xfId="12724"/>
    <cellStyle name="40% - Accent3 6 5 3" xfId="12725"/>
    <cellStyle name="40% - Accent3 6 6" xfId="12726"/>
    <cellStyle name="40% - Accent3 6 6 2" xfId="12727"/>
    <cellStyle name="40% - Accent3 6 6 3" xfId="12728"/>
    <cellStyle name="40% - Accent3 6 7" xfId="12729"/>
    <cellStyle name="40% - Accent3 6 8" xfId="12730"/>
    <cellStyle name="40% - Accent3 6_Volatility" xfId="12731"/>
    <cellStyle name="40% - Accent3 7" xfId="12732"/>
    <cellStyle name="40% - Accent3 7 2" xfId="12733"/>
    <cellStyle name="40% - Accent3 7 2 2" xfId="12734"/>
    <cellStyle name="40% - Accent3 7 2 2 2" xfId="12735"/>
    <cellStyle name="40% - Accent3 7 2 2 3" xfId="12736"/>
    <cellStyle name="40% - Accent3 7 2 3" xfId="12737"/>
    <cellStyle name="40% - Accent3 7 2 3 2" xfId="12738"/>
    <cellStyle name="40% - Accent3 7 2 3 3" xfId="12739"/>
    <cellStyle name="40% - Accent3 7 2 4" xfId="12740"/>
    <cellStyle name="40% - Accent3 7 2 4 2" xfId="12741"/>
    <cellStyle name="40% - Accent3 7 2 4 3" xfId="12742"/>
    <cellStyle name="40% - Accent3 7 2 5" xfId="12743"/>
    <cellStyle name="40% - Accent3 7 2 6" xfId="12744"/>
    <cellStyle name="40% - Accent3 7 2_Volatility" xfId="12745"/>
    <cellStyle name="40% - Accent3 7 3" xfId="12746"/>
    <cellStyle name="40% - Accent3 7 3 2" xfId="12747"/>
    <cellStyle name="40% - Accent3 7 3 2 2" xfId="12748"/>
    <cellStyle name="40% - Accent3 7 3 2 3" xfId="12749"/>
    <cellStyle name="40% - Accent3 7 3 3" xfId="12750"/>
    <cellStyle name="40% - Accent3 7 3 3 2" xfId="12751"/>
    <cellStyle name="40% - Accent3 7 3 3 3" xfId="12752"/>
    <cellStyle name="40% - Accent3 7 3 4" xfId="12753"/>
    <cellStyle name="40% - Accent3 7 3 5" xfId="12754"/>
    <cellStyle name="40% - Accent3 7 3_Volatility" xfId="12755"/>
    <cellStyle name="40% - Accent3 7 4" xfId="12756"/>
    <cellStyle name="40% - Accent3 7 4 2" xfId="12757"/>
    <cellStyle name="40% - Accent3 7 4 3" xfId="12758"/>
    <cellStyle name="40% - Accent3 7 5" xfId="12759"/>
    <cellStyle name="40% - Accent3 7 5 2" xfId="12760"/>
    <cellStyle name="40% - Accent3 7 5 3" xfId="12761"/>
    <cellStyle name="40% - Accent3 7 6" xfId="12762"/>
    <cellStyle name="40% - Accent3 7 6 2" xfId="12763"/>
    <cellStyle name="40% - Accent3 7 6 3" xfId="12764"/>
    <cellStyle name="40% - Accent3 7 7" xfId="12765"/>
    <cellStyle name="40% - Accent3 7 8" xfId="12766"/>
    <cellStyle name="40% - Accent3 7_Volatility" xfId="12767"/>
    <cellStyle name="40% - Accent3 8" xfId="12768"/>
    <cellStyle name="40% - Accent3 8 2" xfId="12769"/>
    <cellStyle name="40% - Accent3 8 2 2" xfId="12770"/>
    <cellStyle name="40% - Accent3 8 2 2 2" xfId="12771"/>
    <cellStyle name="40% - Accent3 8 2 2 3" xfId="12772"/>
    <cellStyle name="40% - Accent3 8 2 3" xfId="12773"/>
    <cellStyle name="40% - Accent3 8 2 3 2" xfId="12774"/>
    <cellStyle name="40% - Accent3 8 2 3 3" xfId="12775"/>
    <cellStyle name="40% - Accent3 8 2 4" xfId="12776"/>
    <cellStyle name="40% - Accent3 8 2 4 2" xfId="12777"/>
    <cellStyle name="40% - Accent3 8 2 4 3" xfId="12778"/>
    <cellStyle name="40% - Accent3 8 2 5" xfId="12779"/>
    <cellStyle name="40% - Accent3 8 2 6" xfId="12780"/>
    <cellStyle name="40% - Accent3 8 2_Volatility" xfId="12781"/>
    <cellStyle name="40% - Accent3 8 3" xfId="12782"/>
    <cellStyle name="40% - Accent3 8 3 2" xfId="12783"/>
    <cellStyle name="40% - Accent3 8 3 2 2" xfId="12784"/>
    <cellStyle name="40% - Accent3 8 3 2 3" xfId="12785"/>
    <cellStyle name="40% - Accent3 8 3 3" xfId="12786"/>
    <cellStyle name="40% - Accent3 8 3 3 2" xfId="12787"/>
    <cellStyle name="40% - Accent3 8 3 3 3" xfId="12788"/>
    <cellStyle name="40% - Accent3 8 3 4" xfId="12789"/>
    <cellStyle name="40% - Accent3 8 3 5" xfId="12790"/>
    <cellStyle name="40% - Accent3 8 3_Volatility" xfId="12791"/>
    <cellStyle name="40% - Accent3 8 4" xfId="12792"/>
    <cellStyle name="40% - Accent3 8 4 2" xfId="12793"/>
    <cellStyle name="40% - Accent3 8 4 3" xfId="12794"/>
    <cellStyle name="40% - Accent3 8 5" xfId="12795"/>
    <cellStyle name="40% - Accent3 8 5 2" xfId="12796"/>
    <cellStyle name="40% - Accent3 8 5 3" xfId="12797"/>
    <cellStyle name="40% - Accent3 8 6" xfId="12798"/>
    <cellStyle name="40% - Accent3 8 6 2" xfId="12799"/>
    <cellStyle name="40% - Accent3 8 6 3" xfId="12800"/>
    <cellStyle name="40% - Accent3 8 7" xfId="12801"/>
    <cellStyle name="40% - Accent3 8 8" xfId="12802"/>
    <cellStyle name="40% - Accent3 8_Volatility" xfId="12803"/>
    <cellStyle name="40% - Accent3 9" xfId="12804"/>
    <cellStyle name="40% - Accent3 9 2" xfId="12805"/>
    <cellStyle name="40% - Accent3 9 2 2" xfId="12806"/>
    <cellStyle name="40% - Accent3 9 2 2 2" xfId="12807"/>
    <cellStyle name="40% - Accent3 9 2 2 3" xfId="12808"/>
    <cellStyle name="40% - Accent3 9 2 3" xfId="12809"/>
    <cellStyle name="40% - Accent3 9 2 3 2" xfId="12810"/>
    <cellStyle name="40% - Accent3 9 2 3 3" xfId="12811"/>
    <cellStyle name="40% - Accent3 9 2 4" xfId="12812"/>
    <cellStyle name="40% - Accent3 9 2 4 2" xfId="12813"/>
    <cellStyle name="40% - Accent3 9 2 4 3" xfId="12814"/>
    <cellStyle name="40% - Accent3 9 2 5" xfId="12815"/>
    <cellStyle name="40% - Accent3 9 2 6" xfId="12816"/>
    <cellStyle name="40% - Accent3 9 2_Volatility" xfId="12817"/>
    <cellStyle name="40% - Accent3 9 3" xfId="12818"/>
    <cellStyle name="40% - Accent3 9 3 2" xfId="12819"/>
    <cellStyle name="40% - Accent3 9 3 2 2" xfId="12820"/>
    <cellStyle name="40% - Accent3 9 3 2 3" xfId="12821"/>
    <cellStyle name="40% - Accent3 9 3 3" xfId="12822"/>
    <cellStyle name="40% - Accent3 9 3 3 2" xfId="12823"/>
    <cellStyle name="40% - Accent3 9 3 3 3" xfId="12824"/>
    <cellStyle name="40% - Accent3 9 3 4" xfId="12825"/>
    <cellStyle name="40% - Accent3 9 3 5" xfId="12826"/>
    <cellStyle name="40% - Accent3 9 3_Volatility" xfId="12827"/>
    <cellStyle name="40% - Accent3 9 4" xfId="12828"/>
    <cellStyle name="40% - Accent3 9 4 2" xfId="12829"/>
    <cellStyle name="40% - Accent3 9 4 3" xfId="12830"/>
    <cellStyle name="40% - Accent3 9 5" xfId="12831"/>
    <cellStyle name="40% - Accent3 9 5 2" xfId="12832"/>
    <cellStyle name="40% - Accent3 9 5 3" xfId="12833"/>
    <cellStyle name="40% - Accent3 9 6" xfId="12834"/>
    <cellStyle name="40% - Accent3 9 6 2" xfId="12835"/>
    <cellStyle name="40% - Accent3 9 6 3" xfId="12836"/>
    <cellStyle name="40% - Accent3 9 7" xfId="12837"/>
    <cellStyle name="40% - Accent3 9 8" xfId="12838"/>
    <cellStyle name="40% - Accent3 9_Volatility" xfId="12839"/>
    <cellStyle name="40% - Accent4" xfId="33" builtinId="43" customBuiltin="1"/>
    <cellStyle name="40% - Accent4 10" xfId="12840"/>
    <cellStyle name="40% - Accent4 10 2" xfId="12841"/>
    <cellStyle name="40% - Accent4 10 2 2" xfId="12842"/>
    <cellStyle name="40% - Accent4 10 2 2 2" xfId="12843"/>
    <cellStyle name="40% - Accent4 10 2 2 3" xfId="12844"/>
    <cellStyle name="40% - Accent4 10 2 3" xfId="12845"/>
    <cellStyle name="40% - Accent4 10 2 3 2" xfId="12846"/>
    <cellStyle name="40% - Accent4 10 2 3 3" xfId="12847"/>
    <cellStyle name="40% - Accent4 10 2 4" xfId="12848"/>
    <cellStyle name="40% - Accent4 10 2 4 2" xfId="12849"/>
    <cellStyle name="40% - Accent4 10 2 4 3" xfId="12850"/>
    <cellStyle name="40% - Accent4 10 2 5" xfId="12851"/>
    <cellStyle name="40% - Accent4 10 2 6" xfId="12852"/>
    <cellStyle name="40% - Accent4 10 2_Volatility" xfId="12853"/>
    <cellStyle name="40% - Accent4 10 3" xfId="12854"/>
    <cellStyle name="40% - Accent4 10 3 2" xfId="12855"/>
    <cellStyle name="40% - Accent4 10 3 2 2" xfId="12856"/>
    <cellStyle name="40% - Accent4 10 3 2 3" xfId="12857"/>
    <cellStyle name="40% - Accent4 10 3 3" xfId="12858"/>
    <cellStyle name="40% - Accent4 10 3 3 2" xfId="12859"/>
    <cellStyle name="40% - Accent4 10 3 3 3" xfId="12860"/>
    <cellStyle name="40% - Accent4 10 3 4" xfId="12861"/>
    <cellStyle name="40% - Accent4 10 3 5" xfId="12862"/>
    <cellStyle name="40% - Accent4 10 3_Volatility" xfId="12863"/>
    <cellStyle name="40% - Accent4 10 4" xfId="12864"/>
    <cellStyle name="40% - Accent4 10 4 2" xfId="12865"/>
    <cellStyle name="40% - Accent4 10 4 3" xfId="12866"/>
    <cellStyle name="40% - Accent4 10 5" xfId="12867"/>
    <cellStyle name="40% - Accent4 10 5 2" xfId="12868"/>
    <cellStyle name="40% - Accent4 10 5 3" xfId="12869"/>
    <cellStyle name="40% - Accent4 10 6" xfId="12870"/>
    <cellStyle name="40% - Accent4 10 6 2" xfId="12871"/>
    <cellStyle name="40% - Accent4 10 6 3" xfId="12872"/>
    <cellStyle name="40% - Accent4 10 7" xfId="12873"/>
    <cellStyle name="40% - Accent4 10 8" xfId="12874"/>
    <cellStyle name="40% - Accent4 10_Volatility" xfId="12875"/>
    <cellStyle name="40% - Accent4 11" xfId="12876"/>
    <cellStyle name="40% - Accent4 11 2" xfId="12877"/>
    <cellStyle name="40% - Accent4 11 2 2" xfId="12878"/>
    <cellStyle name="40% - Accent4 11 2 2 2" xfId="12879"/>
    <cellStyle name="40% - Accent4 11 2 2 3" xfId="12880"/>
    <cellStyle name="40% - Accent4 11 2 3" xfId="12881"/>
    <cellStyle name="40% - Accent4 11 2 3 2" xfId="12882"/>
    <cellStyle name="40% - Accent4 11 2 3 3" xfId="12883"/>
    <cellStyle name="40% - Accent4 11 2 4" xfId="12884"/>
    <cellStyle name="40% - Accent4 11 2 4 2" xfId="12885"/>
    <cellStyle name="40% - Accent4 11 2 4 3" xfId="12886"/>
    <cellStyle name="40% - Accent4 11 2 5" xfId="12887"/>
    <cellStyle name="40% - Accent4 11 2 6" xfId="12888"/>
    <cellStyle name="40% - Accent4 11 2_Volatility" xfId="12889"/>
    <cellStyle name="40% - Accent4 11 3" xfId="12890"/>
    <cellStyle name="40% - Accent4 11 3 2" xfId="12891"/>
    <cellStyle name="40% - Accent4 11 3 2 2" xfId="12892"/>
    <cellStyle name="40% - Accent4 11 3 2 3" xfId="12893"/>
    <cellStyle name="40% - Accent4 11 3 3" xfId="12894"/>
    <cellStyle name="40% - Accent4 11 3 3 2" xfId="12895"/>
    <cellStyle name="40% - Accent4 11 3 3 3" xfId="12896"/>
    <cellStyle name="40% - Accent4 11 3 4" xfId="12897"/>
    <cellStyle name="40% - Accent4 11 3 5" xfId="12898"/>
    <cellStyle name="40% - Accent4 11 3_Volatility" xfId="12899"/>
    <cellStyle name="40% - Accent4 11 4" xfId="12900"/>
    <cellStyle name="40% - Accent4 11 4 2" xfId="12901"/>
    <cellStyle name="40% - Accent4 11 4 3" xfId="12902"/>
    <cellStyle name="40% - Accent4 11 5" xfId="12903"/>
    <cellStyle name="40% - Accent4 11 5 2" xfId="12904"/>
    <cellStyle name="40% - Accent4 11 5 3" xfId="12905"/>
    <cellStyle name="40% - Accent4 11 6" xfId="12906"/>
    <cellStyle name="40% - Accent4 11 6 2" xfId="12907"/>
    <cellStyle name="40% - Accent4 11 6 3" xfId="12908"/>
    <cellStyle name="40% - Accent4 11 7" xfId="12909"/>
    <cellStyle name="40% - Accent4 11 8" xfId="12910"/>
    <cellStyle name="40% - Accent4 11_Volatility" xfId="12911"/>
    <cellStyle name="40% - Accent4 12" xfId="12912"/>
    <cellStyle name="40% - Accent4 12 2" xfId="12913"/>
    <cellStyle name="40% - Accent4 12 2 2" xfId="12914"/>
    <cellStyle name="40% - Accent4 12 2 2 2" xfId="12915"/>
    <cellStyle name="40% - Accent4 12 2 2 3" xfId="12916"/>
    <cellStyle name="40% - Accent4 12 2 3" xfId="12917"/>
    <cellStyle name="40% - Accent4 12 2 3 2" xfId="12918"/>
    <cellStyle name="40% - Accent4 12 2 3 3" xfId="12919"/>
    <cellStyle name="40% - Accent4 12 2 4" xfId="12920"/>
    <cellStyle name="40% - Accent4 12 2 4 2" xfId="12921"/>
    <cellStyle name="40% - Accent4 12 2 4 3" xfId="12922"/>
    <cellStyle name="40% - Accent4 12 2 5" xfId="12923"/>
    <cellStyle name="40% - Accent4 12 2 6" xfId="12924"/>
    <cellStyle name="40% - Accent4 12 2_Volatility" xfId="12925"/>
    <cellStyle name="40% - Accent4 12 3" xfId="12926"/>
    <cellStyle name="40% - Accent4 12 3 2" xfId="12927"/>
    <cellStyle name="40% - Accent4 12 3 2 2" xfId="12928"/>
    <cellStyle name="40% - Accent4 12 3 2 3" xfId="12929"/>
    <cellStyle name="40% - Accent4 12 3 3" xfId="12930"/>
    <cellStyle name="40% - Accent4 12 3 3 2" xfId="12931"/>
    <cellStyle name="40% - Accent4 12 3 3 3" xfId="12932"/>
    <cellStyle name="40% - Accent4 12 3 4" xfId="12933"/>
    <cellStyle name="40% - Accent4 12 3 5" xfId="12934"/>
    <cellStyle name="40% - Accent4 12 3_Volatility" xfId="12935"/>
    <cellStyle name="40% - Accent4 12 4" xfId="12936"/>
    <cellStyle name="40% - Accent4 12 4 2" xfId="12937"/>
    <cellStyle name="40% - Accent4 12 4 3" xfId="12938"/>
    <cellStyle name="40% - Accent4 12 5" xfId="12939"/>
    <cellStyle name="40% - Accent4 12 5 2" xfId="12940"/>
    <cellStyle name="40% - Accent4 12 5 3" xfId="12941"/>
    <cellStyle name="40% - Accent4 12 6" xfId="12942"/>
    <cellStyle name="40% - Accent4 12 6 2" xfId="12943"/>
    <cellStyle name="40% - Accent4 12 6 3" xfId="12944"/>
    <cellStyle name="40% - Accent4 12 7" xfId="12945"/>
    <cellStyle name="40% - Accent4 12 8" xfId="12946"/>
    <cellStyle name="40% - Accent4 12_Volatility" xfId="12947"/>
    <cellStyle name="40% - Accent4 13" xfId="12948"/>
    <cellStyle name="40% - Accent4 13 2" xfId="12949"/>
    <cellStyle name="40% - Accent4 13 2 2" xfId="12950"/>
    <cellStyle name="40% - Accent4 13 2 2 2" xfId="12951"/>
    <cellStyle name="40% - Accent4 13 2 2 3" xfId="12952"/>
    <cellStyle name="40% - Accent4 13 2 3" xfId="12953"/>
    <cellStyle name="40% - Accent4 13 2 3 2" xfId="12954"/>
    <cellStyle name="40% - Accent4 13 2 3 3" xfId="12955"/>
    <cellStyle name="40% - Accent4 13 2 4" xfId="12956"/>
    <cellStyle name="40% - Accent4 13 2 4 2" xfId="12957"/>
    <cellStyle name="40% - Accent4 13 2 4 3" xfId="12958"/>
    <cellStyle name="40% - Accent4 13 2 5" xfId="12959"/>
    <cellStyle name="40% - Accent4 13 2 6" xfId="12960"/>
    <cellStyle name="40% - Accent4 13 2_Volatility" xfId="12961"/>
    <cellStyle name="40% - Accent4 13 3" xfId="12962"/>
    <cellStyle name="40% - Accent4 13 3 2" xfId="12963"/>
    <cellStyle name="40% - Accent4 13 3 2 2" xfId="12964"/>
    <cellStyle name="40% - Accent4 13 3 2 3" xfId="12965"/>
    <cellStyle name="40% - Accent4 13 3 3" xfId="12966"/>
    <cellStyle name="40% - Accent4 13 3 3 2" xfId="12967"/>
    <cellStyle name="40% - Accent4 13 3 3 3" xfId="12968"/>
    <cellStyle name="40% - Accent4 13 3 4" xfId="12969"/>
    <cellStyle name="40% - Accent4 13 3 5" xfId="12970"/>
    <cellStyle name="40% - Accent4 13 3_Volatility" xfId="12971"/>
    <cellStyle name="40% - Accent4 13 4" xfId="12972"/>
    <cellStyle name="40% - Accent4 13 4 2" xfId="12973"/>
    <cellStyle name="40% - Accent4 13 4 3" xfId="12974"/>
    <cellStyle name="40% - Accent4 13 5" xfId="12975"/>
    <cellStyle name="40% - Accent4 13 5 2" xfId="12976"/>
    <cellStyle name="40% - Accent4 13 5 3" xfId="12977"/>
    <cellStyle name="40% - Accent4 13 6" xfId="12978"/>
    <cellStyle name="40% - Accent4 13 6 2" xfId="12979"/>
    <cellStyle name="40% - Accent4 13 6 3" xfId="12980"/>
    <cellStyle name="40% - Accent4 13 7" xfId="12981"/>
    <cellStyle name="40% - Accent4 13 8" xfId="12982"/>
    <cellStyle name="40% - Accent4 13_Volatility" xfId="12983"/>
    <cellStyle name="40% - Accent4 14" xfId="12984"/>
    <cellStyle name="40% - Accent4 14 2" xfId="12985"/>
    <cellStyle name="40% - Accent4 14 2 2" xfId="12986"/>
    <cellStyle name="40% - Accent4 14 2 2 2" xfId="12987"/>
    <cellStyle name="40% - Accent4 14 2 2 3" xfId="12988"/>
    <cellStyle name="40% - Accent4 14 2 3" xfId="12989"/>
    <cellStyle name="40% - Accent4 14 2 3 2" xfId="12990"/>
    <cellStyle name="40% - Accent4 14 2 3 3" xfId="12991"/>
    <cellStyle name="40% - Accent4 14 2 4" xfId="12992"/>
    <cellStyle name="40% - Accent4 14 2 4 2" xfId="12993"/>
    <cellStyle name="40% - Accent4 14 2 4 3" xfId="12994"/>
    <cellStyle name="40% - Accent4 14 2 5" xfId="12995"/>
    <cellStyle name="40% - Accent4 14 2 6" xfId="12996"/>
    <cellStyle name="40% - Accent4 14 2_Volatility" xfId="12997"/>
    <cellStyle name="40% - Accent4 14 3" xfId="12998"/>
    <cellStyle name="40% - Accent4 14 3 2" xfId="12999"/>
    <cellStyle name="40% - Accent4 14 3 2 2" xfId="13000"/>
    <cellStyle name="40% - Accent4 14 3 2 3" xfId="13001"/>
    <cellStyle name="40% - Accent4 14 3 3" xfId="13002"/>
    <cellStyle name="40% - Accent4 14 3 3 2" xfId="13003"/>
    <cellStyle name="40% - Accent4 14 3 3 3" xfId="13004"/>
    <cellStyle name="40% - Accent4 14 3 4" xfId="13005"/>
    <cellStyle name="40% - Accent4 14 3 5" xfId="13006"/>
    <cellStyle name="40% - Accent4 14 3_Volatility" xfId="13007"/>
    <cellStyle name="40% - Accent4 14 4" xfId="13008"/>
    <cellStyle name="40% - Accent4 14 4 2" xfId="13009"/>
    <cellStyle name="40% - Accent4 14 4 3" xfId="13010"/>
    <cellStyle name="40% - Accent4 14 5" xfId="13011"/>
    <cellStyle name="40% - Accent4 14 5 2" xfId="13012"/>
    <cellStyle name="40% - Accent4 14 5 3" xfId="13013"/>
    <cellStyle name="40% - Accent4 14 6" xfId="13014"/>
    <cellStyle name="40% - Accent4 14 6 2" xfId="13015"/>
    <cellStyle name="40% - Accent4 14 6 3" xfId="13016"/>
    <cellStyle name="40% - Accent4 14 7" xfId="13017"/>
    <cellStyle name="40% - Accent4 14 8" xfId="13018"/>
    <cellStyle name="40% - Accent4 14_Volatility" xfId="13019"/>
    <cellStyle name="40% - Accent4 15" xfId="13020"/>
    <cellStyle name="40% - Accent4 15 2" xfId="13021"/>
    <cellStyle name="40% - Accent4 15 2 2" xfId="13022"/>
    <cellStyle name="40% - Accent4 15 2 2 2" xfId="13023"/>
    <cellStyle name="40% - Accent4 15 2 2 3" xfId="13024"/>
    <cellStyle name="40% - Accent4 15 2 3" xfId="13025"/>
    <cellStyle name="40% - Accent4 15 2 3 2" xfId="13026"/>
    <cellStyle name="40% - Accent4 15 2 3 3" xfId="13027"/>
    <cellStyle name="40% - Accent4 15 2 4" xfId="13028"/>
    <cellStyle name="40% - Accent4 15 2 4 2" xfId="13029"/>
    <cellStyle name="40% - Accent4 15 2 4 3" xfId="13030"/>
    <cellStyle name="40% - Accent4 15 2 5" xfId="13031"/>
    <cellStyle name="40% - Accent4 15 2 6" xfId="13032"/>
    <cellStyle name="40% - Accent4 15 2_Volatility" xfId="13033"/>
    <cellStyle name="40% - Accent4 15 3" xfId="13034"/>
    <cellStyle name="40% - Accent4 15 3 2" xfId="13035"/>
    <cellStyle name="40% - Accent4 15 3 2 2" xfId="13036"/>
    <cellStyle name="40% - Accent4 15 3 2 3" xfId="13037"/>
    <cellStyle name="40% - Accent4 15 3 3" xfId="13038"/>
    <cellStyle name="40% - Accent4 15 3 3 2" xfId="13039"/>
    <cellStyle name="40% - Accent4 15 3 3 3" xfId="13040"/>
    <cellStyle name="40% - Accent4 15 3 4" xfId="13041"/>
    <cellStyle name="40% - Accent4 15 3 5" xfId="13042"/>
    <cellStyle name="40% - Accent4 15 3_Volatility" xfId="13043"/>
    <cellStyle name="40% - Accent4 15 4" xfId="13044"/>
    <cellStyle name="40% - Accent4 15 4 2" xfId="13045"/>
    <cellStyle name="40% - Accent4 15 4 3" xfId="13046"/>
    <cellStyle name="40% - Accent4 15 5" xfId="13047"/>
    <cellStyle name="40% - Accent4 15 5 2" xfId="13048"/>
    <cellStyle name="40% - Accent4 15 5 3" xfId="13049"/>
    <cellStyle name="40% - Accent4 15 6" xfId="13050"/>
    <cellStyle name="40% - Accent4 15 6 2" xfId="13051"/>
    <cellStyle name="40% - Accent4 15 6 3" xfId="13052"/>
    <cellStyle name="40% - Accent4 15 7" xfId="13053"/>
    <cellStyle name="40% - Accent4 15 8" xfId="13054"/>
    <cellStyle name="40% - Accent4 15_Volatility" xfId="13055"/>
    <cellStyle name="40% - Accent4 16" xfId="13056"/>
    <cellStyle name="40% - Accent4 16 2" xfId="13057"/>
    <cellStyle name="40% - Accent4 16 3" xfId="13058"/>
    <cellStyle name="40% - Accent4 17" xfId="13059"/>
    <cellStyle name="40% - Accent4 17 2" xfId="13060"/>
    <cellStyle name="40% - Accent4 17 3" xfId="13061"/>
    <cellStyle name="40% - Accent4 18" xfId="13062"/>
    <cellStyle name="40% - Accent4 18 2" xfId="13063"/>
    <cellStyle name="40% - Accent4 18 3" xfId="13064"/>
    <cellStyle name="40% - Accent4 19" xfId="13065"/>
    <cellStyle name="40% - Accent4 19 2" xfId="13066"/>
    <cellStyle name="40% - Accent4 19 3" xfId="13067"/>
    <cellStyle name="40% - Accent4 2" xfId="13068"/>
    <cellStyle name="40% - Accent4 2 2" xfId="13069"/>
    <cellStyle name="40% - Accent4 2 2 2" xfId="13070"/>
    <cellStyle name="40% - Accent4 2 2 2 2" xfId="13071"/>
    <cellStyle name="40% - Accent4 2 2 2 3" xfId="13072"/>
    <cellStyle name="40% - Accent4 2 2 3" xfId="13073"/>
    <cellStyle name="40% - Accent4 2 2 3 2" xfId="13074"/>
    <cellStyle name="40% - Accent4 2 2 3 3" xfId="13075"/>
    <cellStyle name="40% - Accent4 2 2 4" xfId="13076"/>
    <cellStyle name="40% - Accent4 2 2 4 2" xfId="13077"/>
    <cellStyle name="40% - Accent4 2 2 4 3" xfId="13078"/>
    <cellStyle name="40% - Accent4 2 2 5" xfId="13079"/>
    <cellStyle name="40% - Accent4 2 2 6" xfId="13080"/>
    <cellStyle name="40% - Accent4 2 2_Volatility" xfId="13081"/>
    <cellStyle name="40% - Accent4 2 3" xfId="13082"/>
    <cellStyle name="40% - Accent4 2 3 2" xfId="13083"/>
    <cellStyle name="40% - Accent4 2 3 2 2" xfId="13084"/>
    <cellStyle name="40% - Accent4 2 3 2 3" xfId="13085"/>
    <cellStyle name="40% - Accent4 2 3 3" xfId="13086"/>
    <cellStyle name="40% - Accent4 2 3 3 2" xfId="13087"/>
    <cellStyle name="40% - Accent4 2 3 3 3" xfId="13088"/>
    <cellStyle name="40% - Accent4 2 3 4" xfId="13089"/>
    <cellStyle name="40% - Accent4 2 3 5" xfId="13090"/>
    <cellStyle name="40% - Accent4 2 3_Volatility" xfId="13091"/>
    <cellStyle name="40% - Accent4 2 4" xfId="13092"/>
    <cellStyle name="40% - Accent4 2 4 2" xfId="13093"/>
    <cellStyle name="40% - Accent4 2 4 3" xfId="13094"/>
    <cellStyle name="40% - Accent4 2 5" xfId="13095"/>
    <cellStyle name="40% - Accent4 2 5 2" xfId="13096"/>
    <cellStyle name="40% - Accent4 2 5 3" xfId="13097"/>
    <cellStyle name="40% - Accent4 2 6" xfId="13098"/>
    <cellStyle name="40% - Accent4 2 6 2" xfId="13099"/>
    <cellStyle name="40% - Accent4 2 6 3" xfId="13100"/>
    <cellStyle name="40% - Accent4 2 7" xfId="13101"/>
    <cellStyle name="40% - Accent4 2 8" xfId="13102"/>
    <cellStyle name="40% - Accent4 2_Volatility" xfId="13103"/>
    <cellStyle name="40% - Accent4 3" xfId="13104"/>
    <cellStyle name="40% - Accent4 3 2" xfId="13105"/>
    <cellStyle name="40% - Accent4 3 2 2" xfId="13106"/>
    <cellStyle name="40% - Accent4 3 2 2 2" xfId="13107"/>
    <cellStyle name="40% - Accent4 3 2 2 3" xfId="13108"/>
    <cellStyle name="40% - Accent4 3 2 3" xfId="13109"/>
    <cellStyle name="40% - Accent4 3 2 3 2" xfId="13110"/>
    <cellStyle name="40% - Accent4 3 2 3 3" xfId="13111"/>
    <cellStyle name="40% - Accent4 3 2 4" xfId="13112"/>
    <cellStyle name="40% - Accent4 3 2 4 2" xfId="13113"/>
    <cellStyle name="40% - Accent4 3 2 4 3" xfId="13114"/>
    <cellStyle name="40% - Accent4 3 2 5" xfId="13115"/>
    <cellStyle name="40% - Accent4 3 2 6" xfId="13116"/>
    <cellStyle name="40% - Accent4 3 2_Volatility" xfId="13117"/>
    <cellStyle name="40% - Accent4 3 3" xfId="13118"/>
    <cellStyle name="40% - Accent4 3 3 2" xfId="13119"/>
    <cellStyle name="40% - Accent4 3 3 2 2" xfId="13120"/>
    <cellStyle name="40% - Accent4 3 3 2 3" xfId="13121"/>
    <cellStyle name="40% - Accent4 3 3 3" xfId="13122"/>
    <cellStyle name="40% - Accent4 3 3 3 2" xfId="13123"/>
    <cellStyle name="40% - Accent4 3 3 3 3" xfId="13124"/>
    <cellStyle name="40% - Accent4 3 3 4" xfId="13125"/>
    <cellStyle name="40% - Accent4 3 3 5" xfId="13126"/>
    <cellStyle name="40% - Accent4 3 3_Volatility" xfId="13127"/>
    <cellStyle name="40% - Accent4 3 4" xfId="13128"/>
    <cellStyle name="40% - Accent4 3 4 2" xfId="13129"/>
    <cellStyle name="40% - Accent4 3 4 3" xfId="13130"/>
    <cellStyle name="40% - Accent4 3 5" xfId="13131"/>
    <cellStyle name="40% - Accent4 3 5 2" xfId="13132"/>
    <cellStyle name="40% - Accent4 3 5 3" xfId="13133"/>
    <cellStyle name="40% - Accent4 3 6" xfId="13134"/>
    <cellStyle name="40% - Accent4 3 6 2" xfId="13135"/>
    <cellStyle name="40% - Accent4 3 6 3" xfId="13136"/>
    <cellStyle name="40% - Accent4 3 7" xfId="13137"/>
    <cellStyle name="40% - Accent4 3 8" xfId="13138"/>
    <cellStyle name="40% - Accent4 3_Volatility" xfId="13139"/>
    <cellStyle name="40% - Accent4 4" xfId="13140"/>
    <cellStyle name="40% - Accent4 4 2" xfId="13141"/>
    <cellStyle name="40% - Accent4 4 2 2" xfId="13142"/>
    <cellStyle name="40% - Accent4 4 2 2 2" xfId="13143"/>
    <cellStyle name="40% - Accent4 4 2 2 3" xfId="13144"/>
    <cellStyle name="40% - Accent4 4 2 3" xfId="13145"/>
    <cellStyle name="40% - Accent4 4 2 3 2" xfId="13146"/>
    <cellStyle name="40% - Accent4 4 2 3 3" xfId="13147"/>
    <cellStyle name="40% - Accent4 4 2 4" xfId="13148"/>
    <cellStyle name="40% - Accent4 4 2 4 2" xfId="13149"/>
    <cellStyle name="40% - Accent4 4 2 4 3" xfId="13150"/>
    <cellStyle name="40% - Accent4 4 2 5" xfId="13151"/>
    <cellStyle name="40% - Accent4 4 2 6" xfId="13152"/>
    <cellStyle name="40% - Accent4 4 2_Volatility" xfId="13153"/>
    <cellStyle name="40% - Accent4 4 3" xfId="13154"/>
    <cellStyle name="40% - Accent4 4 3 2" xfId="13155"/>
    <cellStyle name="40% - Accent4 4 3 2 2" xfId="13156"/>
    <cellStyle name="40% - Accent4 4 3 2 3" xfId="13157"/>
    <cellStyle name="40% - Accent4 4 3 3" xfId="13158"/>
    <cellStyle name="40% - Accent4 4 3 3 2" xfId="13159"/>
    <cellStyle name="40% - Accent4 4 3 3 3" xfId="13160"/>
    <cellStyle name="40% - Accent4 4 3 4" xfId="13161"/>
    <cellStyle name="40% - Accent4 4 3 5" xfId="13162"/>
    <cellStyle name="40% - Accent4 4 3_Volatility" xfId="13163"/>
    <cellStyle name="40% - Accent4 4 4" xfId="13164"/>
    <cellStyle name="40% - Accent4 4 4 2" xfId="13165"/>
    <cellStyle name="40% - Accent4 4 4 3" xfId="13166"/>
    <cellStyle name="40% - Accent4 4 5" xfId="13167"/>
    <cellStyle name="40% - Accent4 4 5 2" xfId="13168"/>
    <cellStyle name="40% - Accent4 4 5 3" xfId="13169"/>
    <cellStyle name="40% - Accent4 4 6" xfId="13170"/>
    <cellStyle name="40% - Accent4 4 6 2" xfId="13171"/>
    <cellStyle name="40% - Accent4 4 6 3" xfId="13172"/>
    <cellStyle name="40% - Accent4 4 7" xfId="13173"/>
    <cellStyle name="40% - Accent4 4 8" xfId="13174"/>
    <cellStyle name="40% - Accent4 4_Volatility" xfId="13175"/>
    <cellStyle name="40% - Accent4 5" xfId="13176"/>
    <cellStyle name="40% - Accent4 5 2" xfId="13177"/>
    <cellStyle name="40% - Accent4 5 2 2" xfId="13178"/>
    <cellStyle name="40% - Accent4 5 2 2 2" xfId="13179"/>
    <cellStyle name="40% - Accent4 5 2 2 3" xfId="13180"/>
    <cellStyle name="40% - Accent4 5 2 3" xfId="13181"/>
    <cellStyle name="40% - Accent4 5 2 3 2" xfId="13182"/>
    <cellStyle name="40% - Accent4 5 2 3 3" xfId="13183"/>
    <cellStyle name="40% - Accent4 5 2 4" xfId="13184"/>
    <cellStyle name="40% - Accent4 5 2 4 2" xfId="13185"/>
    <cellStyle name="40% - Accent4 5 2 4 3" xfId="13186"/>
    <cellStyle name="40% - Accent4 5 2 5" xfId="13187"/>
    <cellStyle name="40% - Accent4 5 2 6" xfId="13188"/>
    <cellStyle name="40% - Accent4 5 2_Volatility" xfId="13189"/>
    <cellStyle name="40% - Accent4 5 3" xfId="13190"/>
    <cellStyle name="40% - Accent4 5 3 2" xfId="13191"/>
    <cellStyle name="40% - Accent4 5 3 2 2" xfId="13192"/>
    <cellStyle name="40% - Accent4 5 3 2 3" xfId="13193"/>
    <cellStyle name="40% - Accent4 5 3 3" xfId="13194"/>
    <cellStyle name="40% - Accent4 5 3 3 2" xfId="13195"/>
    <cellStyle name="40% - Accent4 5 3 3 3" xfId="13196"/>
    <cellStyle name="40% - Accent4 5 3 4" xfId="13197"/>
    <cellStyle name="40% - Accent4 5 3 5" xfId="13198"/>
    <cellStyle name="40% - Accent4 5 3_Volatility" xfId="13199"/>
    <cellStyle name="40% - Accent4 5 4" xfId="13200"/>
    <cellStyle name="40% - Accent4 5 4 2" xfId="13201"/>
    <cellStyle name="40% - Accent4 5 4 3" xfId="13202"/>
    <cellStyle name="40% - Accent4 5 5" xfId="13203"/>
    <cellStyle name="40% - Accent4 5 5 2" xfId="13204"/>
    <cellStyle name="40% - Accent4 5 5 3" xfId="13205"/>
    <cellStyle name="40% - Accent4 5 6" xfId="13206"/>
    <cellStyle name="40% - Accent4 5 6 2" xfId="13207"/>
    <cellStyle name="40% - Accent4 5 6 3" xfId="13208"/>
    <cellStyle name="40% - Accent4 5 7" xfId="13209"/>
    <cellStyle name="40% - Accent4 5 8" xfId="13210"/>
    <cellStyle name="40% - Accent4 5_Volatility" xfId="13211"/>
    <cellStyle name="40% - Accent4 6" xfId="13212"/>
    <cellStyle name="40% - Accent4 6 2" xfId="13213"/>
    <cellStyle name="40% - Accent4 6 2 2" xfId="13214"/>
    <cellStyle name="40% - Accent4 6 2 2 2" xfId="13215"/>
    <cellStyle name="40% - Accent4 6 2 2 3" xfId="13216"/>
    <cellStyle name="40% - Accent4 6 2 3" xfId="13217"/>
    <cellStyle name="40% - Accent4 6 2 3 2" xfId="13218"/>
    <cellStyle name="40% - Accent4 6 2 3 3" xfId="13219"/>
    <cellStyle name="40% - Accent4 6 2 4" xfId="13220"/>
    <cellStyle name="40% - Accent4 6 2 4 2" xfId="13221"/>
    <cellStyle name="40% - Accent4 6 2 4 3" xfId="13222"/>
    <cellStyle name="40% - Accent4 6 2 5" xfId="13223"/>
    <cellStyle name="40% - Accent4 6 2 6" xfId="13224"/>
    <cellStyle name="40% - Accent4 6 2_Volatility" xfId="13225"/>
    <cellStyle name="40% - Accent4 6 3" xfId="13226"/>
    <cellStyle name="40% - Accent4 6 3 2" xfId="13227"/>
    <cellStyle name="40% - Accent4 6 3 2 2" xfId="13228"/>
    <cellStyle name="40% - Accent4 6 3 2 3" xfId="13229"/>
    <cellStyle name="40% - Accent4 6 3 3" xfId="13230"/>
    <cellStyle name="40% - Accent4 6 3 3 2" xfId="13231"/>
    <cellStyle name="40% - Accent4 6 3 3 3" xfId="13232"/>
    <cellStyle name="40% - Accent4 6 3 4" xfId="13233"/>
    <cellStyle name="40% - Accent4 6 3 5" xfId="13234"/>
    <cellStyle name="40% - Accent4 6 3_Volatility" xfId="13235"/>
    <cellStyle name="40% - Accent4 6 4" xfId="13236"/>
    <cellStyle name="40% - Accent4 6 4 2" xfId="13237"/>
    <cellStyle name="40% - Accent4 6 4 3" xfId="13238"/>
    <cellStyle name="40% - Accent4 6 5" xfId="13239"/>
    <cellStyle name="40% - Accent4 6 5 2" xfId="13240"/>
    <cellStyle name="40% - Accent4 6 5 3" xfId="13241"/>
    <cellStyle name="40% - Accent4 6 6" xfId="13242"/>
    <cellStyle name="40% - Accent4 6 6 2" xfId="13243"/>
    <cellStyle name="40% - Accent4 6 6 3" xfId="13244"/>
    <cellStyle name="40% - Accent4 6 7" xfId="13245"/>
    <cellStyle name="40% - Accent4 6 8" xfId="13246"/>
    <cellStyle name="40% - Accent4 6_Volatility" xfId="13247"/>
    <cellStyle name="40% - Accent4 7" xfId="13248"/>
    <cellStyle name="40% - Accent4 7 2" xfId="13249"/>
    <cellStyle name="40% - Accent4 7 2 2" xfId="13250"/>
    <cellStyle name="40% - Accent4 7 2 2 2" xfId="13251"/>
    <cellStyle name="40% - Accent4 7 2 2 3" xfId="13252"/>
    <cellStyle name="40% - Accent4 7 2 3" xfId="13253"/>
    <cellStyle name="40% - Accent4 7 2 3 2" xfId="13254"/>
    <cellStyle name="40% - Accent4 7 2 3 3" xfId="13255"/>
    <cellStyle name="40% - Accent4 7 2 4" xfId="13256"/>
    <cellStyle name="40% - Accent4 7 2 4 2" xfId="13257"/>
    <cellStyle name="40% - Accent4 7 2 4 3" xfId="13258"/>
    <cellStyle name="40% - Accent4 7 2 5" xfId="13259"/>
    <cellStyle name="40% - Accent4 7 2 6" xfId="13260"/>
    <cellStyle name="40% - Accent4 7 2_Volatility" xfId="13261"/>
    <cellStyle name="40% - Accent4 7 3" xfId="13262"/>
    <cellStyle name="40% - Accent4 7 3 2" xfId="13263"/>
    <cellStyle name="40% - Accent4 7 3 2 2" xfId="13264"/>
    <cellStyle name="40% - Accent4 7 3 2 3" xfId="13265"/>
    <cellStyle name="40% - Accent4 7 3 3" xfId="13266"/>
    <cellStyle name="40% - Accent4 7 3 3 2" xfId="13267"/>
    <cellStyle name="40% - Accent4 7 3 3 3" xfId="13268"/>
    <cellStyle name="40% - Accent4 7 3 4" xfId="13269"/>
    <cellStyle name="40% - Accent4 7 3 5" xfId="13270"/>
    <cellStyle name="40% - Accent4 7 3_Volatility" xfId="13271"/>
    <cellStyle name="40% - Accent4 7 4" xfId="13272"/>
    <cellStyle name="40% - Accent4 7 4 2" xfId="13273"/>
    <cellStyle name="40% - Accent4 7 4 3" xfId="13274"/>
    <cellStyle name="40% - Accent4 7 5" xfId="13275"/>
    <cellStyle name="40% - Accent4 7 5 2" xfId="13276"/>
    <cellStyle name="40% - Accent4 7 5 3" xfId="13277"/>
    <cellStyle name="40% - Accent4 7 6" xfId="13278"/>
    <cellStyle name="40% - Accent4 7 6 2" xfId="13279"/>
    <cellStyle name="40% - Accent4 7 6 3" xfId="13280"/>
    <cellStyle name="40% - Accent4 7 7" xfId="13281"/>
    <cellStyle name="40% - Accent4 7 8" xfId="13282"/>
    <cellStyle name="40% - Accent4 7_Volatility" xfId="13283"/>
    <cellStyle name="40% - Accent4 8" xfId="13284"/>
    <cellStyle name="40% - Accent4 8 2" xfId="13285"/>
    <cellStyle name="40% - Accent4 8 2 2" xfId="13286"/>
    <cellStyle name="40% - Accent4 8 2 2 2" xfId="13287"/>
    <cellStyle name="40% - Accent4 8 2 2 3" xfId="13288"/>
    <cellStyle name="40% - Accent4 8 2 3" xfId="13289"/>
    <cellStyle name="40% - Accent4 8 2 3 2" xfId="13290"/>
    <cellStyle name="40% - Accent4 8 2 3 3" xfId="13291"/>
    <cellStyle name="40% - Accent4 8 2 4" xfId="13292"/>
    <cellStyle name="40% - Accent4 8 2 4 2" xfId="13293"/>
    <cellStyle name="40% - Accent4 8 2 4 3" xfId="13294"/>
    <cellStyle name="40% - Accent4 8 2 5" xfId="13295"/>
    <cellStyle name="40% - Accent4 8 2 6" xfId="13296"/>
    <cellStyle name="40% - Accent4 8 2_Volatility" xfId="13297"/>
    <cellStyle name="40% - Accent4 8 3" xfId="13298"/>
    <cellStyle name="40% - Accent4 8 3 2" xfId="13299"/>
    <cellStyle name="40% - Accent4 8 3 2 2" xfId="13300"/>
    <cellStyle name="40% - Accent4 8 3 2 3" xfId="13301"/>
    <cellStyle name="40% - Accent4 8 3 3" xfId="13302"/>
    <cellStyle name="40% - Accent4 8 3 3 2" xfId="13303"/>
    <cellStyle name="40% - Accent4 8 3 3 3" xfId="13304"/>
    <cellStyle name="40% - Accent4 8 3 4" xfId="13305"/>
    <cellStyle name="40% - Accent4 8 3 5" xfId="13306"/>
    <cellStyle name="40% - Accent4 8 3_Volatility" xfId="13307"/>
    <cellStyle name="40% - Accent4 8 4" xfId="13308"/>
    <cellStyle name="40% - Accent4 8 4 2" xfId="13309"/>
    <cellStyle name="40% - Accent4 8 4 3" xfId="13310"/>
    <cellStyle name="40% - Accent4 8 5" xfId="13311"/>
    <cellStyle name="40% - Accent4 8 5 2" xfId="13312"/>
    <cellStyle name="40% - Accent4 8 5 3" xfId="13313"/>
    <cellStyle name="40% - Accent4 8 6" xfId="13314"/>
    <cellStyle name="40% - Accent4 8 6 2" xfId="13315"/>
    <cellStyle name="40% - Accent4 8 6 3" xfId="13316"/>
    <cellStyle name="40% - Accent4 8 7" xfId="13317"/>
    <cellStyle name="40% - Accent4 8 8" xfId="13318"/>
    <cellStyle name="40% - Accent4 8_Volatility" xfId="13319"/>
    <cellStyle name="40% - Accent4 9" xfId="13320"/>
    <cellStyle name="40% - Accent4 9 2" xfId="13321"/>
    <cellStyle name="40% - Accent4 9 2 2" xfId="13322"/>
    <cellStyle name="40% - Accent4 9 2 2 2" xfId="13323"/>
    <cellStyle name="40% - Accent4 9 2 2 3" xfId="13324"/>
    <cellStyle name="40% - Accent4 9 2 3" xfId="13325"/>
    <cellStyle name="40% - Accent4 9 2 3 2" xfId="13326"/>
    <cellStyle name="40% - Accent4 9 2 3 3" xfId="13327"/>
    <cellStyle name="40% - Accent4 9 2 4" xfId="13328"/>
    <cellStyle name="40% - Accent4 9 2 4 2" xfId="13329"/>
    <cellStyle name="40% - Accent4 9 2 4 3" xfId="13330"/>
    <cellStyle name="40% - Accent4 9 2 5" xfId="13331"/>
    <cellStyle name="40% - Accent4 9 2 6" xfId="13332"/>
    <cellStyle name="40% - Accent4 9 2_Volatility" xfId="13333"/>
    <cellStyle name="40% - Accent4 9 3" xfId="13334"/>
    <cellStyle name="40% - Accent4 9 3 2" xfId="13335"/>
    <cellStyle name="40% - Accent4 9 3 2 2" xfId="13336"/>
    <cellStyle name="40% - Accent4 9 3 2 3" xfId="13337"/>
    <cellStyle name="40% - Accent4 9 3 3" xfId="13338"/>
    <cellStyle name="40% - Accent4 9 3 3 2" xfId="13339"/>
    <cellStyle name="40% - Accent4 9 3 3 3" xfId="13340"/>
    <cellStyle name="40% - Accent4 9 3 4" xfId="13341"/>
    <cellStyle name="40% - Accent4 9 3 5" xfId="13342"/>
    <cellStyle name="40% - Accent4 9 3_Volatility" xfId="13343"/>
    <cellStyle name="40% - Accent4 9 4" xfId="13344"/>
    <cellStyle name="40% - Accent4 9 4 2" xfId="13345"/>
    <cellStyle name="40% - Accent4 9 4 3" xfId="13346"/>
    <cellStyle name="40% - Accent4 9 5" xfId="13347"/>
    <cellStyle name="40% - Accent4 9 5 2" xfId="13348"/>
    <cellStyle name="40% - Accent4 9 5 3" xfId="13349"/>
    <cellStyle name="40% - Accent4 9 6" xfId="13350"/>
    <cellStyle name="40% - Accent4 9 6 2" xfId="13351"/>
    <cellStyle name="40% - Accent4 9 6 3" xfId="13352"/>
    <cellStyle name="40% - Accent4 9 7" xfId="13353"/>
    <cellStyle name="40% - Accent4 9 8" xfId="13354"/>
    <cellStyle name="40% - Accent4 9_Volatility" xfId="13355"/>
    <cellStyle name="40% - Accent5" xfId="37" builtinId="47" customBuiltin="1"/>
    <cellStyle name="40% - Accent5 10" xfId="13356"/>
    <cellStyle name="40% - Accent5 10 2" xfId="13357"/>
    <cellStyle name="40% - Accent5 10 2 2" xfId="13358"/>
    <cellStyle name="40% - Accent5 10 2 2 2" xfId="13359"/>
    <cellStyle name="40% - Accent5 10 2 2 3" xfId="13360"/>
    <cellStyle name="40% - Accent5 10 2 3" xfId="13361"/>
    <cellStyle name="40% - Accent5 10 2 3 2" xfId="13362"/>
    <cellStyle name="40% - Accent5 10 2 3 3" xfId="13363"/>
    <cellStyle name="40% - Accent5 10 2 4" xfId="13364"/>
    <cellStyle name="40% - Accent5 10 2 4 2" xfId="13365"/>
    <cellStyle name="40% - Accent5 10 2 4 3" xfId="13366"/>
    <cellStyle name="40% - Accent5 10 2 5" xfId="13367"/>
    <cellStyle name="40% - Accent5 10 2 6" xfId="13368"/>
    <cellStyle name="40% - Accent5 10 2_Volatility" xfId="13369"/>
    <cellStyle name="40% - Accent5 10 3" xfId="13370"/>
    <cellStyle name="40% - Accent5 10 3 2" xfId="13371"/>
    <cellStyle name="40% - Accent5 10 3 2 2" xfId="13372"/>
    <cellStyle name="40% - Accent5 10 3 2 3" xfId="13373"/>
    <cellStyle name="40% - Accent5 10 3 3" xfId="13374"/>
    <cellStyle name="40% - Accent5 10 3 3 2" xfId="13375"/>
    <cellStyle name="40% - Accent5 10 3 3 3" xfId="13376"/>
    <cellStyle name="40% - Accent5 10 3 4" xfId="13377"/>
    <cellStyle name="40% - Accent5 10 3 5" xfId="13378"/>
    <cellStyle name="40% - Accent5 10 3_Volatility" xfId="13379"/>
    <cellStyle name="40% - Accent5 10 4" xfId="13380"/>
    <cellStyle name="40% - Accent5 10 4 2" xfId="13381"/>
    <cellStyle name="40% - Accent5 10 4 3" xfId="13382"/>
    <cellStyle name="40% - Accent5 10 5" xfId="13383"/>
    <cellStyle name="40% - Accent5 10 5 2" xfId="13384"/>
    <cellStyle name="40% - Accent5 10 5 3" xfId="13385"/>
    <cellStyle name="40% - Accent5 10 6" xfId="13386"/>
    <cellStyle name="40% - Accent5 10 6 2" xfId="13387"/>
    <cellStyle name="40% - Accent5 10 6 3" xfId="13388"/>
    <cellStyle name="40% - Accent5 10 7" xfId="13389"/>
    <cellStyle name="40% - Accent5 10 8" xfId="13390"/>
    <cellStyle name="40% - Accent5 10_Volatility" xfId="13391"/>
    <cellStyle name="40% - Accent5 11" xfId="13392"/>
    <cellStyle name="40% - Accent5 11 2" xfId="13393"/>
    <cellStyle name="40% - Accent5 11 2 2" xfId="13394"/>
    <cellStyle name="40% - Accent5 11 2 2 2" xfId="13395"/>
    <cellStyle name="40% - Accent5 11 2 2 3" xfId="13396"/>
    <cellStyle name="40% - Accent5 11 2 3" xfId="13397"/>
    <cellStyle name="40% - Accent5 11 2 3 2" xfId="13398"/>
    <cellStyle name="40% - Accent5 11 2 3 3" xfId="13399"/>
    <cellStyle name="40% - Accent5 11 2 4" xfId="13400"/>
    <cellStyle name="40% - Accent5 11 2 4 2" xfId="13401"/>
    <cellStyle name="40% - Accent5 11 2 4 3" xfId="13402"/>
    <cellStyle name="40% - Accent5 11 2 5" xfId="13403"/>
    <cellStyle name="40% - Accent5 11 2 6" xfId="13404"/>
    <cellStyle name="40% - Accent5 11 2_Volatility" xfId="13405"/>
    <cellStyle name="40% - Accent5 11 3" xfId="13406"/>
    <cellStyle name="40% - Accent5 11 3 2" xfId="13407"/>
    <cellStyle name="40% - Accent5 11 3 2 2" xfId="13408"/>
    <cellStyle name="40% - Accent5 11 3 2 3" xfId="13409"/>
    <cellStyle name="40% - Accent5 11 3 3" xfId="13410"/>
    <cellStyle name="40% - Accent5 11 3 3 2" xfId="13411"/>
    <cellStyle name="40% - Accent5 11 3 3 3" xfId="13412"/>
    <cellStyle name="40% - Accent5 11 3 4" xfId="13413"/>
    <cellStyle name="40% - Accent5 11 3 5" xfId="13414"/>
    <cellStyle name="40% - Accent5 11 3_Volatility" xfId="13415"/>
    <cellStyle name="40% - Accent5 11 4" xfId="13416"/>
    <cellStyle name="40% - Accent5 11 4 2" xfId="13417"/>
    <cellStyle name="40% - Accent5 11 4 3" xfId="13418"/>
    <cellStyle name="40% - Accent5 11 5" xfId="13419"/>
    <cellStyle name="40% - Accent5 11 5 2" xfId="13420"/>
    <cellStyle name="40% - Accent5 11 5 3" xfId="13421"/>
    <cellStyle name="40% - Accent5 11 6" xfId="13422"/>
    <cellStyle name="40% - Accent5 11 6 2" xfId="13423"/>
    <cellStyle name="40% - Accent5 11 6 3" xfId="13424"/>
    <cellStyle name="40% - Accent5 11 7" xfId="13425"/>
    <cellStyle name="40% - Accent5 11 8" xfId="13426"/>
    <cellStyle name="40% - Accent5 11_Volatility" xfId="13427"/>
    <cellStyle name="40% - Accent5 12" xfId="13428"/>
    <cellStyle name="40% - Accent5 12 2" xfId="13429"/>
    <cellStyle name="40% - Accent5 12 2 2" xfId="13430"/>
    <cellStyle name="40% - Accent5 12 2 2 2" xfId="13431"/>
    <cellStyle name="40% - Accent5 12 2 2 3" xfId="13432"/>
    <cellStyle name="40% - Accent5 12 2 3" xfId="13433"/>
    <cellStyle name="40% - Accent5 12 2 3 2" xfId="13434"/>
    <cellStyle name="40% - Accent5 12 2 3 3" xfId="13435"/>
    <cellStyle name="40% - Accent5 12 2 4" xfId="13436"/>
    <cellStyle name="40% - Accent5 12 2 4 2" xfId="13437"/>
    <cellStyle name="40% - Accent5 12 2 4 3" xfId="13438"/>
    <cellStyle name="40% - Accent5 12 2 5" xfId="13439"/>
    <cellStyle name="40% - Accent5 12 2 6" xfId="13440"/>
    <cellStyle name="40% - Accent5 12 2_Volatility" xfId="13441"/>
    <cellStyle name="40% - Accent5 12 3" xfId="13442"/>
    <cellStyle name="40% - Accent5 12 3 2" xfId="13443"/>
    <cellStyle name="40% - Accent5 12 3 2 2" xfId="13444"/>
    <cellStyle name="40% - Accent5 12 3 2 3" xfId="13445"/>
    <cellStyle name="40% - Accent5 12 3 3" xfId="13446"/>
    <cellStyle name="40% - Accent5 12 3 3 2" xfId="13447"/>
    <cellStyle name="40% - Accent5 12 3 3 3" xfId="13448"/>
    <cellStyle name="40% - Accent5 12 3 4" xfId="13449"/>
    <cellStyle name="40% - Accent5 12 3 5" xfId="13450"/>
    <cellStyle name="40% - Accent5 12 3_Volatility" xfId="13451"/>
    <cellStyle name="40% - Accent5 12 4" xfId="13452"/>
    <cellStyle name="40% - Accent5 12 4 2" xfId="13453"/>
    <cellStyle name="40% - Accent5 12 4 3" xfId="13454"/>
    <cellStyle name="40% - Accent5 12 5" xfId="13455"/>
    <cellStyle name="40% - Accent5 12 5 2" xfId="13456"/>
    <cellStyle name="40% - Accent5 12 5 3" xfId="13457"/>
    <cellStyle name="40% - Accent5 12 6" xfId="13458"/>
    <cellStyle name="40% - Accent5 12 6 2" xfId="13459"/>
    <cellStyle name="40% - Accent5 12 6 3" xfId="13460"/>
    <cellStyle name="40% - Accent5 12 7" xfId="13461"/>
    <cellStyle name="40% - Accent5 12 8" xfId="13462"/>
    <cellStyle name="40% - Accent5 12_Volatility" xfId="13463"/>
    <cellStyle name="40% - Accent5 13" xfId="13464"/>
    <cellStyle name="40% - Accent5 13 2" xfId="13465"/>
    <cellStyle name="40% - Accent5 13 2 2" xfId="13466"/>
    <cellStyle name="40% - Accent5 13 2 2 2" xfId="13467"/>
    <cellStyle name="40% - Accent5 13 2 2 3" xfId="13468"/>
    <cellStyle name="40% - Accent5 13 2 3" xfId="13469"/>
    <cellStyle name="40% - Accent5 13 2 3 2" xfId="13470"/>
    <cellStyle name="40% - Accent5 13 2 3 3" xfId="13471"/>
    <cellStyle name="40% - Accent5 13 2 4" xfId="13472"/>
    <cellStyle name="40% - Accent5 13 2 4 2" xfId="13473"/>
    <cellStyle name="40% - Accent5 13 2 4 3" xfId="13474"/>
    <cellStyle name="40% - Accent5 13 2 5" xfId="13475"/>
    <cellStyle name="40% - Accent5 13 2 6" xfId="13476"/>
    <cellStyle name="40% - Accent5 13 2_Volatility" xfId="13477"/>
    <cellStyle name="40% - Accent5 13 3" xfId="13478"/>
    <cellStyle name="40% - Accent5 13 3 2" xfId="13479"/>
    <cellStyle name="40% - Accent5 13 3 2 2" xfId="13480"/>
    <cellStyle name="40% - Accent5 13 3 2 3" xfId="13481"/>
    <cellStyle name="40% - Accent5 13 3 3" xfId="13482"/>
    <cellStyle name="40% - Accent5 13 3 3 2" xfId="13483"/>
    <cellStyle name="40% - Accent5 13 3 3 3" xfId="13484"/>
    <cellStyle name="40% - Accent5 13 3 4" xfId="13485"/>
    <cellStyle name="40% - Accent5 13 3 5" xfId="13486"/>
    <cellStyle name="40% - Accent5 13 3_Volatility" xfId="13487"/>
    <cellStyle name="40% - Accent5 13 4" xfId="13488"/>
    <cellStyle name="40% - Accent5 13 4 2" xfId="13489"/>
    <cellStyle name="40% - Accent5 13 4 3" xfId="13490"/>
    <cellStyle name="40% - Accent5 13 5" xfId="13491"/>
    <cellStyle name="40% - Accent5 13 5 2" xfId="13492"/>
    <cellStyle name="40% - Accent5 13 5 3" xfId="13493"/>
    <cellStyle name="40% - Accent5 13 6" xfId="13494"/>
    <cellStyle name="40% - Accent5 13 6 2" xfId="13495"/>
    <cellStyle name="40% - Accent5 13 6 3" xfId="13496"/>
    <cellStyle name="40% - Accent5 13 7" xfId="13497"/>
    <cellStyle name="40% - Accent5 13 8" xfId="13498"/>
    <cellStyle name="40% - Accent5 13_Volatility" xfId="13499"/>
    <cellStyle name="40% - Accent5 14" xfId="13500"/>
    <cellStyle name="40% - Accent5 14 2" xfId="13501"/>
    <cellStyle name="40% - Accent5 14 2 2" xfId="13502"/>
    <cellStyle name="40% - Accent5 14 2 2 2" xfId="13503"/>
    <cellStyle name="40% - Accent5 14 2 2 3" xfId="13504"/>
    <cellStyle name="40% - Accent5 14 2 3" xfId="13505"/>
    <cellStyle name="40% - Accent5 14 2 3 2" xfId="13506"/>
    <cellStyle name="40% - Accent5 14 2 3 3" xfId="13507"/>
    <cellStyle name="40% - Accent5 14 2 4" xfId="13508"/>
    <cellStyle name="40% - Accent5 14 2 4 2" xfId="13509"/>
    <cellStyle name="40% - Accent5 14 2 4 3" xfId="13510"/>
    <cellStyle name="40% - Accent5 14 2 5" xfId="13511"/>
    <cellStyle name="40% - Accent5 14 2 6" xfId="13512"/>
    <cellStyle name="40% - Accent5 14 2_Volatility" xfId="13513"/>
    <cellStyle name="40% - Accent5 14 3" xfId="13514"/>
    <cellStyle name="40% - Accent5 14 3 2" xfId="13515"/>
    <cellStyle name="40% - Accent5 14 3 2 2" xfId="13516"/>
    <cellStyle name="40% - Accent5 14 3 2 3" xfId="13517"/>
    <cellStyle name="40% - Accent5 14 3 3" xfId="13518"/>
    <cellStyle name="40% - Accent5 14 3 3 2" xfId="13519"/>
    <cellStyle name="40% - Accent5 14 3 3 3" xfId="13520"/>
    <cellStyle name="40% - Accent5 14 3 4" xfId="13521"/>
    <cellStyle name="40% - Accent5 14 3 5" xfId="13522"/>
    <cellStyle name="40% - Accent5 14 3_Volatility" xfId="13523"/>
    <cellStyle name="40% - Accent5 14 4" xfId="13524"/>
    <cellStyle name="40% - Accent5 14 4 2" xfId="13525"/>
    <cellStyle name="40% - Accent5 14 4 3" xfId="13526"/>
    <cellStyle name="40% - Accent5 14 5" xfId="13527"/>
    <cellStyle name="40% - Accent5 14 5 2" xfId="13528"/>
    <cellStyle name="40% - Accent5 14 5 3" xfId="13529"/>
    <cellStyle name="40% - Accent5 14 6" xfId="13530"/>
    <cellStyle name="40% - Accent5 14 6 2" xfId="13531"/>
    <cellStyle name="40% - Accent5 14 6 3" xfId="13532"/>
    <cellStyle name="40% - Accent5 14 7" xfId="13533"/>
    <cellStyle name="40% - Accent5 14 8" xfId="13534"/>
    <cellStyle name="40% - Accent5 14_Volatility" xfId="13535"/>
    <cellStyle name="40% - Accent5 15" xfId="13536"/>
    <cellStyle name="40% - Accent5 15 2" xfId="13537"/>
    <cellStyle name="40% - Accent5 15 2 2" xfId="13538"/>
    <cellStyle name="40% - Accent5 15 2 2 2" xfId="13539"/>
    <cellStyle name="40% - Accent5 15 2 2 3" xfId="13540"/>
    <cellStyle name="40% - Accent5 15 2 3" xfId="13541"/>
    <cellStyle name="40% - Accent5 15 2 3 2" xfId="13542"/>
    <cellStyle name="40% - Accent5 15 2 3 3" xfId="13543"/>
    <cellStyle name="40% - Accent5 15 2 4" xfId="13544"/>
    <cellStyle name="40% - Accent5 15 2 4 2" xfId="13545"/>
    <cellStyle name="40% - Accent5 15 2 4 3" xfId="13546"/>
    <cellStyle name="40% - Accent5 15 2 5" xfId="13547"/>
    <cellStyle name="40% - Accent5 15 2 6" xfId="13548"/>
    <cellStyle name="40% - Accent5 15 2_Volatility" xfId="13549"/>
    <cellStyle name="40% - Accent5 15 3" xfId="13550"/>
    <cellStyle name="40% - Accent5 15 3 2" xfId="13551"/>
    <cellStyle name="40% - Accent5 15 3 2 2" xfId="13552"/>
    <cellStyle name="40% - Accent5 15 3 2 3" xfId="13553"/>
    <cellStyle name="40% - Accent5 15 3 3" xfId="13554"/>
    <cellStyle name="40% - Accent5 15 3 3 2" xfId="13555"/>
    <cellStyle name="40% - Accent5 15 3 3 3" xfId="13556"/>
    <cellStyle name="40% - Accent5 15 3 4" xfId="13557"/>
    <cellStyle name="40% - Accent5 15 3 5" xfId="13558"/>
    <cellStyle name="40% - Accent5 15 3_Volatility" xfId="13559"/>
    <cellStyle name="40% - Accent5 15 4" xfId="13560"/>
    <cellStyle name="40% - Accent5 15 4 2" xfId="13561"/>
    <cellStyle name="40% - Accent5 15 4 3" xfId="13562"/>
    <cellStyle name="40% - Accent5 15 5" xfId="13563"/>
    <cellStyle name="40% - Accent5 15 5 2" xfId="13564"/>
    <cellStyle name="40% - Accent5 15 5 3" xfId="13565"/>
    <cellStyle name="40% - Accent5 15 6" xfId="13566"/>
    <cellStyle name="40% - Accent5 15 6 2" xfId="13567"/>
    <cellStyle name="40% - Accent5 15 6 3" xfId="13568"/>
    <cellStyle name="40% - Accent5 15 7" xfId="13569"/>
    <cellStyle name="40% - Accent5 15 8" xfId="13570"/>
    <cellStyle name="40% - Accent5 15_Volatility" xfId="13571"/>
    <cellStyle name="40% - Accent5 16" xfId="13572"/>
    <cellStyle name="40% - Accent5 16 2" xfId="13573"/>
    <cellStyle name="40% - Accent5 16 3" xfId="13574"/>
    <cellStyle name="40% - Accent5 17" xfId="13575"/>
    <cellStyle name="40% - Accent5 17 2" xfId="13576"/>
    <cellStyle name="40% - Accent5 17 3" xfId="13577"/>
    <cellStyle name="40% - Accent5 18" xfId="13578"/>
    <cellStyle name="40% - Accent5 18 2" xfId="13579"/>
    <cellStyle name="40% - Accent5 18 3" xfId="13580"/>
    <cellStyle name="40% - Accent5 19" xfId="13581"/>
    <cellStyle name="40% - Accent5 19 2" xfId="13582"/>
    <cellStyle name="40% - Accent5 19 3" xfId="13583"/>
    <cellStyle name="40% - Accent5 2" xfId="13584"/>
    <cellStyle name="40% - Accent5 2 2" xfId="13585"/>
    <cellStyle name="40% - Accent5 2 2 2" xfId="13586"/>
    <cellStyle name="40% - Accent5 2 2 2 2" xfId="13587"/>
    <cellStyle name="40% - Accent5 2 2 2 3" xfId="13588"/>
    <cellStyle name="40% - Accent5 2 2 3" xfId="13589"/>
    <cellStyle name="40% - Accent5 2 2 3 2" xfId="13590"/>
    <cellStyle name="40% - Accent5 2 2 3 3" xfId="13591"/>
    <cellStyle name="40% - Accent5 2 2 4" xfId="13592"/>
    <cellStyle name="40% - Accent5 2 2 4 2" xfId="13593"/>
    <cellStyle name="40% - Accent5 2 2 4 3" xfId="13594"/>
    <cellStyle name="40% - Accent5 2 2 5" xfId="13595"/>
    <cellStyle name="40% - Accent5 2 2 6" xfId="13596"/>
    <cellStyle name="40% - Accent5 2 2_Volatility" xfId="13597"/>
    <cellStyle name="40% - Accent5 2 3" xfId="13598"/>
    <cellStyle name="40% - Accent5 2 3 2" xfId="13599"/>
    <cellStyle name="40% - Accent5 2 3 2 2" xfId="13600"/>
    <cellStyle name="40% - Accent5 2 3 2 3" xfId="13601"/>
    <cellStyle name="40% - Accent5 2 3 3" xfId="13602"/>
    <cellStyle name="40% - Accent5 2 3 3 2" xfId="13603"/>
    <cellStyle name="40% - Accent5 2 3 3 3" xfId="13604"/>
    <cellStyle name="40% - Accent5 2 3 4" xfId="13605"/>
    <cellStyle name="40% - Accent5 2 3 5" xfId="13606"/>
    <cellStyle name="40% - Accent5 2 3_Volatility" xfId="13607"/>
    <cellStyle name="40% - Accent5 2 4" xfId="13608"/>
    <cellStyle name="40% - Accent5 2 4 2" xfId="13609"/>
    <cellStyle name="40% - Accent5 2 4 3" xfId="13610"/>
    <cellStyle name="40% - Accent5 2 5" xfId="13611"/>
    <cellStyle name="40% - Accent5 2 5 2" xfId="13612"/>
    <cellStyle name="40% - Accent5 2 5 3" xfId="13613"/>
    <cellStyle name="40% - Accent5 2 6" xfId="13614"/>
    <cellStyle name="40% - Accent5 2 6 2" xfId="13615"/>
    <cellStyle name="40% - Accent5 2 6 3" xfId="13616"/>
    <cellStyle name="40% - Accent5 2 7" xfId="13617"/>
    <cellStyle name="40% - Accent5 2 8" xfId="13618"/>
    <cellStyle name="40% - Accent5 2_Volatility" xfId="13619"/>
    <cellStyle name="40% - Accent5 3" xfId="13620"/>
    <cellStyle name="40% - Accent5 3 2" xfId="13621"/>
    <cellStyle name="40% - Accent5 3 2 2" xfId="13622"/>
    <cellStyle name="40% - Accent5 3 2 2 2" xfId="13623"/>
    <cellStyle name="40% - Accent5 3 2 2 3" xfId="13624"/>
    <cellStyle name="40% - Accent5 3 2 3" xfId="13625"/>
    <cellStyle name="40% - Accent5 3 2 3 2" xfId="13626"/>
    <cellStyle name="40% - Accent5 3 2 3 3" xfId="13627"/>
    <cellStyle name="40% - Accent5 3 2 4" xfId="13628"/>
    <cellStyle name="40% - Accent5 3 2 4 2" xfId="13629"/>
    <cellStyle name="40% - Accent5 3 2 4 3" xfId="13630"/>
    <cellStyle name="40% - Accent5 3 2 5" xfId="13631"/>
    <cellStyle name="40% - Accent5 3 2 6" xfId="13632"/>
    <cellStyle name="40% - Accent5 3 2_Volatility" xfId="13633"/>
    <cellStyle name="40% - Accent5 3 3" xfId="13634"/>
    <cellStyle name="40% - Accent5 3 3 2" xfId="13635"/>
    <cellStyle name="40% - Accent5 3 3 2 2" xfId="13636"/>
    <cellStyle name="40% - Accent5 3 3 2 3" xfId="13637"/>
    <cellStyle name="40% - Accent5 3 3 3" xfId="13638"/>
    <cellStyle name="40% - Accent5 3 3 3 2" xfId="13639"/>
    <cellStyle name="40% - Accent5 3 3 3 3" xfId="13640"/>
    <cellStyle name="40% - Accent5 3 3 4" xfId="13641"/>
    <cellStyle name="40% - Accent5 3 3 5" xfId="13642"/>
    <cellStyle name="40% - Accent5 3 3_Volatility" xfId="13643"/>
    <cellStyle name="40% - Accent5 3 4" xfId="13644"/>
    <cellStyle name="40% - Accent5 3 4 2" xfId="13645"/>
    <cellStyle name="40% - Accent5 3 4 3" xfId="13646"/>
    <cellStyle name="40% - Accent5 3 5" xfId="13647"/>
    <cellStyle name="40% - Accent5 3 5 2" xfId="13648"/>
    <cellStyle name="40% - Accent5 3 5 3" xfId="13649"/>
    <cellStyle name="40% - Accent5 3 6" xfId="13650"/>
    <cellStyle name="40% - Accent5 3 6 2" xfId="13651"/>
    <cellStyle name="40% - Accent5 3 6 3" xfId="13652"/>
    <cellStyle name="40% - Accent5 3 7" xfId="13653"/>
    <cellStyle name="40% - Accent5 3 8" xfId="13654"/>
    <cellStyle name="40% - Accent5 3_Volatility" xfId="13655"/>
    <cellStyle name="40% - Accent5 4" xfId="13656"/>
    <cellStyle name="40% - Accent5 4 2" xfId="13657"/>
    <cellStyle name="40% - Accent5 4 2 2" xfId="13658"/>
    <cellStyle name="40% - Accent5 4 2 2 2" xfId="13659"/>
    <cellStyle name="40% - Accent5 4 2 2 3" xfId="13660"/>
    <cellStyle name="40% - Accent5 4 2 3" xfId="13661"/>
    <cellStyle name="40% - Accent5 4 2 3 2" xfId="13662"/>
    <cellStyle name="40% - Accent5 4 2 3 3" xfId="13663"/>
    <cellStyle name="40% - Accent5 4 2 4" xfId="13664"/>
    <cellStyle name="40% - Accent5 4 2 4 2" xfId="13665"/>
    <cellStyle name="40% - Accent5 4 2 4 3" xfId="13666"/>
    <cellStyle name="40% - Accent5 4 2 5" xfId="13667"/>
    <cellStyle name="40% - Accent5 4 2 6" xfId="13668"/>
    <cellStyle name="40% - Accent5 4 2_Volatility" xfId="13669"/>
    <cellStyle name="40% - Accent5 4 3" xfId="13670"/>
    <cellStyle name="40% - Accent5 4 3 2" xfId="13671"/>
    <cellStyle name="40% - Accent5 4 3 2 2" xfId="13672"/>
    <cellStyle name="40% - Accent5 4 3 2 3" xfId="13673"/>
    <cellStyle name="40% - Accent5 4 3 3" xfId="13674"/>
    <cellStyle name="40% - Accent5 4 3 3 2" xfId="13675"/>
    <cellStyle name="40% - Accent5 4 3 3 3" xfId="13676"/>
    <cellStyle name="40% - Accent5 4 3 4" xfId="13677"/>
    <cellStyle name="40% - Accent5 4 3 5" xfId="13678"/>
    <cellStyle name="40% - Accent5 4 3_Volatility" xfId="13679"/>
    <cellStyle name="40% - Accent5 4 4" xfId="13680"/>
    <cellStyle name="40% - Accent5 4 4 2" xfId="13681"/>
    <cellStyle name="40% - Accent5 4 4 3" xfId="13682"/>
    <cellStyle name="40% - Accent5 4 5" xfId="13683"/>
    <cellStyle name="40% - Accent5 4 5 2" xfId="13684"/>
    <cellStyle name="40% - Accent5 4 5 3" xfId="13685"/>
    <cellStyle name="40% - Accent5 4 6" xfId="13686"/>
    <cellStyle name="40% - Accent5 4 6 2" xfId="13687"/>
    <cellStyle name="40% - Accent5 4 6 3" xfId="13688"/>
    <cellStyle name="40% - Accent5 4 7" xfId="13689"/>
    <cellStyle name="40% - Accent5 4 8" xfId="13690"/>
    <cellStyle name="40% - Accent5 4_Volatility" xfId="13691"/>
    <cellStyle name="40% - Accent5 5" xfId="13692"/>
    <cellStyle name="40% - Accent5 5 2" xfId="13693"/>
    <cellStyle name="40% - Accent5 5 2 2" xfId="13694"/>
    <cellStyle name="40% - Accent5 5 2 2 2" xfId="13695"/>
    <cellStyle name="40% - Accent5 5 2 2 3" xfId="13696"/>
    <cellStyle name="40% - Accent5 5 2 3" xfId="13697"/>
    <cellStyle name="40% - Accent5 5 2 3 2" xfId="13698"/>
    <cellStyle name="40% - Accent5 5 2 3 3" xfId="13699"/>
    <cellStyle name="40% - Accent5 5 2 4" xfId="13700"/>
    <cellStyle name="40% - Accent5 5 2 4 2" xfId="13701"/>
    <cellStyle name="40% - Accent5 5 2 4 3" xfId="13702"/>
    <cellStyle name="40% - Accent5 5 2 5" xfId="13703"/>
    <cellStyle name="40% - Accent5 5 2 6" xfId="13704"/>
    <cellStyle name="40% - Accent5 5 2_Volatility" xfId="13705"/>
    <cellStyle name="40% - Accent5 5 3" xfId="13706"/>
    <cellStyle name="40% - Accent5 5 3 2" xfId="13707"/>
    <cellStyle name="40% - Accent5 5 3 2 2" xfId="13708"/>
    <cellStyle name="40% - Accent5 5 3 2 3" xfId="13709"/>
    <cellStyle name="40% - Accent5 5 3 3" xfId="13710"/>
    <cellStyle name="40% - Accent5 5 3 3 2" xfId="13711"/>
    <cellStyle name="40% - Accent5 5 3 3 3" xfId="13712"/>
    <cellStyle name="40% - Accent5 5 3 4" xfId="13713"/>
    <cellStyle name="40% - Accent5 5 3 5" xfId="13714"/>
    <cellStyle name="40% - Accent5 5 3_Volatility" xfId="13715"/>
    <cellStyle name="40% - Accent5 5 4" xfId="13716"/>
    <cellStyle name="40% - Accent5 5 4 2" xfId="13717"/>
    <cellStyle name="40% - Accent5 5 4 3" xfId="13718"/>
    <cellStyle name="40% - Accent5 5 5" xfId="13719"/>
    <cellStyle name="40% - Accent5 5 5 2" xfId="13720"/>
    <cellStyle name="40% - Accent5 5 5 3" xfId="13721"/>
    <cellStyle name="40% - Accent5 5 6" xfId="13722"/>
    <cellStyle name="40% - Accent5 5 6 2" xfId="13723"/>
    <cellStyle name="40% - Accent5 5 6 3" xfId="13724"/>
    <cellStyle name="40% - Accent5 5 7" xfId="13725"/>
    <cellStyle name="40% - Accent5 5 8" xfId="13726"/>
    <cellStyle name="40% - Accent5 5_Volatility" xfId="13727"/>
    <cellStyle name="40% - Accent5 6" xfId="13728"/>
    <cellStyle name="40% - Accent5 6 2" xfId="13729"/>
    <cellStyle name="40% - Accent5 6 2 2" xfId="13730"/>
    <cellStyle name="40% - Accent5 6 2 2 2" xfId="13731"/>
    <cellStyle name="40% - Accent5 6 2 2 3" xfId="13732"/>
    <cellStyle name="40% - Accent5 6 2 3" xfId="13733"/>
    <cellStyle name="40% - Accent5 6 2 3 2" xfId="13734"/>
    <cellStyle name="40% - Accent5 6 2 3 3" xfId="13735"/>
    <cellStyle name="40% - Accent5 6 2 4" xfId="13736"/>
    <cellStyle name="40% - Accent5 6 2 4 2" xfId="13737"/>
    <cellStyle name="40% - Accent5 6 2 4 3" xfId="13738"/>
    <cellStyle name="40% - Accent5 6 2 5" xfId="13739"/>
    <cellStyle name="40% - Accent5 6 2 6" xfId="13740"/>
    <cellStyle name="40% - Accent5 6 2_Volatility" xfId="13741"/>
    <cellStyle name="40% - Accent5 6 3" xfId="13742"/>
    <cellStyle name="40% - Accent5 6 3 2" xfId="13743"/>
    <cellStyle name="40% - Accent5 6 3 2 2" xfId="13744"/>
    <cellStyle name="40% - Accent5 6 3 2 3" xfId="13745"/>
    <cellStyle name="40% - Accent5 6 3 3" xfId="13746"/>
    <cellStyle name="40% - Accent5 6 3 3 2" xfId="13747"/>
    <cellStyle name="40% - Accent5 6 3 3 3" xfId="13748"/>
    <cellStyle name="40% - Accent5 6 3 4" xfId="13749"/>
    <cellStyle name="40% - Accent5 6 3 5" xfId="13750"/>
    <cellStyle name="40% - Accent5 6 3_Volatility" xfId="13751"/>
    <cellStyle name="40% - Accent5 6 4" xfId="13752"/>
    <cellStyle name="40% - Accent5 6 4 2" xfId="13753"/>
    <cellStyle name="40% - Accent5 6 4 3" xfId="13754"/>
    <cellStyle name="40% - Accent5 6 5" xfId="13755"/>
    <cellStyle name="40% - Accent5 6 5 2" xfId="13756"/>
    <cellStyle name="40% - Accent5 6 5 3" xfId="13757"/>
    <cellStyle name="40% - Accent5 6 6" xfId="13758"/>
    <cellStyle name="40% - Accent5 6 6 2" xfId="13759"/>
    <cellStyle name="40% - Accent5 6 6 3" xfId="13760"/>
    <cellStyle name="40% - Accent5 6 7" xfId="13761"/>
    <cellStyle name="40% - Accent5 6 8" xfId="13762"/>
    <cellStyle name="40% - Accent5 6_Volatility" xfId="13763"/>
    <cellStyle name="40% - Accent5 7" xfId="13764"/>
    <cellStyle name="40% - Accent5 7 2" xfId="13765"/>
    <cellStyle name="40% - Accent5 7 2 2" xfId="13766"/>
    <cellStyle name="40% - Accent5 7 2 2 2" xfId="13767"/>
    <cellStyle name="40% - Accent5 7 2 2 3" xfId="13768"/>
    <cellStyle name="40% - Accent5 7 2 3" xfId="13769"/>
    <cellStyle name="40% - Accent5 7 2 3 2" xfId="13770"/>
    <cellStyle name="40% - Accent5 7 2 3 3" xfId="13771"/>
    <cellStyle name="40% - Accent5 7 2 4" xfId="13772"/>
    <cellStyle name="40% - Accent5 7 2 4 2" xfId="13773"/>
    <cellStyle name="40% - Accent5 7 2 4 3" xfId="13774"/>
    <cellStyle name="40% - Accent5 7 2 5" xfId="13775"/>
    <cellStyle name="40% - Accent5 7 2 6" xfId="13776"/>
    <cellStyle name="40% - Accent5 7 2_Volatility" xfId="13777"/>
    <cellStyle name="40% - Accent5 7 3" xfId="13778"/>
    <cellStyle name="40% - Accent5 7 3 2" xfId="13779"/>
    <cellStyle name="40% - Accent5 7 3 2 2" xfId="13780"/>
    <cellStyle name="40% - Accent5 7 3 2 3" xfId="13781"/>
    <cellStyle name="40% - Accent5 7 3 3" xfId="13782"/>
    <cellStyle name="40% - Accent5 7 3 3 2" xfId="13783"/>
    <cellStyle name="40% - Accent5 7 3 3 3" xfId="13784"/>
    <cellStyle name="40% - Accent5 7 3 4" xfId="13785"/>
    <cellStyle name="40% - Accent5 7 3 5" xfId="13786"/>
    <cellStyle name="40% - Accent5 7 3_Volatility" xfId="13787"/>
    <cellStyle name="40% - Accent5 7 4" xfId="13788"/>
    <cellStyle name="40% - Accent5 7 4 2" xfId="13789"/>
    <cellStyle name="40% - Accent5 7 4 3" xfId="13790"/>
    <cellStyle name="40% - Accent5 7 5" xfId="13791"/>
    <cellStyle name="40% - Accent5 7 5 2" xfId="13792"/>
    <cellStyle name="40% - Accent5 7 5 3" xfId="13793"/>
    <cellStyle name="40% - Accent5 7 6" xfId="13794"/>
    <cellStyle name="40% - Accent5 7 6 2" xfId="13795"/>
    <cellStyle name="40% - Accent5 7 6 3" xfId="13796"/>
    <cellStyle name="40% - Accent5 7 7" xfId="13797"/>
    <cellStyle name="40% - Accent5 7 8" xfId="13798"/>
    <cellStyle name="40% - Accent5 7_Volatility" xfId="13799"/>
    <cellStyle name="40% - Accent5 8" xfId="13800"/>
    <cellStyle name="40% - Accent5 8 2" xfId="13801"/>
    <cellStyle name="40% - Accent5 8 2 2" xfId="13802"/>
    <cellStyle name="40% - Accent5 8 2 2 2" xfId="13803"/>
    <cellStyle name="40% - Accent5 8 2 2 3" xfId="13804"/>
    <cellStyle name="40% - Accent5 8 2 3" xfId="13805"/>
    <cellStyle name="40% - Accent5 8 2 3 2" xfId="13806"/>
    <cellStyle name="40% - Accent5 8 2 3 3" xfId="13807"/>
    <cellStyle name="40% - Accent5 8 2 4" xfId="13808"/>
    <cellStyle name="40% - Accent5 8 2 4 2" xfId="13809"/>
    <cellStyle name="40% - Accent5 8 2 4 3" xfId="13810"/>
    <cellStyle name="40% - Accent5 8 2 5" xfId="13811"/>
    <cellStyle name="40% - Accent5 8 2 6" xfId="13812"/>
    <cellStyle name="40% - Accent5 8 2_Volatility" xfId="13813"/>
    <cellStyle name="40% - Accent5 8 3" xfId="13814"/>
    <cellStyle name="40% - Accent5 8 3 2" xfId="13815"/>
    <cellStyle name="40% - Accent5 8 3 2 2" xfId="13816"/>
    <cellStyle name="40% - Accent5 8 3 2 3" xfId="13817"/>
    <cellStyle name="40% - Accent5 8 3 3" xfId="13818"/>
    <cellStyle name="40% - Accent5 8 3 3 2" xfId="13819"/>
    <cellStyle name="40% - Accent5 8 3 3 3" xfId="13820"/>
    <cellStyle name="40% - Accent5 8 3 4" xfId="13821"/>
    <cellStyle name="40% - Accent5 8 3 5" xfId="13822"/>
    <cellStyle name="40% - Accent5 8 3_Volatility" xfId="13823"/>
    <cellStyle name="40% - Accent5 8 4" xfId="13824"/>
    <cellStyle name="40% - Accent5 8 4 2" xfId="13825"/>
    <cellStyle name="40% - Accent5 8 4 3" xfId="13826"/>
    <cellStyle name="40% - Accent5 8 5" xfId="13827"/>
    <cellStyle name="40% - Accent5 8 5 2" xfId="13828"/>
    <cellStyle name="40% - Accent5 8 5 3" xfId="13829"/>
    <cellStyle name="40% - Accent5 8 6" xfId="13830"/>
    <cellStyle name="40% - Accent5 8 6 2" xfId="13831"/>
    <cellStyle name="40% - Accent5 8 6 3" xfId="13832"/>
    <cellStyle name="40% - Accent5 8 7" xfId="13833"/>
    <cellStyle name="40% - Accent5 8 8" xfId="13834"/>
    <cellStyle name="40% - Accent5 8_Volatility" xfId="13835"/>
    <cellStyle name="40% - Accent5 9" xfId="13836"/>
    <cellStyle name="40% - Accent5 9 2" xfId="13837"/>
    <cellStyle name="40% - Accent5 9 2 2" xfId="13838"/>
    <cellStyle name="40% - Accent5 9 2 2 2" xfId="13839"/>
    <cellStyle name="40% - Accent5 9 2 2 3" xfId="13840"/>
    <cellStyle name="40% - Accent5 9 2 3" xfId="13841"/>
    <cellStyle name="40% - Accent5 9 2 3 2" xfId="13842"/>
    <cellStyle name="40% - Accent5 9 2 3 3" xfId="13843"/>
    <cellStyle name="40% - Accent5 9 2 4" xfId="13844"/>
    <cellStyle name="40% - Accent5 9 2 4 2" xfId="13845"/>
    <cellStyle name="40% - Accent5 9 2 4 3" xfId="13846"/>
    <cellStyle name="40% - Accent5 9 2 5" xfId="13847"/>
    <cellStyle name="40% - Accent5 9 2 6" xfId="13848"/>
    <cellStyle name="40% - Accent5 9 2_Volatility" xfId="13849"/>
    <cellStyle name="40% - Accent5 9 3" xfId="13850"/>
    <cellStyle name="40% - Accent5 9 3 2" xfId="13851"/>
    <cellStyle name="40% - Accent5 9 3 2 2" xfId="13852"/>
    <cellStyle name="40% - Accent5 9 3 2 3" xfId="13853"/>
    <cellStyle name="40% - Accent5 9 3 3" xfId="13854"/>
    <cellStyle name="40% - Accent5 9 3 3 2" xfId="13855"/>
    <cellStyle name="40% - Accent5 9 3 3 3" xfId="13856"/>
    <cellStyle name="40% - Accent5 9 3 4" xfId="13857"/>
    <cellStyle name="40% - Accent5 9 3 5" xfId="13858"/>
    <cellStyle name="40% - Accent5 9 3_Volatility" xfId="13859"/>
    <cellStyle name="40% - Accent5 9 4" xfId="13860"/>
    <cellStyle name="40% - Accent5 9 4 2" xfId="13861"/>
    <cellStyle name="40% - Accent5 9 4 3" xfId="13862"/>
    <cellStyle name="40% - Accent5 9 5" xfId="13863"/>
    <cellStyle name="40% - Accent5 9 5 2" xfId="13864"/>
    <cellStyle name="40% - Accent5 9 5 3" xfId="13865"/>
    <cellStyle name="40% - Accent5 9 6" xfId="13866"/>
    <cellStyle name="40% - Accent5 9 6 2" xfId="13867"/>
    <cellStyle name="40% - Accent5 9 6 3" xfId="13868"/>
    <cellStyle name="40% - Accent5 9 7" xfId="13869"/>
    <cellStyle name="40% - Accent5 9 8" xfId="13870"/>
    <cellStyle name="40% - Accent5 9_Volatility" xfId="13871"/>
    <cellStyle name="40% - Accent6" xfId="41" builtinId="51" customBuiltin="1"/>
    <cellStyle name="40% - Accent6 10" xfId="13872"/>
    <cellStyle name="40% - Accent6 10 2" xfId="13873"/>
    <cellStyle name="40% - Accent6 10 2 2" xfId="13874"/>
    <cellStyle name="40% - Accent6 10 2 2 2" xfId="13875"/>
    <cellStyle name="40% - Accent6 10 2 2 3" xfId="13876"/>
    <cellStyle name="40% - Accent6 10 2 3" xfId="13877"/>
    <cellStyle name="40% - Accent6 10 2 3 2" xfId="13878"/>
    <cellStyle name="40% - Accent6 10 2 3 3" xfId="13879"/>
    <cellStyle name="40% - Accent6 10 2 4" xfId="13880"/>
    <cellStyle name="40% - Accent6 10 2 4 2" xfId="13881"/>
    <cellStyle name="40% - Accent6 10 2 4 3" xfId="13882"/>
    <cellStyle name="40% - Accent6 10 2 5" xfId="13883"/>
    <cellStyle name="40% - Accent6 10 2 6" xfId="13884"/>
    <cellStyle name="40% - Accent6 10 2_Volatility" xfId="13885"/>
    <cellStyle name="40% - Accent6 10 3" xfId="13886"/>
    <cellStyle name="40% - Accent6 10 3 2" xfId="13887"/>
    <cellStyle name="40% - Accent6 10 3 2 2" xfId="13888"/>
    <cellStyle name="40% - Accent6 10 3 2 3" xfId="13889"/>
    <cellStyle name="40% - Accent6 10 3 3" xfId="13890"/>
    <cellStyle name="40% - Accent6 10 3 3 2" xfId="13891"/>
    <cellStyle name="40% - Accent6 10 3 3 3" xfId="13892"/>
    <cellStyle name="40% - Accent6 10 3 4" xfId="13893"/>
    <cellStyle name="40% - Accent6 10 3 5" xfId="13894"/>
    <cellStyle name="40% - Accent6 10 3_Volatility" xfId="13895"/>
    <cellStyle name="40% - Accent6 10 4" xfId="13896"/>
    <cellStyle name="40% - Accent6 10 4 2" xfId="13897"/>
    <cellStyle name="40% - Accent6 10 4 3" xfId="13898"/>
    <cellStyle name="40% - Accent6 10 5" xfId="13899"/>
    <cellStyle name="40% - Accent6 10 5 2" xfId="13900"/>
    <cellStyle name="40% - Accent6 10 5 3" xfId="13901"/>
    <cellStyle name="40% - Accent6 10 6" xfId="13902"/>
    <cellStyle name="40% - Accent6 10 6 2" xfId="13903"/>
    <cellStyle name="40% - Accent6 10 6 3" xfId="13904"/>
    <cellStyle name="40% - Accent6 10 7" xfId="13905"/>
    <cellStyle name="40% - Accent6 10 8" xfId="13906"/>
    <cellStyle name="40% - Accent6 10_Volatility" xfId="13907"/>
    <cellStyle name="40% - Accent6 11" xfId="13908"/>
    <cellStyle name="40% - Accent6 11 2" xfId="13909"/>
    <cellStyle name="40% - Accent6 11 2 2" xfId="13910"/>
    <cellStyle name="40% - Accent6 11 2 2 2" xfId="13911"/>
    <cellStyle name="40% - Accent6 11 2 2 3" xfId="13912"/>
    <cellStyle name="40% - Accent6 11 2 3" xfId="13913"/>
    <cellStyle name="40% - Accent6 11 2 3 2" xfId="13914"/>
    <cellStyle name="40% - Accent6 11 2 3 3" xfId="13915"/>
    <cellStyle name="40% - Accent6 11 2 4" xfId="13916"/>
    <cellStyle name="40% - Accent6 11 2 4 2" xfId="13917"/>
    <cellStyle name="40% - Accent6 11 2 4 3" xfId="13918"/>
    <cellStyle name="40% - Accent6 11 2 5" xfId="13919"/>
    <cellStyle name="40% - Accent6 11 2 6" xfId="13920"/>
    <cellStyle name="40% - Accent6 11 2_Volatility" xfId="13921"/>
    <cellStyle name="40% - Accent6 11 3" xfId="13922"/>
    <cellStyle name="40% - Accent6 11 3 2" xfId="13923"/>
    <cellStyle name="40% - Accent6 11 3 2 2" xfId="13924"/>
    <cellStyle name="40% - Accent6 11 3 2 3" xfId="13925"/>
    <cellStyle name="40% - Accent6 11 3 3" xfId="13926"/>
    <cellStyle name="40% - Accent6 11 3 3 2" xfId="13927"/>
    <cellStyle name="40% - Accent6 11 3 3 3" xfId="13928"/>
    <cellStyle name="40% - Accent6 11 3 4" xfId="13929"/>
    <cellStyle name="40% - Accent6 11 3 5" xfId="13930"/>
    <cellStyle name="40% - Accent6 11 3_Volatility" xfId="13931"/>
    <cellStyle name="40% - Accent6 11 4" xfId="13932"/>
    <cellStyle name="40% - Accent6 11 4 2" xfId="13933"/>
    <cellStyle name="40% - Accent6 11 4 3" xfId="13934"/>
    <cellStyle name="40% - Accent6 11 5" xfId="13935"/>
    <cellStyle name="40% - Accent6 11 5 2" xfId="13936"/>
    <cellStyle name="40% - Accent6 11 5 3" xfId="13937"/>
    <cellStyle name="40% - Accent6 11 6" xfId="13938"/>
    <cellStyle name="40% - Accent6 11 6 2" xfId="13939"/>
    <cellStyle name="40% - Accent6 11 6 3" xfId="13940"/>
    <cellStyle name="40% - Accent6 11 7" xfId="13941"/>
    <cellStyle name="40% - Accent6 11 8" xfId="13942"/>
    <cellStyle name="40% - Accent6 11_Volatility" xfId="13943"/>
    <cellStyle name="40% - Accent6 12" xfId="13944"/>
    <cellStyle name="40% - Accent6 12 2" xfId="13945"/>
    <cellStyle name="40% - Accent6 12 2 2" xfId="13946"/>
    <cellStyle name="40% - Accent6 12 2 2 2" xfId="13947"/>
    <cellStyle name="40% - Accent6 12 2 2 3" xfId="13948"/>
    <cellStyle name="40% - Accent6 12 2 3" xfId="13949"/>
    <cellStyle name="40% - Accent6 12 2 3 2" xfId="13950"/>
    <cellStyle name="40% - Accent6 12 2 3 3" xfId="13951"/>
    <cellStyle name="40% - Accent6 12 2 4" xfId="13952"/>
    <cellStyle name="40% - Accent6 12 2 4 2" xfId="13953"/>
    <cellStyle name="40% - Accent6 12 2 4 3" xfId="13954"/>
    <cellStyle name="40% - Accent6 12 2 5" xfId="13955"/>
    <cellStyle name="40% - Accent6 12 2 6" xfId="13956"/>
    <cellStyle name="40% - Accent6 12 2_Volatility" xfId="13957"/>
    <cellStyle name="40% - Accent6 12 3" xfId="13958"/>
    <cellStyle name="40% - Accent6 12 3 2" xfId="13959"/>
    <cellStyle name="40% - Accent6 12 3 2 2" xfId="13960"/>
    <cellStyle name="40% - Accent6 12 3 2 3" xfId="13961"/>
    <cellStyle name="40% - Accent6 12 3 3" xfId="13962"/>
    <cellStyle name="40% - Accent6 12 3 3 2" xfId="13963"/>
    <cellStyle name="40% - Accent6 12 3 3 3" xfId="13964"/>
    <cellStyle name="40% - Accent6 12 3 4" xfId="13965"/>
    <cellStyle name="40% - Accent6 12 3 5" xfId="13966"/>
    <cellStyle name="40% - Accent6 12 3_Volatility" xfId="13967"/>
    <cellStyle name="40% - Accent6 12 4" xfId="13968"/>
    <cellStyle name="40% - Accent6 12 4 2" xfId="13969"/>
    <cellStyle name="40% - Accent6 12 4 3" xfId="13970"/>
    <cellStyle name="40% - Accent6 12 5" xfId="13971"/>
    <cellStyle name="40% - Accent6 12 5 2" xfId="13972"/>
    <cellStyle name="40% - Accent6 12 5 3" xfId="13973"/>
    <cellStyle name="40% - Accent6 12 6" xfId="13974"/>
    <cellStyle name="40% - Accent6 12 6 2" xfId="13975"/>
    <cellStyle name="40% - Accent6 12 6 3" xfId="13976"/>
    <cellStyle name="40% - Accent6 12 7" xfId="13977"/>
    <cellStyle name="40% - Accent6 12 8" xfId="13978"/>
    <cellStyle name="40% - Accent6 12_Volatility" xfId="13979"/>
    <cellStyle name="40% - Accent6 13" xfId="13980"/>
    <cellStyle name="40% - Accent6 13 2" xfId="13981"/>
    <cellStyle name="40% - Accent6 13 2 2" xfId="13982"/>
    <cellStyle name="40% - Accent6 13 2 2 2" xfId="13983"/>
    <cellStyle name="40% - Accent6 13 2 2 3" xfId="13984"/>
    <cellStyle name="40% - Accent6 13 2 3" xfId="13985"/>
    <cellStyle name="40% - Accent6 13 2 3 2" xfId="13986"/>
    <cellStyle name="40% - Accent6 13 2 3 3" xfId="13987"/>
    <cellStyle name="40% - Accent6 13 2 4" xfId="13988"/>
    <cellStyle name="40% - Accent6 13 2 4 2" xfId="13989"/>
    <cellStyle name="40% - Accent6 13 2 4 3" xfId="13990"/>
    <cellStyle name="40% - Accent6 13 2 5" xfId="13991"/>
    <cellStyle name="40% - Accent6 13 2 6" xfId="13992"/>
    <cellStyle name="40% - Accent6 13 2_Volatility" xfId="13993"/>
    <cellStyle name="40% - Accent6 13 3" xfId="13994"/>
    <cellStyle name="40% - Accent6 13 3 2" xfId="13995"/>
    <cellStyle name="40% - Accent6 13 3 2 2" xfId="13996"/>
    <cellStyle name="40% - Accent6 13 3 2 3" xfId="13997"/>
    <cellStyle name="40% - Accent6 13 3 3" xfId="13998"/>
    <cellStyle name="40% - Accent6 13 3 3 2" xfId="13999"/>
    <cellStyle name="40% - Accent6 13 3 3 3" xfId="14000"/>
    <cellStyle name="40% - Accent6 13 3 4" xfId="14001"/>
    <cellStyle name="40% - Accent6 13 3 5" xfId="14002"/>
    <cellStyle name="40% - Accent6 13 3_Volatility" xfId="14003"/>
    <cellStyle name="40% - Accent6 13 4" xfId="14004"/>
    <cellStyle name="40% - Accent6 13 4 2" xfId="14005"/>
    <cellStyle name="40% - Accent6 13 4 3" xfId="14006"/>
    <cellStyle name="40% - Accent6 13 5" xfId="14007"/>
    <cellStyle name="40% - Accent6 13 5 2" xfId="14008"/>
    <cellStyle name="40% - Accent6 13 5 3" xfId="14009"/>
    <cellStyle name="40% - Accent6 13 6" xfId="14010"/>
    <cellStyle name="40% - Accent6 13 6 2" xfId="14011"/>
    <cellStyle name="40% - Accent6 13 6 3" xfId="14012"/>
    <cellStyle name="40% - Accent6 13 7" xfId="14013"/>
    <cellStyle name="40% - Accent6 13 8" xfId="14014"/>
    <cellStyle name="40% - Accent6 13_Volatility" xfId="14015"/>
    <cellStyle name="40% - Accent6 14" xfId="14016"/>
    <cellStyle name="40% - Accent6 14 2" xfId="14017"/>
    <cellStyle name="40% - Accent6 14 2 2" xfId="14018"/>
    <cellStyle name="40% - Accent6 14 2 2 2" xfId="14019"/>
    <cellStyle name="40% - Accent6 14 2 2 3" xfId="14020"/>
    <cellStyle name="40% - Accent6 14 2 3" xfId="14021"/>
    <cellStyle name="40% - Accent6 14 2 3 2" xfId="14022"/>
    <cellStyle name="40% - Accent6 14 2 3 3" xfId="14023"/>
    <cellStyle name="40% - Accent6 14 2 4" xfId="14024"/>
    <cellStyle name="40% - Accent6 14 2 4 2" xfId="14025"/>
    <cellStyle name="40% - Accent6 14 2 4 3" xfId="14026"/>
    <cellStyle name="40% - Accent6 14 2 5" xfId="14027"/>
    <cellStyle name="40% - Accent6 14 2 6" xfId="14028"/>
    <cellStyle name="40% - Accent6 14 2_Volatility" xfId="14029"/>
    <cellStyle name="40% - Accent6 14 3" xfId="14030"/>
    <cellStyle name="40% - Accent6 14 3 2" xfId="14031"/>
    <cellStyle name="40% - Accent6 14 3 2 2" xfId="14032"/>
    <cellStyle name="40% - Accent6 14 3 2 3" xfId="14033"/>
    <cellStyle name="40% - Accent6 14 3 3" xfId="14034"/>
    <cellStyle name="40% - Accent6 14 3 3 2" xfId="14035"/>
    <cellStyle name="40% - Accent6 14 3 3 3" xfId="14036"/>
    <cellStyle name="40% - Accent6 14 3 4" xfId="14037"/>
    <cellStyle name="40% - Accent6 14 3 5" xfId="14038"/>
    <cellStyle name="40% - Accent6 14 3_Volatility" xfId="14039"/>
    <cellStyle name="40% - Accent6 14 4" xfId="14040"/>
    <cellStyle name="40% - Accent6 14 4 2" xfId="14041"/>
    <cellStyle name="40% - Accent6 14 4 3" xfId="14042"/>
    <cellStyle name="40% - Accent6 14 5" xfId="14043"/>
    <cellStyle name="40% - Accent6 14 5 2" xfId="14044"/>
    <cellStyle name="40% - Accent6 14 5 3" xfId="14045"/>
    <cellStyle name="40% - Accent6 14 6" xfId="14046"/>
    <cellStyle name="40% - Accent6 14 6 2" xfId="14047"/>
    <cellStyle name="40% - Accent6 14 6 3" xfId="14048"/>
    <cellStyle name="40% - Accent6 14 7" xfId="14049"/>
    <cellStyle name="40% - Accent6 14 8" xfId="14050"/>
    <cellStyle name="40% - Accent6 14_Volatility" xfId="14051"/>
    <cellStyle name="40% - Accent6 15" xfId="14052"/>
    <cellStyle name="40% - Accent6 15 2" xfId="14053"/>
    <cellStyle name="40% - Accent6 15 2 2" xfId="14054"/>
    <cellStyle name="40% - Accent6 15 2 2 2" xfId="14055"/>
    <cellStyle name="40% - Accent6 15 2 2 3" xfId="14056"/>
    <cellStyle name="40% - Accent6 15 2 3" xfId="14057"/>
    <cellStyle name="40% - Accent6 15 2 3 2" xfId="14058"/>
    <cellStyle name="40% - Accent6 15 2 3 3" xfId="14059"/>
    <cellStyle name="40% - Accent6 15 2 4" xfId="14060"/>
    <cellStyle name="40% - Accent6 15 2 4 2" xfId="14061"/>
    <cellStyle name="40% - Accent6 15 2 4 3" xfId="14062"/>
    <cellStyle name="40% - Accent6 15 2 5" xfId="14063"/>
    <cellStyle name="40% - Accent6 15 2 6" xfId="14064"/>
    <cellStyle name="40% - Accent6 15 2_Volatility" xfId="14065"/>
    <cellStyle name="40% - Accent6 15 3" xfId="14066"/>
    <cellStyle name="40% - Accent6 15 3 2" xfId="14067"/>
    <cellStyle name="40% - Accent6 15 3 2 2" xfId="14068"/>
    <cellStyle name="40% - Accent6 15 3 2 3" xfId="14069"/>
    <cellStyle name="40% - Accent6 15 3 3" xfId="14070"/>
    <cellStyle name="40% - Accent6 15 3 3 2" xfId="14071"/>
    <cellStyle name="40% - Accent6 15 3 3 3" xfId="14072"/>
    <cellStyle name="40% - Accent6 15 3 4" xfId="14073"/>
    <cellStyle name="40% - Accent6 15 3 5" xfId="14074"/>
    <cellStyle name="40% - Accent6 15 3_Volatility" xfId="14075"/>
    <cellStyle name="40% - Accent6 15 4" xfId="14076"/>
    <cellStyle name="40% - Accent6 15 4 2" xfId="14077"/>
    <cellStyle name="40% - Accent6 15 4 3" xfId="14078"/>
    <cellStyle name="40% - Accent6 15 5" xfId="14079"/>
    <cellStyle name="40% - Accent6 15 5 2" xfId="14080"/>
    <cellStyle name="40% - Accent6 15 5 3" xfId="14081"/>
    <cellStyle name="40% - Accent6 15 6" xfId="14082"/>
    <cellStyle name="40% - Accent6 15 6 2" xfId="14083"/>
    <cellStyle name="40% - Accent6 15 6 3" xfId="14084"/>
    <cellStyle name="40% - Accent6 15 7" xfId="14085"/>
    <cellStyle name="40% - Accent6 15 8" xfId="14086"/>
    <cellStyle name="40% - Accent6 15_Volatility" xfId="14087"/>
    <cellStyle name="40% - Accent6 16" xfId="14088"/>
    <cellStyle name="40% - Accent6 16 2" xfId="14089"/>
    <cellStyle name="40% - Accent6 16 3" xfId="14090"/>
    <cellStyle name="40% - Accent6 17" xfId="14091"/>
    <cellStyle name="40% - Accent6 17 2" xfId="14092"/>
    <cellStyle name="40% - Accent6 17 3" xfId="14093"/>
    <cellStyle name="40% - Accent6 18" xfId="14094"/>
    <cellStyle name="40% - Accent6 18 2" xfId="14095"/>
    <cellStyle name="40% - Accent6 18 3" xfId="14096"/>
    <cellStyle name="40% - Accent6 19" xfId="14097"/>
    <cellStyle name="40% - Accent6 19 2" xfId="14098"/>
    <cellStyle name="40% - Accent6 19 3" xfId="14099"/>
    <cellStyle name="40% - Accent6 2" xfId="14100"/>
    <cellStyle name="40% - Accent6 2 2" xfId="14101"/>
    <cellStyle name="40% - Accent6 2 2 2" xfId="14102"/>
    <cellStyle name="40% - Accent6 2 2 2 2" xfId="14103"/>
    <cellStyle name="40% - Accent6 2 2 2 3" xfId="14104"/>
    <cellStyle name="40% - Accent6 2 2 3" xfId="14105"/>
    <cellStyle name="40% - Accent6 2 2 3 2" xfId="14106"/>
    <cellStyle name="40% - Accent6 2 2 3 3" xfId="14107"/>
    <cellStyle name="40% - Accent6 2 2 4" xfId="14108"/>
    <cellStyle name="40% - Accent6 2 2 4 2" xfId="14109"/>
    <cellStyle name="40% - Accent6 2 2 4 3" xfId="14110"/>
    <cellStyle name="40% - Accent6 2 2 5" xfId="14111"/>
    <cellStyle name="40% - Accent6 2 2 6" xfId="14112"/>
    <cellStyle name="40% - Accent6 2 2_Volatility" xfId="14113"/>
    <cellStyle name="40% - Accent6 2 3" xfId="14114"/>
    <cellStyle name="40% - Accent6 2 3 2" xfId="14115"/>
    <cellStyle name="40% - Accent6 2 3 2 2" xfId="14116"/>
    <cellStyle name="40% - Accent6 2 3 2 3" xfId="14117"/>
    <cellStyle name="40% - Accent6 2 3 3" xfId="14118"/>
    <cellStyle name="40% - Accent6 2 3 3 2" xfId="14119"/>
    <cellStyle name="40% - Accent6 2 3 3 3" xfId="14120"/>
    <cellStyle name="40% - Accent6 2 3 4" xfId="14121"/>
    <cellStyle name="40% - Accent6 2 3 5" xfId="14122"/>
    <cellStyle name="40% - Accent6 2 3_Volatility" xfId="14123"/>
    <cellStyle name="40% - Accent6 2 4" xfId="14124"/>
    <cellStyle name="40% - Accent6 2 4 2" xfId="14125"/>
    <cellStyle name="40% - Accent6 2 4 3" xfId="14126"/>
    <cellStyle name="40% - Accent6 2 5" xfId="14127"/>
    <cellStyle name="40% - Accent6 2 5 2" xfId="14128"/>
    <cellStyle name="40% - Accent6 2 5 3" xfId="14129"/>
    <cellStyle name="40% - Accent6 2 6" xfId="14130"/>
    <cellStyle name="40% - Accent6 2 6 2" xfId="14131"/>
    <cellStyle name="40% - Accent6 2 6 3" xfId="14132"/>
    <cellStyle name="40% - Accent6 2 7" xfId="14133"/>
    <cellStyle name="40% - Accent6 2 8" xfId="14134"/>
    <cellStyle name="40% - Accent6 2_Volatility" xfId="14135"/>
    <cellStyle name="40% - Accent6 3" xfId="14136"/>
    <cellStyle name="40% - Accent6 3 2" xfId="14137"/>
    <cellStyle name="40% - Accent6 3 2 2" xfId="14138"/>
    <cellStyle name="40% - Accent6 3 2 2 2" xfId="14139"/>
    <cellStyle name="40% - Accent6 3 2 2 3" xfId="14140"/>
    <cellStyle name="40% - Accent6 3 2 3" xfId="14141"/>
    <cellStyle name="40% - Accent6 3 2 3 2" xfId="14142"/>
    <cellStyle name="40% - Accent6 3 2 3 3" xfId="14143"/>
    <cellStyle name="40% - Accent6 3 2 4" xfId="14144"/>
    <cellStyle name="40% - Accent6 3 2 4 2" xfId="14145"/>
    <cellStyle name="40% - Accent6 3 2 4 3" xfId="14146"/>
    <cellStyle name="40% - Accent6 3 2 5" xfId="14147"/>
    <cellStyle name="40% - Accent6 3 2 6" xfId="14148"/>
    <cellStyle name="40% - Accent6 3 2_Volatility" xfId="14149"/>
    <cellStyle name="40% - Accent6 3 3" xfId="14150"/>
    <cellStyle name="40% - Accent6 3 3 2" xfId="14151"/>
    <cellStyle name="40% - Accent6 3 3 2 2" xfId="14152"/>
    <cellStyle name="40% - Accent6 3 3 2 3" xfId="14153"/>
    <cellStyle name="40% - Accent6 3 3 3" xfId="14154"/>
    <cellStyle name="40% - Accent6 3 3 3 2" xfId="14155"/>
    <cellStyle name="40% - Accent6 3 3 3 3" xfId="14156"/>
    <cellStyle name="40% - Accent6 3 3 4" xfId="14157"/>
    <cellStyle name="40% - Accent6 3 3 5" xfId="14158"/>
    <cellStyle name="40% - Accent6 3 3_Volatility" xfId="14159"/>
    <cellStyle name="40% - Accent6 3 4" xfId="14160"/>
    <cellStyle name="40% - Accent6 3 4 2" xfId="14161"/>
    <cellStyle name="40% - Accent6 3 4 3" xfId="14162"/>
    <cellStyle name="40% - Accent6 3 5" xfId="14163"/>
    <cellStyle name="40% - Accent6 3 5 2" xfId="14164"/>
    <cellStyle name="40% - Accent6 3 5 3" xfId="14165"/>
    <cellStyle name="40% - Accent6 3 6" xfId="14166"/>
    <cellStyle name="40% - Accent6 3 6 2" xfId="14167"/>
    <cellStyle name="40% - Accent6 3 6 3" xfId="14168"/>
    <cellStyle name="40% - Accent6 3 7" xfId="14169"/>
    <cellStyle name="40% - Accent6 3 8" xfId="14170"/>
    <cellStyle name="40% - Accent6 3_Volatility" xfId="14171"/>
    <cellStyle name="40% - Accent6 4" xfId="14172"/>
    <cellStyle name="40% - Accent6 4 2" xfId="14173"/>
    <cellStyle name="40% - Accent6 4 2 2" xfId="14174"/>
    <cellStyle name="40% - Accent6 4 2 2 2" xfId="14175"/>
    <cellStyle name="40% - Accent6 4 2 2 3" xfId="14176"/>
    <cellStyle name="40% - Accent6 4 2 3" xfId="14177"/>
    <cellStyle name="40% - Accent6 4 2 3 2" xfId="14178"/>
    <cellStyle name="40% - Accent6 4 2 3 3" xfId="14179"/>
    <cellStyle name="40% - Accent6 4 2 4" xfId="14180"/>
    <cellStyle name="40% - Accent6 4 2 4 2" xfId="14181"/>
    <cellStyle name="40% - Accent6 4 2 4 3" xfId="14182"/>
    <cellStyle name="40% - Accent6 4 2 5" xfId="14183"/>
    <cellStyle name="40% - Accent6 4 2 6" xfId="14184"/>
    <cellStyle name="40% - Accent6 4 2_Volatility" xfId="14185"/>
    <cellStyle name="40% - Accent6 4 3" xfId="14186"/>
    <cellStyle name="40% - Accent6 4 3 2" xfId="14187"/>
    <cellStyle name="40% - Accent6 4 3 2 2" xfId="14188"/>
    <cellStyle name="40% - Accent6 4 3 2 3" xfId="14189"/>
    <cellStyle name="40% - Accent6 4 3 3" xfId="14190"/>
    <cellStyle name="40% - Accent6 4 3 3 2" xfId="14191"/>
    <cellStyle name="40% - Accent6 4 3 3 3" xfId="14192"/>
    <cellStyle name="40% - Accent6 4 3 4" xfId="14193"/>
    <cellStyle name="40% - Accent6 4 3 5" xfId="14194"/>
    <cellStyle name="40% - Accent6 4 3_Volatility" xfId="14195"/>
    <cellStyle name="40% - Accent6 4 4" xfId="14196"/>
    <cellStyle name="40% - Accent6 4 4 2" xfId="14197"/>
    <cellStyle name="40% - Accent6 4 4 3" xfId="14198"/>
    <cellStyle name="40% - Accent6 4 5" xfId="14199"/>
    <cellStyle name="40% - Accent6 4 5 2" xfId="14200"/>
    <cellStyle name="40% - Accent6 4 5 3" xfId="14201"/>
    <cellStyle name="40% - Accent6 4 6" xfId="14202"/>
    <cellStyle name="40% - Accent6 4 6 2" xfId="14203"/>
    <cellStyle name="40% - Accent6 4 6 3" xfId="14204"/>
    <cellStyle name="40% - Accent6 4 7" xfId="14205"/>
    <cellStyle name="40% - Accent6 4 8" xfId="14206"/>
    <cellStyle name="40% - Accent6 4_Volatility" xfId="14207"/>
    <cellStyle name="40% - Accent6 5" xfId="14208"/>
    <cellStyle name="40% - Accent6 5 2" xfId="14209"/>
    <cellStyle name="40% - Accent6 5 2 2" xfId="14210"/>
    <cellStyle name="40% - Accent6 5 2 2 2" xfId="14211"/>
    <cellStyle name="40% - Accent6 5 2 2 3" xfId="14212"/>
    <cellStyle name="40% - Accent6 5 2 3" xfId="14213"/>
    <cellStyle name="40% - Accent6 5 2 3 2" xfId="14214"/>
    <cellStyle name="40% - Accent6 5 2 3 3" xfId="14215"/>
    <cellStyle name="40% - Accent6 5 2 4" xfId="14216"/>
    <cellStyle name="40% - Accent6 5 2 4 2" xfId="14217"/>
    <cellStyle name="40% - Accent6 5 2 4 3" xfId="14218"/>
    <cellStyle name="40% - Accent6 5 2 5" xfId="14219"/>
    <cellStyle name="40% - Accent6 5 2 6" xfId="14220"/>
    <cellStyle name="40% - Accent6 5 2_Volatility" xfId="14221"/>
    <cellStyle name="40% - Accent6 5 3" xfId="14222"/>
    <cellStyle name="40% - Accent6 5 3 2" xfId="14223"/>
    <cellStyle name="40% - Accent6 5 3 2 2" xfId="14224"/>
    <cellStyle name="40% - Accent6 5 3 2 3" xfId="14225"/>
    <cellStyle name="40% - Accent6 5 3 3" xfId="14226"/>
    <cellStyle name="40% - Accent6 5 3 3 2" xfId="14227"/>
    <cellStyle name="40% - Accent6 5 3 3 3" xfId="14228"/>
    <cellStyle name="40% - Accent6 5 3 4" xfId="14229"/>
    <cellStyle name="40% - Accent6 5 3 5" xfId="14230"/>
    <cellStyle name="40% - Accent6 5 3_Volatility" xfId="14231"/>
    <cellStyle name="40% - Accent6 5 4" xfId="14232"/>
    <cellStyle name="40% - Accent6 5 4 2" xfId="14233"/>
    <cellStyle name="40% - Accent6 5 4 3" xfId="14234"/>
    <cellStyle name="40% - Accent6 5 5" xfId="14235"/>
    <cellStyle name="40% - Accent6 5 5 2" xfId="14236"/>
    <cellStyle name="40% - Accent6 5 5 3" xfId="14237"/>
    <cellStyle name="40% - Accent6 5 6" xfId="14238"/>
    <cellStyle name="40% - Accent6 5 6 2" xfId="14239"/>
    <cellStyle name="40% - Accent6 5 6 3" xfId="14240"/>
    <cellStyle name="40% - Accent6 5 7" xfId="14241"/>
    <cellStyle name="40% - Accent6 5 8" xfId="14242"/>
    <cellStyle name="40% - Accent6 5_Volatility" xfId="14243"/>
    <cellStyle name="40% - Accent6 6" xfId="14244"/>
    <cellStyle name="40% - Accent6 6 2" xfId="14245"/>
    <cellStyle name="40% - Accent6 6 2 2" xfId="14246"/>
    <cellStyle name="40% - Accent6 6 2 2 2" xfId="14247"/>
    <cellStyle name="40% - Accent6 6 2 2 3" xfId="14248"/>
    <cellStyle name="40% - Accent6 6 2 3" xfId="14249"/>
    <cellStyle name="40% - Accent6 6 2 3 2" xfId="14250"/>
    <cellStyle name="40% - Accent6 6 2 3 3" xfId="14251"/>
    <cellStyle name="40% - Accent6 6 2 4" xfId="14252"/>
    <cellStyle name="40% - Accent6 6 2 4 2" xfId="14253"/>
    <cellStyle name="40% - Accent6 6 2 4 3" xfId="14254"/>
    <cellStyle name="40% - Accent6 6 2 5" xfId="14255"/>
    <cellStyle name="40% - Accent6 6 2 6" xfId="14256"/>
    <cellStyle name="40% - Accent6 6 2_Volatility" xfId="14257"/>
    <cellStyle name="40% - Accent6 6 3" xfId="14258"/>
    <cellStyle name="40% - Accent6 6 3 2" xfId="14259"/>
    <cellStyle name="40% - Accent6 6 3 2 2" xfId="14260"/>
    <cellStyle name="40% - Accent6 6 3 2 3" xfId="14261"/>
    <cellStyle name="40% - Accent6 6 3 3" xfId="14262"/>
    <cellStyle name="40% - Accent6 6 3 3 2" xfId="14263"/>
    <cellStyle name="40% - Accent6 6 3 3 3" xfId="14264"/>
    <cellStyle name="40% - Accent6 6 3 4" xfId="14265"/>
    <cellStyle name="40% - Accent6 6 3 5" xfId="14266"/>
    <cellStyle name="40% - Accent6 6 3_Volatility" xfId="14267"/>
    <cellStyle name="40% - Accent6 6 4" xfId="14268"/>
    <cellStyle name="40% - Accent6 6 4 2" xfId="14269"/>
    <cellStyle name="40% - Accent6 6 4 3" xfId="14270"/>
    <cellStyle name="40% - Accent6 6 5" xfId="14271"/>
    <cellStyle name="40% - Accent6 6 5 2" xfId="14272"/>
    <cellStyle name="40% - Accent6 6 5 3" xfId="14273"/>
    <cellStyle name="40% - Accent6 6 6" xfId="14274"/>
    <cellStyle name="40% - Accent6 6 6 2" xfId="14275"/>
    <cellStyle name="40% - Accent6 6 6 3" xfId="14276"/>
    <cellStyle name="40% - Accent6 6 7" xfId="14277"/>
    <cellStyle name="40% - Accent6 6 8" xfId="14278"/>
    <cellStyle name="40% - Accent6 6_Volatility" xfId="14279"/>
    <cellStyle name="40% - Accent6 7" xfId="14280"/>
    <cellStyle name="40% - Accent6 7 2" xfId="14281"/>
    <cellStyle name="40% - Accent6 7 2 2" xfId="14282"/>
    <cellStyle name="40% - Accent6 7 2 2 2" xfId="14283"/>
    <cellStyle name="40% - Accent6 7 2 2 3" xfId="14284"/>
    <cellStyle name="40% - Accent6 7 2 3" xfId="14285"/>
    <cellStyle name="40% - Accent6 7 2 3 2" xfId="14286"/>
    <cellStyle name="40% - Accent6 7 2 3 3" xfId="14287"/>
    <cellStyle name="40% - Accent6 7 2 4" xfId="14288"/>
    <cellStyle name="40% - Accent6 7 2 4 2" xfId="14289"/>
    <cellStyle name="40% - Accent6 7 2 4 3" xfId="14290"/>
    <cellStyle name="40% - Accent6 7 2 5" xfId="14291"/>
    <cellStyle name="40% - Accent6 7 2 6" xfId="14292"/>
    <cellStyle name="40% - Accent6 7 2_Volatility" xfId="14293"/>
    <cellStyle name="40% - Accent6 7 3" xfId="14294"/>
    <cellStyle name="40% - Accent6 7 3 2" xfId="14295"/>
    <cellStyle name="40% - Accent6 7 3 2 2" xfId="14296"/>
    <cellStyle name="40% - Accent6 7 3 2 3" xfId="14297"/>
    <cellStyle name="40% - Accent6 7 3 3" xfId="14298"/>
    <cellStyle name="40% - Accent6 7 3 3 2" xfId="14299"/>
    <cellStyle name="40% - Accent6 7 3 3 3" xfId="14300"/>
    <cellStyle name="40% - Accent6 7 3 4" xfId="14301"/>
    <cellStyle name="40% - Accent6 7 3 5" xfId="14302"/>
    <cellStyle name="40% - Accent6 7 3_Volatility" xfId="14303"/>
    <cellStyle name="40% - Accent6 7 4" xfId="14304"/>
    <cellStyle name="40% - Accent6 7 4 2" xfId="14305"/>
    <cellStyle name="40% - Accent6 7 4 3" xfId="14306"/>
    <cellStyle name="40% - Accent6 7 5" xfId="14307"/>
    <cellStyle name="40% - Accent6 7 5 2" xfId="14308"/>
    <cellStyle name="40% - Accent6 7 5 3" xfId="14309"/>
    <cellStyle name="40% - Accent6 7 6" xfId="14310"/>
    <cellStyle name="40% - Accent6 7 6 2" xfId="14311"/>
    <cellStyle name="40% - Accent6 7 6 3" xfId="14312"/>
    <cellStyle name="40% - Accent6 7 7" xfId="14313"/>
    <cellStyle name="40% - Accent6 7 8" xfId="14314"/>
    <cellStyle name="40% - Accent6 7_Volatility" xfId="14315"/>
    <cellStyle name="40% - Accent6 8" xfId="14316"/>
    <cellStyle name="40% - Accent6 8 2" xfId="14317"/>
    <cellStyle name="40% - Accent6 8 2 2" xfId="14318"/>
    <cellStyle name="40% - Accent6 8 2 2 2" xfId="14319"/>
    <cellStyle name="40% - Accent6 8 2 2 3" xfId="14320"/>
    <cellStyle name="40% - Accent6 8 2 3" xfId="14321"/>
    <cellStyle name="40% - Accent6 8 2 3 2" xfId="14322"/>
    <cellStyle name="40% - Accent6 8 2 3 3" xfId="14323"/>
    <cellStyle name="40% - Accent6 8 2 4" xfId="14324"/>
    <cellStyle name="40% - Accent6 8 2 4 2" xfId="14325"/>
    <cellStyle name="40% - Accent6 8 2 4 3" xfId="14326"/>
    <cellStyle name="40% - Accent6 8 2 5" xfId="14327"/>
    <cellStyle name="40% - Accent6 8 2 6" xfId="14328"/>
    <cellStyle name="40% - Accent6 8 2_Volatility" xfId="14329"/>
    <cellStyle name="40% - Accent6 8 3" xfId="14330"/>
    <cellStyle name="40% - Accent6 8 3 2" xfId="14331"/>
    <cellStyle name="40% - Accent6 8 3 2 2" xfId="14332"/>
    <cellStyle name="40% - Accent6 8 3 2 3" xfId="14333"/>
    <cellStyle name="40% - Accent6 8 3 3" xfId="14334"/>
    <cellStyle name="40% - Accent6 8 3 3 2" xfId="14335"/>
    <cellStyle name="40% - Accent6 8 3 3 3" xfId="14336"/>
    <cellStyle name="40% - Accent6 8 3 4" xfId="14337"/>
    <cellStyle name="40% - Accent6 8 3 5" xfId="14338"/>
    <cellStyle name="40% - Accent6 8 3_Volatility" xfId="14339"/>
    <cellStyle name="40% - Accent6 8 4" xfId="14340"/>
    <cellStyle name="40% - Accent6 8 4 2" xfId="14341"/>
    <cellStyle name="40% - Accent6 8 4 3" xfId="14342"/>
    <cellStyle name="40% - Accent6 8 5" xfId="14343"/>
    <cellStyle name="40% - Accent6 8 5 2" xfId="14344"/>
    <cellStyle name="40% - Accent6 8 5 3" xfId="14345"/>
    <cellStyle name="40% - Accent6 8 6" xfId="14346"/>
    <cellStyle name="40% - Accent6 8 6 2" xfId="14347"/>
    <cellStyle name="40% - Accent6 8 6 3" xfId="14348"/>
    <cellStyle name="40% - Accent6 8 7" xfId="14349"/>
    <cellStyle name="40% - Accent6 8 8" xfId="14350"/>
    <cellStyle name="40% - Accent6 8_Volatility" xfId="14351"/>
    <cellStyle name="40% - Accent6 9" xfId="14352"/>
    <cellStyle name="40% - Accent6 9 2" xfId="14353"/>
    <cellStyle name="40% - Accent6 9 2 2" xfId="14354"/>
    <cellStyle name="40% - Accent6 9 2 2 2" xfId="14355"/>
    <cellStyle name="40% - Accent6 9 2 2 3" xfId="14356"/>
    <cellStyle name="40% - Accent6 9 2 3" xfId="14357"/>
    <cellStyle name="40% - Accent6 9 2 3 2" xfId="14358"/>
    <cellStyle name="40% - Accent6 9 2 3 3" xfId="14359"/>
    <cellStyle name="40% - Accent6 9 2 4" xfId="14360"/>
    <cellStyle name="40% - Accent6 9 2 4 2" xfId="14361"/>
    <cellStyle name="40% - Accent6 9 2 4 3" xfId="14362"/>
    <cellStyle name="40% - Accent6 9 2 5" xfId="14363"/>
    <cellStyle name="40% - Accent6 9 2 6" xfId="14364"/>
    <cellStyle name="40% - Accent6 9 2_Volatility" xfId="14365"/>
    <cellStyle name="40% - Accent6 9 3" xfId="14366"/>
    <cellStyle name="40% - Accent6 9 3 2" xfId="14367"/>
    <cellStyle name="40% - Accent6 9 3 2 2" xfId="14368"/>
    <cellStyle name="40% - Accent6 9 3 2 3" xfId="14369"/>
    <cellStyle name="40% - Accent6 9 3 3" xfId="14370"/>
    <cellStyle name="40% - Accent6 9 3 3 2" xfId="14371"/>
    <cellStyle name="40% - Accent6 9 3 3 3" xfId="14372"/>
    <cellStyle name="40% - Accent6 9 3 4" xfId="14373"/>
    <cellStyle name="40% - Accent6 9 3 5" xfId="14374"/>
    <cellStyle name="40% - Accent6 9 3_Volatility" xfId="14375"/>
    <cellStyle name="40% - Accent6 9 4" xfId="14376"/>
    <cellStyle name="40% - Accent6 9 4 2" xfId="14377"/>
    <cellStyle name="40% - Accent6 9 4 3" xfId="14378"/>
    <cellStyle name="40% - Accent6 9 5" xfId="14379"/>
    <cellStyle name="40% - Accent6 9 5 2" xfId="14380"/>
    <cellStyle name="40% - Accent6 9 5 3" xfId="14381"/>
    <cellStyle name="40% - Accent6 9 6" xfId="14382"/>
    <cellStyle name="40% - Accent6 9 6 2" xfId="14383"/>
    <cellStyle name="40% - Accent6 9 6 3" xfId="14384"/>
    <cellStyle name="40% - Accent6 9 7" xfId="14385"/>
    <cellStyle name="40% - Accent6 9 8" xfId="14386"/>
    <cellStyle name="40% - Accent6 9_Volatility" xfId="14387"/>
    <cellStyle name="40% - Ênfase1" xfId="14388"/>
    <cellStyle name="40% - Ênfase2" xfId="14389"/>
    <cellStyle name="40% - Ênfase3" xfId="14390"/>
    <cellStyle name="40% - Ênfase4" xfId="14391"/>
    <cellStyle name="40% - Ênfase5" xfId="14392"/>
    <cellStyle name="40% - Ênfase6" xfId="14393"/>
    <cellStyle name="40% - Énfasis1" xfId="14394"/>
    <cellStyle name="40% - Énfasis2" xfId="14395"/>
    <cellStyle name="40% - Énfasis3" xfId="14396"/>
    <cellStyle name="40% - Énfasis4" xfId="14397"/>
    <cellStyle name="40% - Énfasis5" xfId="14398"/>
    <cellStyle name="40% - Énfasis6" xfId="14399"/>
    <cellStyle name="40% - 강조색1" xfId="14400"/>
    <cellStyle name="40% - 강조색1 2" xfId="14401"/>
    <cellStyle name="40% - 강조색2" xfId="14402"/>
    <cellStyle name="40% - 강조색2 2" xfId="14403"/>
    <cellStyle name="40% - 강조색3" xfId="14404"/>
    <cellStyle name="40% - 강조색3 2" xfId="14405"/>
    <cellStyle name="40% - 강조색4" xfId="14406"/>
    <cellStyle name="40% - 강조색4 2" xfId="14407"/>
    <cellStyle name="40% - 강조색5" xfId="14408"/>
    <cellStyle name="40% - 강조색5 2" xfId="14409"/>
    <cellStyle name="40% - 강조색6" xfId="14410"/>
    <cellStyle name="40% - 강조색6 2" xfId="14411"/>
    <cellStyle name="60% - Accent1" xfId="22" builtinId="32" customBuiltin="1"/>
    <cellStyle name="60% - Accent1 10" xfId="14412"/>
    <cellStyle name="60% - Accent1 11" xfId="14413"/>
    <cellStyle name="60% - Accent1 12" xfId="14414"/>
    <cellStyle name="60% - Accent1 13" xfId="14415"/>
    <cellStyle name="60% - Accent1 14" xfId="14416"/>
    <cellStyle name="60% - Accent1 15" xfId="14417"/>
    <cellStyle name="60% - Accent1 16" xfId="14418"/>
    <cellStyle name="60% - Accent1 17" xfId="14419"/>
    <cellStyle name="60% - Accent1 18" xfId="14420"/>
    <cellStyle name="60% - Accent1 19" xfId="14421"/>
    <cellStyle name="60% - Accent1 2" xfId="14422"/>
    <cellStyle name="60% - Accent1 2 2" xfId="14423"/>
    <cellStyle name="60% - Accent1 2 2 2" xfId="14424"/>
    <cellStyle name="60% - Accent1 2 3" xfId="14425"/>
    <cellStyle name="60% - Accent1 2 3 2" xfId="14426"/>
    <cellStyle name="60% - Accent1 2 4" xfId="14427"/>
    <cellStyle name="60% - Accent1 2 4 2" xfId="14428"/>
    <cellStyle name="60% - Accent1 2 4 3" xfId="14429"/>
    <cellStyle name="60% - Accent1 2 5" xfId="14430"/>
    <cellStyle name="60% - Accent1 2 6" xfId="14431"/>
    <cellStyle name="60% - Accent1 2 7" xfId="14432"/>
    <cellStyle name="60% - Accent1 2 8" xfId="14433"/>
    <cellStyle name="60% - Accent1 3" xfId="14434"/>
    <cellStyle name="60% - Accent1 3 2" xfId="14435"/>
    <cellStyle name="60% - Accent1 3 2 2" xfId="14436"/>
    <cellStyle name="60% - Accent1 3 2 3" xfId="14437"/>
    <cellStyle name="60% - Accent1 3 3" xfId="14438"/>
    <cellStyle name="60% - Accent1 3 4" xfId="14439"/>
    <cellStyle name="60% - Accent1 3 5" xfId="14440"/>
    <cellStyle name="60% - Accent1 4" xfId="14441"/>
    <cellStyle name="60% - Accent1 4 2" xfId="14442"/>
    <cellStyle name="60% - Accent1 4 2 2" xfId="14443"/>
    <cellStyle name="60% - Accent1 4 2 3" xfId="14444"/>
    <cellStyle name="60% - Accent1 4 3" xfId="14445"/>
    <cellStyle name="60% - Accent1 4 4" xfId="14446"/>
    <cellStyle name="60% - Accent1 4 5" xfId="14447"/>
    <cellStyle name="60% - Accent1 5" xfId="14448"/>
    <cellStyle name="60% - Accent1 5 2" xfId="14449"/>
    <cellStyle name="60% - Accent1 5 2 2" xfId="14450"/>
    <cellStyle name="60% - Accent1 5 2 3" xfId="14451"/>
    <cellStyle name="60% - Accent1 5 3" xfId="14452"/>
    <cellStyle name="60% - Accent1 5 4" xfId="14453"/>
    <cellStyle name="60% - Accent1 5 5" xfId="14454"/>
    <cellStyle name="60% - Accent1 6" xfId="14455"/>
    <cellStyle name="60% - Accent1 6 2" xfId="14456"/>
    <cellStyle name="60% - Accent1 6 3" xfId="14457"/>
    <cellStyle name="60% - Accent1 7" xfId="14458"/>
    <cellStyle name="60% - Accent1 8" xfId="14459"/>
    <cellStyle name="60% - Accent1 9" xfId="14460"/>
    <cellStyle name="60% - Accent2" xfId="26" builtinId="36" customBuiltin="1"/>
    <cellStyle name="60% - Accent2 10" xfId="14461"/>
    <cellStyle name="60% - Accent2 11" xfId="14462"/>
    <cellStyle name="60% - Accent2 12" xfId="14463"/>
    <cellStyle name="60% - Accent2 13" xfId="14464"/>
    <cellStyle name="60% - Accent2 14" xfId="14465"/>
    <cellStyle name="60% - Accent2 15" xfId="14466"/>
    <cellStyle name="60% - Accent2 16" xfId="14467"/>
    <cellStyle name="60% - Accent2 17" xfId="14468"/>
    <cellStyle name="60% - Accent2 18" xfId="14469"/>
    <cellStyle name="60% - Accent2 19" xfId="14470"/>
    <cellStyle name="60% - Accent2 2" xfId="14471"/>
    <cellStyle name="60% - Accent2 2 2" xfId="14472"/>
    <cellStyle name="60% - Accent2 2 2 2" xfId="14473"/>
    <cellStyle name="60% - Accent2 2 3" xfId="14474"/>
    <cellStyle name="60% - Accent2 2 3 2" xfId="14475"/>
    <cellStyle name="60% - Accent2 2 4" xfId="14476"/>
    <cellStyle name="60% - Accent2 2 4 2" xfId="14477"/>
    <cellStyle name="60% - Accent2 2 4 3" xfId="14478"/>
    <cellStyle name="60% - Accent2 2 5" xfId="14479"/>
    <cellStyle name="60% - Accent2 2 6" xfId="14480"/>
    <cellStyle name="60% - Accent2 2 7" xfId="14481"/>
    <cellStyle name="60% - Accent2 2 8" xfId="14482"/>
    <cellStyle name="60% - Accent2 3" xfId="14483"/>
    <cellStyle name="60% - Accent2 3 2" xfId="14484"/>
    <cellStyle name="60% - Accent2 3 2 2" xfId="14485"/>
    <cellStyle name="60% - Accent2 3 2 3" xfId="14486"/>
    <cellStyle name="60% - Accent2 3 3" xfId="14487"/>
    <cellStyle name="60% - Accent2 3 4" xfId="14488"/>
    <cellStyle name="60% - Accent2 3 5" xfId="14489"/>
    <cellStyle name="60% - Accent2 4" xfId="14490"/>
    <cellStyle name="60% - Accent2 4 2" xfId="14491"/>
    <cellStyle name="60% - Accent2 4 2 2" xfId="14492"/>
    <cellStyle name="60% - Accent2 4 2 3" xfId="14493"/>
    <cellStyle name="60% - Accent2 4 3" xfId="14494"/>
    <cellStyle name="60% - Accent2 4 4" xfId="14495"/>
    <cellStyle name="60% - Accent2 4 5" xfId="14496"/>
    <cellStyle name="60% - Accent2 5" xfId="14497"/>
    <cellStyle name="60% - Accent2 5 2" xfId="14498"/>
    <cellStyle name="60% - Accent2 5 2 2" xfId="14499"/>
    <cellStyle name="60% - Accent2 5 2 3" xfId="14500"/>
    <cellStyle name="60% - Accent2 5 3" xfId="14501"/>
    <cellStyle name="60% - Accent2 5 4" xfId="14502"/>
    <cellStyle name="60% - Accent2 5 5" xfId="14503"/>
    <cellStyle name="60% - Accent2 6" xfId="14504"/>
    <cellStyle name="60% - Accent2 6 2" xfId="14505"/>
    <cellStyle name="60% - Accent2 6 3" xfId="14506"/>
    <cellStyle name="60% - Accent2 7" xfId="14507"/>
    <cellStyle name="60% - Accent2 8" xfId="14508"/>
    <cellStyle name="60% - Accent2 9" xfId="14509"/>
    <cellStyle name="60% - Accent3" xfId="30" builtinId="40" customBuiltin="1"/>
    <cellStyle name="60% - Accent3 10" xfId="14510"/>
    <cellStyle name="60% - Accent3 11" xfId="14511"/>
    <cellStyle name="60% - Accent3 12" xfId="14512"/>
    <cellStyle name="60% - Accent3 13" xfId="14513"/>
    <cellStyle name="60% - Accent3 14" xfId="14514"/>
    <cellStyle name="60% - Accent3 15" xfId="14515"/>
    <cellStyle name="60% - Accent3 16" xfId="14516"/>
    <cellStyle name="60% - Accent3 17" xfId="14517"/>
    <cellStyle name="60% - Accent3 18" xfId="14518"/>
    <cellStyle name="60% - Accent3 19" xfId="14519"/>
    <cellStyle name="60% - Accent3 2" xfId="14520"/>
    <cellStyle name="60% - Accent3 2 2" xfId="14521"/>
    <cellStyle name="60% - Accent3 2 2 2" xfId="14522"/>
    <cellStyle name="60% - Accent3 2 3" xfId="14523"/>
    <cellStyle name="60% - Accent3 2 3 2" xfId="14524"/>
    <cellStyle name="60% - Accent3 2 4" xfId="14525"/>
    <cellStyle name="60% - Accent3 2 4 2" xfId="14526"/>
    <cellStyle name="60% - Accent3 2 4 3" xfId="14527"/>
    <cellStyle name="60% - Accent3 2 5" xfId="14528"/>
    <cellStyle name="60% - Accent3 2 6" xfId="14529"/>
    <cellStyle name="60% - Accent3 2 7" xfId="14530"/>
    <cellStyle name="60% - Accent3 2 8" xfId="14531"/>
    <cellStyle name="60% - Accent3 3" xfId="14532"/>
    <cellStyle name="60% - Accent3 3 2" xfId="14533"/>
    <cellStyle name="60% - Accent3 3 2 2" xfId="14534"/>
    <cellStyle name="60% - Accent3 3 2 3" xfId="14535"/>
    <cellStyle name="60% - Accent3 3 3" xfId="14536"/>
    <cellStyle name="60% - Accent3 3 4" xfId="14537"/>
    <cellStyle name="60% - Accent3 3 5" xfId="14538"/>
    <cellStyle name="60% - Accent3 4" xfId="14539"/>
    <cellStyle name="60% - Accent3 4 2" xfId="14540"/>
    <cellStyle name="60% - Accent3 4 2 2" xfId="14541"/>
    <cellStyle name="60% - Accent3 4 2 3" xfId="14542"/>
    <cellStyle name="60% - Accent3 4 3" xfId="14543"/>
    <cellStyle name="60% - Accent3 4 4" xfId="14544"/>
    <cellStyle name="60% - Accent3 4 5" xfId="14545"/>
    <cellStyle name="60% - Accent3 5" xfId="14546"/>
    <cellStyle name="60% - Accent3 5 2" xfId="14547"/>
    <cellStyle name="60% - Accent3 5 2 2" xfId="14548"/>
    <cellStyle name="60% - Accent3 5 2 3" xfId="14549"/>
    <cellStyle name="60% - Accent3 5 3" xfId="14550"/>
    <cellStyle name="60% - Accent3 5 4" xfId="14551"/>
    <cellStyle name="60% - Accent3 5 5" xfId="14552"/>
    <cellStyle name="60% - Accent3 6" xfId="14553"/>
    <cellStyle name="60% - Accent3 6 2" xfId="14554"/>
    <cellStyle name="60% - Accent3 6 3" xfId="14555"/>
    <cellStyle name="60% - Accent3 7" xfId="14556"/>
    <cellStyle name="60% - Accent3 8" xfId="14557"/>
    <cellStyle name="60% - Accent3 9" xfId="14558"/>
    <cellStyle name="60% - Accent4" xfId="34" builtinId="44" customBuiltin="1"/>
    <cellStyle name="60% - Accent4 10" xfId="14559"/>
    <cellStyle name="60% - Accent4 11" xfId="14560"/>
    <cellStyle name="60% - Accent4 12" xfId="14561"/>
    <cellStyle name="60% - Accent4 13" xfId="14562"/>
    <cellStyle name="60% - Accent4 14" xfId="14563"/>
    <cellStyle name="60% - Accent4 15" xfId="14564"/>
    <cellStyle name="60% - Accent4 16" xfId="14565"/>
    <cellStyle name="60% - Accent4 17" xfId="14566"/>
    <cellStyle name="60% - Accent4 18" xfId="14567"/>
    <cellStyle name="60% - Accent4 19" xfId="14568"/>
    <cellStyle name="60% - Accent4 2" xfId="14569"/>
    <cellStyle name="60% - Accent4 2 2" xfId="14570"/>
    <cellStyle name="60% - Accent4 2 2 2" xfId="14571"/>
    <cellStyle name="60% - Accent4 2 3" xfId="14572"/>
    <cellStyle name="60% - Accent4 2 3 2" xfId="14573"/>
    <cellStyle name="60% - Accent4 2 4" xfId="14574"/>
    <cellStyle name="60% - Accent4 2 4 2" xfId="14575"/>
    <cellStyle name="60% - Accent4 2 4 3" xfId="14576"/>
    <cellStyle name="60% - Accent4 2 5" xfId="14577"/>
    <cellStyle name="60% - Accent4 2 6" xfId="14578"/>
    <cellStyle name="60% - Accent4 2 7" xfId="14579"/>
    <cellStyle name="60% - Accent4 2 8" xfId="14580"/>
    <cellStyle name="60% - Accent4 3" xfId="14581"/>
    <cellStyle name="60% - Accent4 3 2" xfId="14582"/>
    <cellStyle name="60% - Accent4 3 2 2" xfId="14583"/>
    <cellStyle name="60% - Accent4 3 2 3" xfId="14584"/>
    <cellStyle name="60% - Accent4 3 3" xfId="14585"/>
    <cellStyle name="60% - Accent4 3 4" xfId="14586"/>
    <cellStyle name="60% - Accent4 3 5" xfId="14587"/>
    <cellStyle name="60% - Accent4 4" xfId="14588"/>
    <cellStyle name="60% - Accent4 4 2" xfId="14589"/>
    <cellStyle name="60% - Accent4 4 2 2" xfId="14590"/>
    <cellStyle name="60% - Accent4 4 2 3" xfId="14591"/>
    <cellStyle name="60% - Accent4 4 3" xfId="14592"/>
    <cellStyle name="60% - Accent4 4 4" xfId="14593"/>
    <cellStyle name="60% - Accent4 4 5" xfId="14594"/>
    <cellStyle name="60% - Accent4 5" xfId="14595"/>
    <cellStyle name="60% - Accent4 5 2" xfId="14596"/>
    <cellStyle name="60% - Accent4 5 2 2" xfId="14597"/>
    <cellStyle name="60% - Accent4 5 2 3" xfId="14598"/>
    <cellStyle name="60% - Accent4 5 3" xfId="14599"/>
    <cellStyle name="60% - Accent4 5 4" xfId="14600"/>
    <cellStyle name="60% - Accent4 5 5" xfId="14601"/>
    <cellStyle name="60% - Accent4 6" xfId="14602"/>
    <cellStyle name="60% - Accent4 6 2" xfId="14603"/>
    <cellStyle name="60% - Accent4 6 3" xfId="14604"/>
    <cellStyle name="60% - Accent4 7" xfId="14605"/>
    <cellStyle name="60% - Accent4 8" xfId="14606"/>
    <cellStyle name="60% - Accent4 9" xfId="14607"/>
    <cellStyle name="60% - Accent5" xfId="38" builtinId="48" customBuiltin="1"/>
    <cellStyle name="60% - Accent5 10" xfId="14608"/>
    <cellStyle name="60% - Accent5 11" xfId="14609"/>
    <cellStyle name="60% - Accent5 12" xfId="14610"/>
    <cellStyle name="60% - Accent5 13" xfId="14611"/>
    <cellStyle name="60% - Accent5 14" xfId="14612"/>
    <cellStyle name="60% - Accent5 15" xfId="14613"/>
    <cellStyle name="60% - Accent5 16" xfId="14614"/>
    <cellStyle name="60% - Accent5 17" xfId="14615"/>
    <cellStyle name="60% - Accent5 18" xfId="14616"/>
    <cellStyle name="60% - Accent5 19" xfId="14617"/>
    <cellStyle name="60% - Accent5 2" xfId="14618"/>
    <cellStyle name="60% - Accent5 2 2" xfId="14619"/>
    <cellStyle name="60% - Accent5 2 2 2" xfId="14620"/>
    <cellStyle name="60% - Accent5 2 3" xfId="14621"/>
    <cellStyle name="60% - Accent5 2 3 2" xfId="14622"/>
    <cellStyle name="60% - Accent5 2 4" xfId="14623"/>
    <cellStyle name="60% - Accent5 2 4 2" xfId="14624"/>
    <cellStyle name="60% - Accent5 2 4 3" xfId="14625"/>
    <cellStyle name="60% - Accent5 2 5" xfId="14626"/>
    <cellStyle name="60% - Accent5 2 6" xfId="14627"/>
    <cellStyle name="60% - Accent5 2 7" xfId="14628"/>
    <cellStyle name="60% - Accent5 2 8" xfId="14629"/>
    <cellStyle name="60% - Accent5 3" xfId="14630"/>
    <cellStyle name="60% - Accent5 3 2" xfId="14631"/>
    <cellStyle name="60% - Accent5 3 2 2" xfId="14632"/>
    <cellStyle name="60% - Accent5 3 2 3" xfId="14633"/>
    <cellStyle name="60% - Accent5 3 3" xfId="14634"/>
    <cellStyle name="60% - Accent5 3 4" xfId="14635"/>
    <cellStyle name="60% - Accent5 3 5" xfId="14636"/>
    <cellStyle name="60% - Accent5 4" xfId="14637"/>
    <cellStyle name="60% - Accent5 4 2" xfId="14638"/>
    <cellStyle name="60% - Accent5 4 2 2" xfId="14639"/>
    <cellStyle name="60% - Accent5 4 2 3" xfId="14640"/>
    <cellStyle name="60% - Accent5 4 3" xfId="14641"/>
    <cellStyle name="60% - Accent5 4 4" xfId="14642"/>
    <cellStyle name="60% - Accent5 4 5" xfId="14643"/>
    <cellStyle name="60% - Accent5 5" xfId="14644"/>
    <cellStyle name="60% - Accent5 5 2" xfId="14645"/>
    <cellStyle name="60% - Accent5 5 2 2" xfId="14646"/>
    <cellStyle name="60% - Accent5 5 2 3" xfId="14647"/>
    <cellStyle name="60% - Accent5 5 3" xfId="14648"/>
    <cellStyle name="60% - Accent5 5 4" xfId="14649"/>
    <cellStyle name="60% - Accent5 5 5" xfId="14650"/>
    <cellStyle name="60% - Accent5 6" xfId="14651"/>
    <cellStyle name="60% - Accent5 6 2" xfId="14652"/>
    <cellStyle name="60% - Accent5 6 3" xfId="14653"/>
    <cellStyle name="60% - Accent5 7" xfId="14654"/>
    <cellStyle name="60% - Accent5 8" xfId="14655"/>
    <cellStyle name="60% - Accent5 9" xfId="14656"/>
    <cellStyle name="60% - Accent6" xfId="42" builtinId="52" customBuiltin="1"/>
    <cellStyle name="60% - Accent6 10" xfId="14657"/>
    <cellStyle name="60% - Accent6 11" xfId="14658"/>
    <cellStyle name="60% - Accent6 12" xfId="14659"/>
    <cellStyle name="60% - Accent6 13" xfId="14660"/>
    <cellStyle name="60% - Accent6 14" xfId="14661"/>
    <cellStyle name="60% - Accent6 15" xfId="14662"/>
    <cellStyle name="60% - Accent6 16" xfId="14663"/>
    <cellStyle name="60% - Accent6 17" xfId="14664"/>
    <cellStyle name="60% - Accent6 18" xfId="14665"/>
    <cellStyle name="60% - Accent6 19" xfId="14666"/>
    <cellStyle name="60% - Accent6 2" xfId="14667"/>
    <cellStyle name="60% - Accent6 2 10" xfId="14668"/>
    <cellStyle name="60% - Accent6 2 10 2" xfId="14669"/>
    <cellStyle name="60% - Accent6 2 11" xfId="14670"/>
    <cellStyle name="60% - Accent6 2 11 2" xfId="14671"/>
    <cellStyle name="60% - Accent6 2 12" xfId="14672"/>
    <cellStyle name="60% - Accent6 2 12 10" xfId="14673"/>
    <cellStyle name="60% - Accent6 2 12 10 2" xfId="14674"/>
    <cellStyle name="60% - Accent6 2 12 11" xfId="14675"/>
    <cellStyle name="60% - Accent6 2 12 2" xfId="14676"/>
    <cellStyle name="60% - Accent6 2 12 2 2" xfId="14677"/>
    <cellStyle name="60% - Accent6 2 12 3" xfId="14678"/>
    <cellStyle name="60% - Accent6 2 12 3 2" xfId="14679"/>
    <cellStyle name="60% - Accent6 2 12 4" xfId="14680"/>
    <cellStyle name="60% - Accent6 2 12 4 2" xfId="14681"/>
    <cellStyle name="60% - Accent6 2 12 5" xfId="14682"/>
    <cellStyle name="60% - Accent6 2 12 5 2" xfId="14683"/>
    <cellStyle name="60% - Accent6 2 12 6" xfId="14684"/>
    <cellStyle name="60% - Accent6 2 12 6 2" xfId="14685"/>
    <cellStyle name="60% - Accent6 2 12 7" xfId="14686"/>
    <cellStyle name="60% - Accent6 2 12 7 2" xfId="14687"/>
    <cellStyle name="60% - Accent6 2 12 8" xfId="14688"/>
    <cellStyle name="60% - Accent6 2 12 8 2" xfId="14689"/>
    <cellStyle name="60% - Accent6 2 12 9" xfId="14690"/>
    <cellStyle name="60% - Accent6 2 12 9 2" xfId="14691"/>
    <cellStyle name="60% - Accent6 2 13" xfId="14692"/>
    <cellStyle name="60% - Accent6 2 13 2" xfId="14693"/>
    <cellStyle name="60% - Accent6 2 14" xfId="14694"/>
    <cellStyle name="60% - Accent6 2 14 2" xfId="14695"/>
    <cellStyle name="60% - Accent6 2 15" xfId="14696"/>
    <cellStyle name="60% - Accent6 2 15 2" xfId="14697"/>
    <cellStyle name="60% - Accent6 2 16" xfId="14698"/>
    <cellStyle name="60% - Accent6 2 16 2" xfId="14699"/>
    <cellStyle name="60% - Accent6 2 17" xfId="14700"/>
    <cellStyle name="60% - Accent6 2 17 2" xfId="14701"/>
    <cellStyle name="60% - Accent6 2 18" xfId="14702"/>
    <cellStyle name="60% - Accent6 2 18 2" xfId="14703"/>
    <cellStyle name="60% - Accent6 2 19" xfId="14704"/>
    <cellStyle name="60% - Accent6 2 19 2" xfId="14705"/>
    <cellStyle name="60% - Accent6 2 2" xfId="14706"/>
    <cellStyle name="60% - Accent6 2 2 10" xfId="14707"/>
    <cellStyle name="60% - Accent6 2 2 10 2" xfId="14708"/>
    <cellStyle name="60% - Accent6 2 2 11" xfId="14709"/>
    <cellStyle name="60% - Accent6 2 2 11 2" xfId="14710"/>
    <cellStyle name="60% - Accent6 2 2 12" xfId="14711"/>
    <cellStyle name="60% - Accent6 2 2 12 10" xfId="14712"/>
    <cellStyle name="60% - Accent6 2 2 12 10 2" xfId="14713"/>
    <cellStyle name="60% - Accent6 2 2 12 11" xfId="14714"/>
    <cellStyle name="60% - Accent6 2 2 12 2" xfId="14715"/>
    <cellStyle name="60% - Accent6 2 2 12 2 2" xfId="14716"/>
    <cellStyle name="60% - Accent6 2 2 12 3" xfId="14717"/>
    <cellStyle name="60% - Accent6 2 2 12 3 2" xfId="14718"/>
    <cellStyle name="60% - Accent6 2 2 12 4" xfId="14719"/>
    <cellStyle name="60% - Accent6 2 2 12 4 2" xfId="14720"/>
    <cellStyle name="60% - Accent6 2 2 12 5" xfId="14721"/>
    <cellStyle name="60% - Accent6 2 2 12 5 2" xfId="14722"/>
    <cellStyle name="60% - Accent6 2 2 12 6" xfId="14723"/>
    <cellStyle name="60% - Accent6 2 2 12 6 2" xfId="14724"/>
    <cellStyle name="60% - Accent6 2 2 12 7" xfId="14725"/>
    <cellStyle name="60% - Accent6 2 2 12 7 2" xfId="14726"/>
    <cellStyle name="60% - Accent6 2 2 12 8" xfId="14727"/>
    <cellStyle name="60% - Accent6 2 2 12 8 2" xfId="14728"/>
    <cellStyle name="60% - Accent6 2 2 12 9" xfId="14729"/>
    <cellStyle name="60% - Accent6 2 2 12 9 2" xfId="14730"/>
    <cellStyle name="60% - Accent6 2 2 13" xfId="14731"/>
    <cellStyle name="60% - Accent6 2 2 13 2" xfId="14732"/>
    <cellStyle name="60% - Accent6 2 2 14" xfId="14733"/>
    <cellStyle name="60% - Accent6 2 2 14 2" xfId="14734"/>
    <cellStyle name="60% - Accent6 2 2 15" xfId="14735"/>
    <cellStyle name="60% - Accent6 2 2 15 2" xfId="14736"/>
    <cellStyle name="60% - Accent6 2 2 16" xfId="14737"/>
    <cellStyle name="60% - Accent6 2 2 16 2" xfId="14738"/>
    <cellStyle name="60% - Accent6 2 2 17" xfId="14739"/>
    <cellStyle name="60% - Accent6 2 2 17 2" xfId="14740"/>
    <cellStyle name="60% - Accent6 2 2 18" xfId="14741"/>
    <cellStyle name="60% - Accent6 2 2 18 2" xfId="14742"/>
    <cellStyle name="60% - Accent6 2 2 19" xfId="14743"/>
    <cellStyle name="60% - Accent6 2 2 19 2" xfId="14744"/>
    <cellStyle name="60% - Accent6 2 2 2" xfId="14745"/>
    <cellStyle name="60% - Accent6 2 2 2 10" xfId="14746"/>
    <cellStyle name="60% - Accent6 2 2 2 10 2" xfId="14747"/>
    <cellStyle name="60% - Accent6 2 2 2 11" xfId="14748"/>
    <cellStyle name="60% - Accent6 2 2 2 11 2" xfId="14749"/>
    <cellStyle name="60% - Accent6 2 2 2 12" xfId="14750"/>
    <cellStyle name="60% - Accent6 2 2 2 13" xfId="14751"/>
    <cellStyle name="60% - Accent6 2 2 2 2" xfId="14752"/>
    <cellStyle name="60% - Accent6 2 2 2 2 10" xfId="14753"/>
    <cellStyle name="60% - Accent6 2 2 2 2 10 2" xfId="14754"/>
    <cellStyle name="60% - Accent6 2 2 2 2 11" xfId="14755"/>
    <cellStyle name="60% - Accent6 2 2 2 2 12" xfId="14756"/>
    <cellStyle name="60% - Accent6 2 2 2 2 2" xfId="14757"/>
    <cellStyle name="60% - Accent6 2 2 2 2 2 2" xfId="14758"/>
    <cellStyle name="60% - Accent6 2 2 2 2 2 3" xfId="14759"/>
    <cellStyle name="60% - Accent6 2 2 2 2 2 4" xfId="14760"/>
    <cellStyle name="60% - Accent6 2 2 2 2 3" xfId="14761"/>
    <cellStyle name="60% - Accent6 2 2 2 2 3 2" xfId="14762"/>
    <cellStyle name="60% - Accent6 2 2 2 2 4" xfId="14763"/>
    <cellStyle name="60% - Accent6 2 2 2 2 4 2" xfId="14764"/>
    <cellStyle name="60% - Accent6 2 2 2 2 5" xfId="14765"/>
    <cellStyle name="60% - Accent6 2 2 2 2 5 2" xfId="14766"/>
    <cellStyle name="60% - Accent6 2 2 2 2 6" xfId="14767"/>
    <cellStyle name="60% - Accent6 2 2 2 2 6 2" xfId="14768"/>
    <cellStyle name="60% - Accent6 2 2 2 2 7" xfId="14769"/>
    <cellStyle name="60% - Accent6 2 2 2 2 7 2" xfId="14770"/>
    <cellStyle name="60% - Accent6 2 2 2 2 8" xfId="14771"/>
    <cellStyle name="60% - Accent6 2 2 2 2 8 2" xfId="14772"/>
    <cellStyle name="60% - Accent6 2 2 2 2 9" xfId="14773"/>
    <cellStyle name="60% - Accent6 2 2 2 2 9 2" xfId="14774"/>
    <cellStyle name="60% - Accent6 2 2 2 3" xfId="14775"/>
    <cellStyle name="60% - Accent6 2 2 2 3 2" xfId="14776"/>
    <cellStyle name="60% - Accent6 2 2 2 4" xfId="14777"/>
    <cellStyle name="60% - Accent6 2 2 2 4 2" xfId="14778"/>
    <cellStyle name="60% - Accent6 2 2 2 5" xfId="14779"/>
    <cellStyle name="60% - Accent6 2 2 2 5 2" xfId="14780"/>
    <cellStyle name="60% - Accent6 2 2 2 6" xfId="14781"/>
    <cellStyle name="60% - Accent6 2 2 2 6 2" xfId="14782"/>
    <cellStyle name="60% - Accent6 2 2 2 7" xfId="14783"/>
    <cellStyle name="60% - Accent6 2 2 2 7 2" xfId="14784"/>
    <cellStyle name="60% - Accent6 2 2 2 8" xfId="14785"/>
    <cellStyle name="60% - Accent6 2 2 2 8 2" xfId="14786"/>
    <cellStyle name="60% - Accent6 2 2 2 9" xfId="14787"/>
    <cellStyle name="60% - Accent6 2 2 2 9 2" xfId="14788"/>
    <cellStyle name="60% - Accent6 2 2 20" xfId="14789"/>
    <cellStyle name="60% - Accent6 2 2 20 2" xfId="14790"/>
    <cellStyle name="60% - Accent6 2 2 21" xfId="14791"/>
    <cellStyle name="60% - Accent6 2 2 22" xfId="14792"/>
    <cellStyle name="60% - Accent6 2 2 3" xfId="14793"/>
    <cellStyle name="60% - Accent6 2 2 3 2" xfId="14794"/>
    <cellStyle name="60% - Accent6 2 2 4" xfId="14795"/>
    <cellStyle name="60% - Accent6 2 2 4 2" xfId="14796"/>
    <cellStyle name="60% - Accent6 2 2 5" xfId="14797"/>
    <cellStyle name="60% - Accent6 2 2 5 2" xfId="14798"/>
    <cellStyle name="60% - Accent6 2 2 6" xfId="14799"/>
    <cellStyle name="60% - Accent6 2 2 6 2" xfId="14800"/>
    <cellStyle name="60% - Accent6 2 2 7" xfId="14801"/>
    <cellStyle name="60% - Accent6 2 2 7 2" xfId="14802"/>
    <cellStyle name="60% - Accent6 2 2 8" xfId="14803"/>
    <cellStyle name="60% - Accent6 2 2 8 2" xfId="14804"/>
    <cellStyle name="60% - Accent6 2 2 9" xfId="14805"/>
    <cellStyle name="60% - Accent6 2 2 9 2" xfId="14806"/>
    <cellStyle name="60% - Accent6 2 20" xfId="14807"/>
    <cellStyle name="60% - Accent6 2 20 2" xfId="14808"/>
    <cellStyle name="60% - Accent6 2 21" xfId="14809"/>
    <cellStyle name="60% - Accent6 2 21 2" xfId="14810"/>
    <cellStyle name="60% - Accent6 2 21 3" xfId="14811"/>
    <cellStyle name="60% - Accent6 2 22" xfId="14812"/>
    <cellStyle name="60% - Accent6 2 23" xfId="14813"/>
    <cellStyle name="60% - Accent6 2 24" xfId="14814"/>
    <cellStyle name="60% - Accent6 2 25" xfId="14815"/>
    <cellStyle name="60% - Accent6 2 3" xfId="14816"/>
    <cellStyle name="60% - Accent6 2 3 2" xfId="14817"/>
    <cellStyle name="60% - Accent6 2 4" xfId="14818"/>
    <cellStyle name="60% - Accent6 2 4 2" xfId="14819"/>
    <cellStyle name="60% - Accent6 2 5" xfId="14820"/>
    <cellStyle name="60% - Accent6 2 5 2" xfId="14821"/>
    <cellStyle name="60% - Accent6 2 6" xfId="14822"/>
    <cellStyle name="60% - Accent6 2 6 2" xfId="14823"/>
    <cellStyle name="60% - Accent6 2 7" xfId="14824"/>
    <cellStyle name="60% - Accent6 2 7 2" xfId="14825"/>
    <cellStyle name="60% - Accent6 2 8" xfId="14826"/>
    <cellStyle name="60% - Accent6 2 8 2" xfId="14827"/>
    <cellStyle name="60% - Accent6 2 9" xfId="14828"/>
    <cellStyle name="60% - Accent6 2 9 2" xfId="14829"/>
    <cellStyle name="60% - Accent6 3" xfId="14830"/>
    <cellStyle name="60% - Accent6 3 2" xfId="14831"/>
    <cellStyle name="60% - Accent6 3 2 2" xfId="14832"/>
    <cellStyle name="60% - Accent6 3 2 3" xfId="14833"/>
    <cellStyle name="60% - Accent6 3 3" xfId="14834"/>
    <cellStyle name="60% - Accent6 3 4" xfId="14835"/>
    <cellStyle name="60% - Accent6 3 5" xfId="14836"/>
    <cellStyle name="60% - Accent6 4" xfId="14837"/>
    <cellStyle name="60% - Accent6 4 2" xfId="14838"/>
    <cellStyle name="60% - Accent6 4 2 2" xfId="14839"/>
    <cellStyle name="60% - Accent6 4 2 3" xfId="14840"/>
    <cellStyle name="60% - Accent6 4 3" xfId="14841"/>
    <cellStyle name="60% - Accent6 4 4" xfId="14842"/>
    <cellStyle name="60% - Accent6 4 5" xfId="14843"/>
    <cellStyle name="60% - Accent6 5" xfId="14844"/>
    <cellStyle name="60% - Accent6 5 2" xfId="14845"/>
    <cellStyle name="60% - Accent6 5 2 2" xfId="14846"/>
    <cellStyle name="60% - Accent6 5 2 3" xfId="14847"/>
    <cellStyle name="60% - Accent6 5 3" xfId="14848"/>
    <cellStyle name="60% - Accent6 5 4" xfId="14849"/>
    <cellStyle name="60% - Accent6 5 5" xfId="14850"/>
    <cellStyle name="60% - Accent6 6" xfId="14851"/>
    <cellStyle name="60% - Accent6 6 2" xfId="14852"/>
    <cellStyle name="60% - Accent6 6 3" xfId="14853"/>
    <cellStyle name="60% - Accent6 7" xfId="14854"/>
    <cellStyle name="60% - Accent6 8" xfId="14855"/>
    <cellStyle name="60% - Accent6 9" xfId="14856"/>
    <cellStyle name="60% - Ênfase1" xfId="14857"/>
    <cellStyle name="60% - Ênfase2" xfId="14858"/>
    <cellStyle name="60% - Ênfase3" xfId="14859"/>
    <cellStyle name="60% - Ênfase4" xfId="14860"/>
    <cellStyle name="60% - Ênfase5" xfId="14861"/>
    <cellStyle name="60% - Ênfase6" xfId="14862"/>
    <cellStyle name="60% - Énfasis1" xfId="14863"/>
    <cellStyle name="60% - Énfasis2" xfId="14864"/>
    <cellStyle name="60% - Énfasis3" xfId="14865"/>
    <cellStyle name="60% - Énfasis4" xfId="14866"/>
    <cellStyle name="60% - Énfasis5" xfId="14867"/>
    <cellStyle name="60% - Énfasis6" xfId="14868"/>
    <cellStyle name="60% - 강조색1" xfId="14869"/>
    <cellStyle name="60% - 강조색1 2" xfId="14870"/>
    <cellStyle name="60% - 강조색2" xfId="14871"/>
    <cellStyle name="60% - 강조색2 2" xfId="14872"/>
    <cellStyle name="60% - 강조색3" xfId="14873"/>
    <cellStyle name="60% - 강조색3 2" xfId="14874"/>
    <cellStyle name="60% - 강조색4" xfId="14875"/>
    <cellStyle name="60% - 강조색4 2" xfId="14876"/>
    <cellStyle name="60% - 강조색5" xfId="14877"/>
    <cellStyle name="60% - 강조색5 2" xfId="14878"/>
    <cellStyle name="60% - 강조색6" xfId="14879"/>
    <cellStyle name="60% - 강조색6 2" xfId="14880"/>
    <cellStyle name="752131" xfId="14881"/>
    <cellStyle name="A3 297 x 420 mm" xfId="14882"/>
    <cellStyle name="aa" xfId="14883"/>
    <cellStyle name="aaaa" xfId="14884"/>
    <cellStyle name="Accent1" xfId="19" builtinId="29" customBuiltin="1"/>
    <cellStyle name="Accent1 10" xfId="14885"/>
    <cellStyle name="Accent1 11" xfId="14886"/>
    <cellStyle name="Accent1 12" xfId="14887"/>
    <cellStyle name="Accent1 13" xfId="14888"/>
    <cellStyle name="Accent1 14" xfId="14889"/>
    <cellStyle name="Accent1 15" xfId="14890"/>
    <cellStyle name="Accent1 16" xfId="14891"/>
    <cellStyle name="Accent1 17" xfId="14892"/>
    <cellStyle name="Accent1 18" xfId="14893"/>
    <cellStyle name="Accent1 19" xfId="14894"/>
    <cellStyle name="Accent1 2" xfId="53"/>
    <cellStyle name="Accent1 2 10" xfId="14895"/>
    <cellStyle name="Accent1 2 10 2" xfId="14896"/>
    <cellStyle name="Accent1 2 11" xfId="14897"/>
    <cellStyle name="Accent1 2 11 2" xfId="14898"/>
    <cellStyle name="Accent1 2 12" xfId="14899"/>
    <cellStyle name="Accent1 2 12 10" xfId="14900"/>
    <cellStyle name="Accent1 2 12 10 2" xfId="14901"/>
    <cellStyle name="Accent1 2 12 11" xfId="14902"/>
    <cellStyle name="Accent1 2 12 2" xfId="14903"/>
    <cellStyle name="Accent1 2 12 2 2" xfId="14904"/>
    <cellStyle name="Accent1 2 12 3" xfId="14905"/>
    <cellStyle name="Accent1 2 12 3 2" xfId="14906"/>
    <cellStyle name="Accent1 2 12 4" xfId="14907"/>
    <cellStyle name="Accent1 2 12 4 2" xfId="14908"/>
    <cellStyle name="Accent1 2 12 5" xfId="14909"/>
    <cellStyle name="Accent1 2 12 5 2" xfId="14910"/>
    <cellStyle name="Accent1 2 12 6" xfId="14911"/>
    <cellStyle name="Accent1 2 12 6 2" xfId="14912"/>
    <cellStyle name="Accent1 2 12 7" xfId="14913"/>
    <cellStyle name="Accent1 2 12 7 2" xfId="14914"/>
    <cellStyle name="Accent1 2 12 8" xfId="14915"/>
    <cellStyle name="Accent1 2 12 8 2" xfId="14916"/>
    <cellStyle name="Accent1 2 12 9" xfId="14917"/>
    <cellStyle name="Accent1 2 12 9 2" xfId="14918"/>
    <cellStyle name="Accent1 2 13" xfId="14919"/>
    <cellStyle name="Accent1 2 13 2" xfId="14920"/>
    <cellStyle name="Accent1 2 14" xfId="14921"/>
    <cellStyle name="Accent1 2 14 2" xfId="14922"/>
    <cellStyle name="Accent1 2 15" xfId="14923"/>
    <cellStyle name="Accent1 2 15 2" xfId="14924"/>
    <cellStyle name="Accent1 2 16" xfId="14925"/>
    <cellStyle name="Accent1 2 16 2" xfId="14926"/>
    <cellStyle name="Accent1 2 17" xfId="14927"/>
    <cellStyle name="Accent1 2 17 2" xfId="14928"/>
    <cellStyle name="Accent1 2 18" xfId="14929"/>
    <cellStyle name="Accent1 2 18 2" xfId="14930"/>
    <cellStyle name="Accent1 2 19" xfId="14931"/>
    <cellStyle name="Accent1 2 19 2" xfId="14932"/>
    <cellStyle name="Accent1 2 2" xfId="14933"/>
    <cellStyle name="Accent1 2 2 10" xfId="14934"/>
    <cellStyle name="Accent1 2 2 10 2" xfId="14935"/>
    <cellStyle name="Accent1 2 2 11" xfId="14936"/>
    <cellStyle name="Accent1 2 2 11 2" xfId="14937"/>
    <cellStyle name="Accent1 2 2 12" xfId="14938"/>
    <cellStyle name="Accent1 2 2 12 10" xfId="14939"/>
    <cellStyle name="Accent1 2 2 12 10 2" xfId="14940"/>
    <cellStyle name="Accent1 2 2 12 11" xfId="14941"/>
    <cellStyle name="Accent1 2 2 12 2" xfId="14942"/>
    <cellStyle name="Accent1 2 2 12 2 2" xfId="14943"/>
    <cellStyle name="Accent1 2 2 12 3" xfId="14944"/>
    <cellStyle name="Accent1 2 2 12 3 2" xfId="14945"/>
    <cellStyle name="Accent1 2 2 12 4" xfId="14946"/>
    <cellStyle name="Accent1 2 2 12 4 2" xfId="14947"/>
    <cellStyle name="Accent1 2 2 12 5" xfId="14948"/>
    <cellStyle name="Accent1 2 2 12 5 2" xfId="14949"/>
    <cellStyle name="Accent1 2 2 12 6" xfId="14950"/>
    <cellStyle name="Accent1 2 2 12 6 2" xfId="14951"/>
    <cellStyle name="Accent1 2 2 12 7" xfId="14952"/>
    <cellStyle name="Accent1 2 2 12 7 2" xfId="14953"/>
    <cellStyle name="Accent1 2 2 12 8" xfId="14954"/>
    <cellStyle name="Accent1 2 2 12 8 2" xfId="14955"/>
    <cellStyle name="Accent1 2 2 12 9" xfId="14956"/>
    <cellStyle name="Accent1 2 2 12 9 2" xfId="14957"/>
    <cellStyle name="Accent1 2 2 13" xfId="14958"/>
    <cellStyle name="Accent1 2 2 13 2" xfId="14959"/>
    <cellStyle name="Accent1 2 2 14" xfId="14960"/>
    <cellStyle name="Accent1 2 2 14 2" xfId="14961"/>
    <cellStyle name="Accent1 2 2 15" xfId="14962"/>
    <cellStyle name="Accent1 2 2 15 2" xfId="14963"/>
    <cellStyle name="Accent1 2 2 16" xfId="14964"/>
    <cellStyle name="Accent1 2 2 16 2" xfId="14965"/>
    <cellStyle name="Accent1 2 2 17" xfId="14966"/>
    <cellStyle name="Accent1 2 2 17 2" xfId="14967"/>
    <cellStyle name="Accent1 2 2 18" xfId="14968"/>
    <cellStyle name="Accent1 2 2 18 2" xfId="14969"/>
    <cellStyle name="Accent1 2 2 19" xfId="14970"/>
    <cellStyle name="Accent1 2 2 19 2" xfId="14971"/>
    <cellStyle name="Accent1 2 2 2" xfId="14972"/>
    <cellStyle name="Accent1 2 2 2 10" xfId="14973"/>
    <cellStyle name="Accent1 2 2 2 10 2" xfId="14974"/>
    <cellStyle name="Accent1 2 2 2 11" xfId="14975"/>
    <cellStyle name="Accent1 2 2 2 11 2" xfId="14976"/>
    <cellStyle name="Accent1 2 2 2 12" xfId="14977"/>
    <cellStyle name="Accent1 2 2 2 13" xfId="14978"/>
    <cellStyle name="Accent1 2 2 2 2" xfId="14979"/>
    <cellStyle name="Accent1 2 2 2 2 10" xfId="14980"/>
    <cellStyle name="Accent1 2 2 2 2 10 2" xfId="14981"/>
    <cellStyle name="Accent1 2 2 2 2 11" xfId="14982"/>
    <cellStyle name="Accent1 2 2 2 2 12" xfId="14983"/>
    <cellStyle name="Accent1 2 2 2 2 2" xfId="14984"/>
    <cellStyle name="Accent1 2 2 2 2 2 2" xfId="14985"/>
    <cellStyle name="Accent1 2 2 2 2 2 3" xfId="14986"/>
    <cellStyle name="Accent1 2 2 2 2 2 4" xfId="14987"/>
    <cellStyle name="Accent1 2 2 2 2 3" xfId="14988"/>
    <cellStyle name="Accent1 2 2 2 2 3 2" xfId="14989"/>
    <cellStyle name="Accent1 2 2 2 2 4" xfId="14990"/>
    <cellStyle name="Accent1 2 2 2 2 4 2" xfId="14991"/>
    <cellStyle name="Accent1 2 2 2 2 5" xfId="14992"/>
    <cellStyle name="Accent1 2 2 2 2 5 2" xfId="14993"/>
    <cellStyle name="Accent1 2 2 2 2 6" xfId="14994"/>
    <cellStyle name="Accent1 2 2 2 2 6 2" xfId="14995"/>
    <cellStyle name="Accent1 2 2 2 2 7" xfId="14996"/>
    <cellStyle name="Accent1 2 2 2 2 7 2" xfId="14997"/>
    <cellStyle name="Accent1 2 2 2 2 8" xfId="14998"/>
    <cellStyle name="Accent1 2 2 2 2 8 2" xfId="14999"/>
    <cellStyle name="Accent1 2 2 2 2 9" xfId="15000"/>
    <cellStyle name="Accent1 2 2 2 2 9 2" xfId="15001"/>
    <cellStyle name="Accent1 2 2 2 3" xfId="15002"/>
    <cellStyle name="Accent1 2 2 2 3 2" xfId="15003"/>
    <cellStyle name="Accent1 2 2 2 4" xfId="15004"/>
    <cellStyle name="Accent1 2 2 2 4 2" xfId="15005"/>
    <cellStyle name="Accent1 2 2 2 5" xfId="15006"/>
    <cellStyle name="Accent1 2 2 2 5 2" xfId="15007"/>
    <cellStyle name="Accent1 2 2 2 6" xfId="15008"/>
    <cellStyle name="Accent1 2 2 2 6 2" xfId="15009"/>
    <cellStyle name="Accent1 2 2 2 7" xfId="15010"/>
    <cellStyle name="Accent1 2 2 2 7 2" xfId="15011"/>
    <cellStyle name="Accent1 2 2 2 8" xfId="15012"/>
    <cellStyle name="Accent1 2 2 2 8 2" xfId="15013"/>
    <cellStyle name="Accent1 2 2 2 9" xfId="15014"/>
    <cellStyle name="Accent1 2 2 2 9 2" xfId="15015"/>
    <cellStyle name="Accent1 2 2 20" xfId="15016"/>
    <cellStyle name="Accent1 2 2 20 2" xfId="15017"/>
    <cellStyle name="Accent1 2 2 21" xfId="15018"/>
    <cellStyle name="Accent1 2 2 22" xfId="15019"/>
    <cellStyle name="Accent1 2 2 3" xfId="15020"/>
    <cellStyle name="Accent1 2 2 3 2" xfId="15021"/>
    <cellStyle name="Accent1 2 2 4" xfId="15022"/>
    <cellStyle name="Accent1 2 2 4 2" xfId="15023"/>
    <cellStyle name="Accent1 2 2 5" xfId="15024"/>
    <cellStyle name="Accent1 2 2 5 2" xfId="15025"/>
    <cellStyle name="Accent1 2 2 6" xfId="15026"/>
    <cellStyle name="Accent1 2 2 6 2" xfId="15027"/>
    <cellStyle name="Accent1 2 2 7" xfId="15028"/>
    <cellStyle name="Accent1 2 2 7 2" xfId="15029"/>
    <cellStyle name="Accent1 2 2 8" xfId="15030"/>
    <cellStyle name="Accent1 2 2 8 2" xfId="15031"/>
    <cellStyle name="Accent1 2 2 9" xfId="15032"/>
    <cellStyle name="Accent1 2 2 9 2" xfId="15033"/>
    <cellStyle name="Accent1 2 20" xfId="15034"/>
    <cellStyle name="Accent1 2 20 2" xfId="15035"/>
    <cellStyle name="Accent1 2 21" xfId="15036"/>
    <cellStyle name="Accent1 2 21 2" xfId="15037"/>
    <cellStyle name="Accent1 2 21 3" xfId="15038"/>
    <cellStyle name="Accent1 2 22" xfId="15039"/>
    <cellStyle name="Accent1 2 23" xfId="15040"/>
    <cellStyle name="Accent1 2 24" xfId="15041"/>
    <cellStyle name="Accent1 2 25" xfId="15042"/>
    <cellStyle name="Accent1 2 3" xfId="15043"/>
    <cellStyle name="Accent1 2 3 2" xfId="15044"/>
    <cellStyle name="Accent1 2 4" xfId="15045"/>
    <cellStyle name="Accent1 2 4 2" xfId="15046"/>
    <cellStyle name="Accent1 2 5" xfId="15047"/>
    <cellStyle name="Accent1 2 5 2" xfId="15048"/>
    <cellStyle name="Accent1 2 6" xfId="15049"/>
    <cellStyle name="Accent1 2 6 2" xfId="15050"/>
    <cellStyle name="Accent1 2 7" xfId="15051"/>
    <cellStyle name="Accent1 2 7 2" xfId="15052"/>
    <cellStyle name="Accent1 2 8" xfId="15053"/>
    <cellStyle name="Accent1 2 8 2" xfId="15054"/>
    <cellStyle name="Accent1 2 9" xfId="15055"/>
    <cellStyle name="Accent1 2 9 2" xfId="15056"/>
    <cellStyle name="Accent1 3" xfId="15057"/>
    <cellStyle name="Accent1 3 2" xfId="15058"/>
    <cellStyle name="Accent1 3 2 2" xfId="15059"/>
    <cellStyle name="Accent1 3 2 3" xfId="15060"/>
    <cellStyle name="Accent1 3 3" xfId="15061"/>
    <cellStyle name="Accent1 3 4" xfId="15062"/>
    <cellStyle name="Accent1 3 5" xfId="15063"/>
    <cellStyle name="Accent1 4" xfId="15064"/>
    <cellStyle name="Accent1 4 2" xfId="15065"/>
    <cellStyle name="Accent1 4 2 2" xfId="15066"/>
    <cellStyle name="Accent1 4 2 3" xfId="15067"/>
    <cellStyle name="Accent1 4 3" xfId="15068"/>
    <cellStyle name="Accent1 4 4" xfId="15069"/>
    <cellStyle name="Accent1 4 5" xfId="15070"/>
    <cellStyle name="Accent1 5" xfId="15071"/>
    <cellStyle name="Accent1 5 2" xfId="15072"/>
    <cellStyle name="Accent1 5 2 2" xfId="15073"/>
    <cellStyle name="Accent1 5 2 3" xfId="15074"/>
    <cellStyle name="Accent1 5 3" xfId="15075"/>
    <cellStyle name="Accent1 5 4" xfId="15076"/>
    <cellStyle name="Accent1 5 5" xfId="15077"/>
    <cellStyle name="Accent1 6" xfId="15078"/>
    <cellStyle name="Accent1 6 2" xfId="15079"/>
    <cellStyle name="Accent1 6 3" xfId="15080"/>
    <cellStyle name="Accent1 7" xfId="15081"/>
    <cellStyle name="Accent1 8" xfId="15082"/>
    <cellStyle name="Accent1 9" xfId="15083"/>
    <cellStyle name="Accent2" xfId="23" builtinId="33" customBuiltin="1"/>
    <cellStyle name="Accent2 10" xfId="15084"/>
    <cellStyle name="Accent2 11" xfId="15085"/>
    <cellStyle name="Accent2 12" xfId="15086"/>
    <cellStyle name="Accent2 13" xfId="15087"/>
    <cellStyle name="Accent2 14" xfId="15088"/>
    <cellStyle name="Accent2 15" xfId="15089"/>
    <cellStyle name="Accent2 16" xfId="15090"/>
    <cellStyle name="Accent2 17" xfId="15091"/>
    <cellStyle name="Accent2 18" xfId="15092"/>
    <cellStyle name="Accent2 19" xfId="15093"/>
    <cellStyle name="Accent2 2" xfId="15094"/>
    <cellStyle name="Accent2 2 2" xfId="15095"/>
    <cellStyle name="Accent2 2 2 2" xfId="15096"/>
    <cellStyle name="Accent2 2 3" xfId="15097"/>
    <cellStyle name="Accent2 2 3 2" xfId="15098"/>
    <cellStyle name="Accent2 2 4" xfId="15099"/>
    <cellStyle name="Accent2 2 4 2" xfId="15100"/>
    <cellStyle name="Accent2 2 4 3" xfId="15101"/>
    <cellStyle name="Accent2 2 5" xfId="15102"/>
    <cellStyle name="Accent2 2 6" xfId="15103"/>
    <cellStyle name="Accent2 2 7" xfId="15104"/>
    <cellStyle name="Accent2 2 8" xfId="15105"/>
    <cellStyle name="Accent2 3" xfId="15106"/>
    <cellStyle name="Accent2 3 2" xfId="15107"/>
    <cellStyle name="Accent2 3 2 2" xfId="15108"/>
    <cellStyle name="Accent2 3 2 3" xfId="15109"/>
    <cellStyle name="Accent2 3 3" xfId="15110"/>
    <cellStyle name="Accent2 3 4" xfId="15111"/>
    <cellStyle name="Accent2 3 5" xfId="15112"/>
    <cellStyle name="Accent2 4" xfId="15113"/>
    <cellStyle name="Accent2 4 2" xfId="15114"/>
    <cellStyle name="Accent2 4 2 2" xfId="15115"/>
    <cellStyle name="Accent2 4 2 3" xfId="15116"/>
    <cellStyle name="Accent2 4 3" xfId="15117"/>
    <cellStyle name="Accent2 4 4" xfId="15118"/>
    <cellStyle name="Accent2 4 5" xfId="15119"/>
    <cellStyle name="Accent2 5" xfId="15120"/>
    <cellStyle name="Accent2 5 2" xfId="15121"/>
    <cellStyle name="Accent2 5 2 2" xfId="15122"/>
    <cellStyle name="Accent2 5 2 3" xfId="15123"/>
    <cellStyle name="Accent2 5 3" xfId="15124"/>
    <cellStyle name="Accent2 5 4" xfId="15125"/>
    <cellStyle name="Accent2 5 5" xfId="15126"/>
    <cellStyle name="Accent2 6" xfId="15127"/>
    <cellStyle name="Accent2 6 2" xfId="15128"/>
    <cellStyle name="Accent2 6 3" xfId="15129"/>
    <cellStyle name="Accent2 7" xfId="15130"/>
    <cellStyle name="Accent2 8" xfId="15131"/>
    <cellStyle name="Accent2 9" xfId="15132"/>
    <cellStyle name="Accent3" xfId="27" builtinId="37" customBuiltin="1"/>
    <cellStyle name="Accent3 10" xfId="15133"/>
    <cellStyle name="Accent3 11" xfId="15134"/>
    <cellStyle name="Accent3 12" xfId="15135"/>
    <cellStyle name="Accent3 13" xfId="15136"/>
    <cellStyle name="Accent3 14" xfId="15137"/>
    <cellStyle name="Accent3 15" xfId="15138"/>
    <cellStyle name="Accent3 16" xfId="15139"/>
    <cellStyle name="Accent3 17" xfId="15140"/>
    <cellStyle name="Accent3 18" xfId="15141"/>
    <cellStyle name="Accent3 19" xfId="15142"/>
    <cellStyle name="Accent3 2" xfId="15143"/>
    <cellStyle name="Accent3 2 2" xfId="15144"/>
    <cellStyle name="Accent3 2 2 2" xfId="15145"/>
    <cellStyle name="Accent3 2 3" xfId="15146"/>
    <cellStyle name="Accent3 2 3 2" xfId="15147"/>
    <cellStyle name="Accent3 2 4" xfId="15148"/>
    <cellStyle name="Accent3 2 4 2" xfId="15149"/>
    <cellStyle name="Accent3 2 4 3" xfId="15150"/>
    <cellStyle name="Accent3 2 5" xfId="15151"/>
    <cellStyle name="Accent3 2 6" xfId="15152"/>
    <cellStyle name="Accent3 2 7" xfId="15153"/>
    <cellStyle name="Accent3 2 8" xfId="15154"/>
    <cellStyle name="Accent3 3" xfId="15155"/>
    <cellStyle name="Accent3 3 2" xfId="15156"/>
    <cellStyle name="Accent3 3 2 2" xfId="15157"/>
    <cellStyle name="Accent3 3 2 3" xfId="15158"/>
    <cellStyle name="Accent3 3 3" xfId="15159"/>
    <cellStyle name="Accent3 3 4" xfId="15160"/>
    <cellStyle name="Accent3 3 5" xfId="15161"/>
    <cellStyle name="Accent3 4" xfId="15162"/>
    <cellStyle name="Accent3 4 2" xfId="15163"/>
    <cellStyle name="Accent3 4 2 2" xfId="15164"/>
    <cellStyle name="Accent3 4 2 3" xfId="15165"/>
    <cellStyle name="Accent3 4 3" xfId="15166"/>
    <cellStyle name="Accent3 4 4" xfId="15167"/>
    <cellStyle name="Accent3 4 5" xfId="15168"/>
    <cellStyle name="Accent3 5" xfId="15169"/>
    <cellStyle name="Accent3 5 2" xfId="15170"/>
    <cellStyle name="Accent3 5 2 2" xfId="15171"/>
    <cellStyle name="Accent3 5 2 3" xfId="15172"/>
    <cellStyle name="Accent3 5 3" xfId="15173"/>
    <cellStyle name="Accent3 5 4" xfId="15174"/>
    <cellStyle name="Accent3 5 5" xfId="15175"/>
    <cellStyle name="Accent3 6" xfId="15176"/>
    <cellStyle name="Accent3 6 2" xfId="15177"/>
    <cellStyle name="Accent3 6 3" xfId="15178"/>
    <cellStyle name="Accent3 7" xfId="15179"/>
    <cellStyle name="Accent3 8" xfId="15180"/>
    <cellStyle name="Accent3 9" xfId="15181"/>
    <cellStyle name="Accent4" xfId="31" builtinId="41" customBuiltin="1"/>
    <cellStyle name="Accent4 10" xfId="15182"/>
    <cellStyle name="Accent4 11" xfId="15183"/>
    <cellStyle name="Accent4 12" xfId="15184"/>
    <cellStyle name="Accent4 13" xfId="15185"/>
    <cellStyle name="Accent4 14" xfId="15186"/>
    <cellStyle name="Accent4 15" xfId="15187"/>
    <cellStyle name="Accent4 16" xfId="15188"/>
    <cellStyle name="Accent4 17" xfId="15189"/>
    <cellStyle name="Accent4 18" xfId="15190"/>
    <cellStyle name="Accent4 19" xfId="15191"/>
    <cellStyle name="Accent4 2" xfId="15192"/>
    <cellStyle name="Accent4 2 2" xfId="15193"/>
    <cellStyle name="Accent4 2 2 2" xfId="15194"/>
    <cellStyle name="Accent4 2 3" xfId="15195"/>
    <cellStyle name="Accent4 2 3 2" xfId="15196"/>
    <cellStyle name="Accent4 2 4" xfId="15197"/>
    <cellStyle name="Accent4 2 4 2" xfId="15198"/>
    <cellStyle name="Accent4 2 4 3" xfId="15199"/>
    <cellStyle name="Accent4 2 5" xfId="15200"/>
    <cellStyle name="Accent4 2 6" xfId="15201"/>
    <cellStyle name="Accent4 2 7" xfId="15202"/>
    <cellStyle name="Accent4 2 8" xfId="15203"/>
    <cellStyle name="Accent4 3" xfId="15204"/>
    <cellStyle name="Accent4 3 2" xfId="15205"/>
    <cellStyle name="Accent4 3 2 2" xfId="15206"/>
    <cellStyle name="Accent4 3 2 3" xfId="15207"/>
    <cellStyle name="Accent4 3 3" xfId="15208"/>
    <cellStyle name="Accent4 3 4" xfId="15209"/>
    <cellStyle name="Accent4 3 5" xfId="15210"/>
    <cellStyle name="Accent4 4" xfId="15211"/>
    <cellStyle name="Accent4 4 2" xfId="15212"/>
    <cellStyle name="Accent4 4 2 2" xfId="15213"/>
    <cellStyle name="Accent4 4 2 3" xfId="15214"/>
    <cellStyle name="Accent4 4 3" xfId="15215"/>
    <cellStyle name="Accent4 4 4" xfId="15216"/>
    <cellStyle name="Accent4 4 5" xfId="15217"/>
    <cellStyle name="Accent4 5" xfId="15218"/>
    <cellStyle name="Accent4 5 2" xfId="15219"/>
    <cellStyle name="Accent4 5 2 2" xfId="15220"/>
    <cellStyle name="Accent4 5 2 3" xfId="15221"/>
    <cellStyle name="Accent4 5 3" xfId="15222"/>
    <cellStyle name="Accent4 5 4" xfId="15223"/>
    <cellStyle name="Accent4 5 5" xfId="15224"/>
    <cellStyle name="Accent4 6" xfId="15225"/>
    <cellStyle name="Accent4 6 2" xfId="15226"/>
    <cellStyle name="Accent4 6 3" xfId="15227"/>
    <cellStyle name="Accent4 7" xfId="15228"/>
    <cellStyle name="Accent4 8" xfId="15229"/>
    <cellStyle name="Accent4 9" xfId="15230"/>
    <cellStyle name="Accent5" xfId="35" builtinId="45" customBuiltin="1"/>
    <cellStyle name="Accent5 10" xfId="15231"/>
    <cellStyle name="Accent5 11" xfId="15232"/>
    <cellStyle name="Accent5 12" xfId="15233"/>
    <cellStyle name="Accent5 13" xfId="15234"/>
    <cellStyle name="Accent5 14" xfId="15235"/>
    <cellStyle name="Accent5 15" xfId="15236"/>
    <cellStyle name="Accent5 16" xfId="15237"/>
    <cellStyle name="Accent5 17" xfId="15238"/>
    <cellStyle name="Accent5 18" xfId="15239"/>
    <cellStyle name="Accent5 19" xfId="15240"/>
    <cellStyle name="Accent5 2" xfId="52"/>
    <cellStyle name="Accent5 2 2" xfId="15241"/>
    <cellStyle name="Accent5 2 2 2" xfId="15242"/>
    <cellStyle name="Accent5 2 3" xfId="15243"/>
    <cellStyle name="Accent5 2 3 2" xfId="15244"/>
    <cellStyle name="Accent5 2 4" xfId="15245"/>
    <cellStyle name="Accent5 2 4 2" xfId="15246"/>
    <cellStyle name="Accent5 2 4 3" xfId="15247"/>
    <cellStyle name="Accent5 2 5" xfId="15248"/>
    <cellStyle name="Accent5 2 6" xfId="15249"/>
    <cellStyle name="Accent5 2 7" xfId="15250"/>
    <cellStyle name="Accent5 2 8" xfId="15251"/>
    <cellStyle name="Accent5 3" xfId="15252"/>
    <cellStyle name="Accent5 3 2" xfId="15253"/>
    <cellStyle name="Accent5 3 2 2" xfId="15254"/>
    <cellStyle name="Accent5 3 2 3" xfId="15255"/>
    <cellStyle name="Accent5 3 3" xfId="15256"/>
    <cellStyle name="Accent5 3 4" xfId="15257"/>
    <cellStyle name="Accent5 3 5" xfId="15258"/>
    <cellStyle name="Accent5 4" xfId="15259"/>
    <cellStyle name="Accent5 4 2" xfId="15260"/>
    <cellStyle name="Accent5 4 2 2" xfId="15261"/>
    <cellStyle name="Accent5 4 2 3" xfId="15262"/>
    <cellStyle name="Accent5 4 3" xfId="15263"/>
    <cellStyle name="Accent5 4 4" xfId="15264"/>
    <cellStyle name="Accent5 4 5" xfId="15265"/>
    <cellStyle name="Accent5 5" xfId="15266"/>
    <cellStyle name="Accent5 5 2" xfId="15267"/>
    <cellStyle name="Accent5 5 2 2" xfId="15268"/>
    <cellStyle name="Accent5 5 2 3" xfId="15269"/>
    <cellStyle name="Accent5 5 3" xfId="15270"/>
    <cellStyle name="Accent5 5 4" xfId="15271"/>
    <cellStyle name="Accent5 5 5" xfId="15272"/>
    <cellStyle name="Accent5 6" xfId="15273"/>
    <cellStyle name="Accent5 6 2" xfId="15274"/>
    <cellStyle name="Accent5 6 3" xfId="15275"/>
    <cellStyle name="Accent5 7" xfId="15276"/>
    <cellStyle name="Accent5 8" xfId="15277"/>
    <cellStyle name="Accent5 9" xfId="15278"/>
    <cellStyle name="Accent6" xfId="39" builtinId="49" customBuiltin="1"/>
    <cellStyle name="Accent6 10" xfId="15279"/>
    <cellStyle name="Accent6 11" xfId="15280"/>
    <cellStyle name="Accent6 12" xfId="15281"/>
    <cellStyle name="Accent6 13" xfId="15282"/>
    <cellStyle name="Accent6 14" xfId="15283"/>
    <cellStyle name="Accent6 15" xfId="15284"/>
    <cellStyle name="Accent6 16" xfId="15285"/>
    <cellStyle name="Accent6 17" xfId="15286"/>
    <cellStyle name="Accent6 18" xfId="15287"/>
    <cellStyle name="Accent6 19" xfId="15288"/>
    <cellStyle name="Accent6 2" xfId="15289"/>
    <cellStyle name="Accent6 2 2" xfId="15290"/>
    <cellStyle name="Accent6 2 2 2" xfId="15291"/>
    <cellStyle name="Accent6 2 3" xfId="15292"/>
    <cellStyle name="Accent6 2 3 2" xfId="15293"/>
    <cellStyle name="Accent6 2 4" xfId="15294"/>
    <cellStyle name="Accent6 2 4 2" xfId="15295"/>
    <cellStyle name="Accent6 2 4 3" xfId="15296"/>
    <cellStyle name="Accent6 2 5" xfId="15297"/>
    <cellStyle name="Accent6 2 6" xfId="15298"/>
    <cellStyle name="Accent6 2 7" xfId="15299"/>
    <cellStyle name="Accent6 2 8" xfId="15300"/>
    <cellStyle name="Accent6 3" xfId="15301"/>
    <cellStyle name="Accent6 3 2" xfId="15302"/>
    <cellStyle name="Accent6 3 2 2" xfId="15303"/>
    <cellStyle name="Accent6 3 2 3" xfId="15304"/>
    <cellStyle name="Accent6 3 3" xfId="15305"/>
    <cellStyle name="Accent6 3 4" xfId="15306"/>
    <cellStyle name="Accent6 3 5" xfId="15307"/>
    <cellStyle name="Accent6 4" xfId="15308"/>
    <cellStyle name="Accent6 4 2" xfId="15309"/>
    <cellStyle name="Accent6 4 2 2" xfId="15310"/>
    <cellStyle name="Accent6 4 2 3" xfId="15311"/>
    <cellStyle name="Accent6 4 3" xfId="15312"/>
    <cellStyle name="Accent6 4 4" xfId="15313"/>
    <cellStyle name="Accent6 4 5" xfId="15314"/>
    <cellStyle name="Accent6 5" xfId="15315"/>
    <cellStyle name="Accent6 5 2" xfId="15316"/>
    <cellStyle name="Accent6 5 2 2" xfId="15317"/>
    <cellStyle name="Accent6 5 2 3" xfId="15318"/>
    <cellStyle name="Accent6 5 3" xfId="15319"/>
    <cellStyle name="Accent6 5 4" xfId="15320"/>
    <cellStyle name="Accent6 5 5" xfId="15321"/>
    <cellStyle name="Accent6 6" xfId="15322"/>
    <cellStyle name="Accent6 6 2" xfId="15323"/>
    <cellStyle name="Accent6 6 3" xfId="15324"/>
    <cellStyle name="Accent6 7" xfId="15325"/>
    <cellStyle name="Accent6 8" xfId="15326"/>
    <cellStyle name="Accent6 9" xfId="15327"/>
    <cellStyle name="accounting" xfId="15328"/>
    <cellStyle name="accounting 2" xfId="15329"/>
    <cellStyle name="accounting 2 2" xfId="15330"/>
    <cellStyle name="accounting 2 3" xfId="15331"/>
    <cellStyle name="accounting 3" xfId="15332"/>
    <cellStyle name="accounting 3 2" xfId="15333"/>
    <cellStyle name="accounting 4" xfId="15334"/>
    <cellStyle name="accounting 4 2" xfId="15335"/>
    <cellStyle name="accounting 5" xfId="15336"/>
    <cellStyle name="accounting 5 2" xfId="15337"/>
    <cellStyle name="accounting 6" xfId="15338"/>
    <cellStyle name="Accounting w/$" xfId="15339"/>
    <cellStyle name="Accounting w/$ Total" xfId="15340"/>
    <cellStyle name="Accounting w/o $" xfId="15341"/>
    <cellStyle name="acct" xfId="15342"/>
    <cellStyle name="acct bold" xfId="15343"/>
    <cellStyle name="acct no" xfId="15344"/>
    <cellStyle name="acct_EPL LBO 5.16.05 - Mgmt IPO v6" xfId="15345"/>
    <cellStyle name="Acctg" xfId="15346"/>
    <cellStyle name="Açıklama Metni" xfId="15347"/>
    <cellStyle name="Across" xfId="15348"/>
    <cellStyle name="active" xfId="15349"/>
    <cellStyle name="active 2" xfId="15350"/>
    <cellStyle name="active 2 2" xfId="15351"/>
    <cellStyle name="active 3" xfId="15352"/>
    <cellStyle name="active 4" xfId="15353"/>
    <cellStyle name="active 5" xfId="15354"/>
    <cellStyle name="Actual" xfId="15355"/>
    <cellStyle name="Actual Date" xfId="15356"/>
    <cellStyle name="Actuals" xfId="15357"/>
    <cellStyle name="Actuals 10" xfId="15358"/>
    <cellStyle name="Actuals 10 2" xfId="15359"/>
    <cellStyle name="Actuals 11" xfId="15360"/>
    <cellStyle name="Actuals 11 2" xfId="15361"/>
    <cellStyle name="Actuals 12" xfId="15362"/>
    <cellStyle name="Actuals 12 2" xfId="15363"/>
    <cellStyle name="Actuals 13" xfId="15364"/>
    <cellStyle name="Actuals 13 2" xfId="15365"/>
    <cellStyle name="Actuals 14" xfId="15366"/>
    <cellStyle name="Actuals 14 2" xfId="15367"/>
    <cellStyle name="Actuals 15" xfId="15368"/>
    <cellStyle name="Actuals 15 2" xfId="15369"/>
    <cellStyle name="Actuals 16" xfId="15370"/>
    <cellStyle name="Actuals 16 2" xfId="15371"/>
    <cellStyle name="Actuals 17" xfId="15372"/>
    <cellStyle name="Actuals 17 2" xfId="15373"/>
    <cellStyle name="Actuals 18" xfId="15374"/>
    <cellStyle name="Actuals 18 2" xfId="15375"/>
    <cellStyle name="Actuals 19" xfId="15376"/>
    <cellStyle name="Actuals 19 2" xfId="15377"/>
    <cellStyle name="Actuals 2" xfId="15378"/>
    <cellStyle name="Actuals 2 2" xfId="15379"/>
    <cellStyle name="Actuals 2 2 2" xfId="15380"/>
    <cellStyle name="Actuals 2 2 3" xfId="15381"/>
    <cellStyle name="Actuals 2 3" xfId="15382"/>
    <cellStyle name="Actuals 2 4" xfId="15383"/>
    <cellStyle name="Actuals 2 5" xfId="15384"/>
    <cellStyle name="Actuals 20" xfId="15385"/>
    <cellStyle name="Actuals 20 2" xfId="15386"/>
    <cellStyle name="Actuals 21" xfId="15387"/>
    <cellStyle name="Actuals 21 2" xfId="15388"/>
    <cellStyle name="Actuals 22" xfId="15389"/>
    <cellStyle name="Actuals 22 2" xfId="15390"/>
    <cellStyle name="Actuals 23" xfId="15391"/>
    <cellStyle name="Actuals 23 2" xfId="15392"/>
    <cellStyle name="Actuals 24" xfId="15393"/>
    <cellStyle name="Actuals 24 2" xfId="15394"/>
    <cellStyle name="Actuals 25" xfId="15395"/>
    <cellStyle name="Actuals 25 2" xfId="15396"/>
    <cellStyle name="Actuals 26" xfId="15397"/>
    <cellStyle name="Actuals 26 2" xfId="15398"/>
    <cellStyle name="Actuals 27" xfId="15399"/>
    <cellStyle name="Actuals 27 2" xfId="15400"/>
    <cellStyle name="Actuals 28" xfId="15401"/>
    <cellStyle name="Actuals 28 2" xfId="15402"/>
    <cellStyle name="Actuals 29" xfId="15403"/>
    <cellStyle name="Actuals 29 2" xfId="15404"/>
    <cellStyle name="Actuals 3" xfId="15405"/>
    <cellStyle name="Actuals 3 2" xfId="15406"/>
    <cellStyle name="Actuals 30" xfId="15407"/>
    <cellStyle name="Actuals 30 2" xfId="15408"/>
    <cellStyle name="Actuals 30 3" xfId="15409"/>
    <cellStyle name="Actuals 31" xfId="15410"/>
    <cellStyle name="Actuals 32" xfId="15411"/>
    <cellStyle name="Actuals 33" xfId="15412"/>
    <cellStyle name="Actuals 4" xfId="15413"/>
    <cellStyle name="Actuals 4 2" xfId="15414"/>
    <cellStyle name="Actuals 5" xfId="15415"/>
    <cellStyle name="Actuals 5 2" xfId="15416"/>
    <cellStyle name="Actuals 6" xfId="15417"/>
    <cellStyle name="Actuals 6 2" xfId="15418"/>
    <cellStyle name="Actuals 7" xfId="15419"/>
    <cellStyle name="Actuals 7 2" xfId="15420"/>
    <cellStyle name="Actuals 8" xfId="15421"/>
    <cellStyle name="Actuals 8 2" xfId="15422"/>
    <cellStyle name="Actuals 9" xfId="15423"/>
    <cellStyle name="Actuals 9 2" xfId="15424"/>
    <cellStyle name="adj_share" xfId="15425"/>
    <cellStyle name="Adjustable" xfId="15426"/>
    <cellStyle name="Adjusted" xfId="15427"/>
    <cellStyle name="Adjusted 2" xfId="15428"/>
    <cellStyle name="Adjusted 2 2" xfId="15429"/>
    <cellStyle name="Adjusted 2 3" xfId="15430"/>
    <cellStyle name="Adjusted 3" xfId="15431"/>
    <cellStyle name="Adjusted 3 2" xfId="15432"/>
    <cellStyle name="Adjusted 4" xfId="15433"/>
    <cellStyle name="Adjusted 4 2" xfId="15434"/>
    <cellStyle name="Adjusted 5" xfId="15435"/>
    <cellStyle name="Adjusted 5 2" xfId="15436"/>
    <cellStyle name="Adjusted 6" xfId="15437"/>
    <cellStyle name="AFE" xfId="15438"/>
    <cellStyle name="AFE 2" xfId="15439"/>
    <cellStyle name="AFE 2 2" xfId="15440"/>
    <cellStyle name="AFE 3" xfId="15441"/>
    <cellStyle name="AFE 4" xfId="15442"/>
    <cellStyle name="Afjusted" xfId="15443"/>
    <cellStyle name="Afjusted 2" xfId="15444"/>
    <cellStyle name="Afjusted 2 2" xfId="15445"/>
    <cellStyle name="Afjusted 3" xfId="15446"/>
    <cellStyle name="Afjusted 4" xfId="15447"/>
    <cellStyle name="Afjusted 5" xfId="15448"/>
    <cellStyle name="ai_תנאי הצמדה " xfId="15449"/>
    <cellStyle name="AIRCO" xfId="15450"/>
    <cellStyle name="AIRCO 2" xfId="15451"/>
    <cellStyle name="AIRCO 2 2" xfId="15452"/>
    <cellStyle name="AIRCO 2 3" xfId="15453"/>
    <cellStyle name="AIRCO 3" xfId="15454"/>
    <cellStyle name="AIRCO 4" xfId="15455"/>
    <cellStyle name="amount" xfId="15456"/>
    <cellStyle name="amount 2" xfId="15457"/>
    <cellStyle name="amount 2 2" xfId="15458"/>
    <cellStyle name="amount 2 2 2" xfId="15459"/>
    <cellStyle name="amount 2 2 2 2" xfId="15460"/>
    <cellStyle name="amount 2 2 2 3" xfId="15461"/>
    <cellStyle name="amount 2 2 3" xfId="15462"/>
    <cellStyle name="amount 2 2 4" xfId="15463"/>
    <cellStyle name="amount 2 3" xfId="15464"/>
    <cellStyle name="amount 2 3 2" xfId="15465"/>
    <cellStyle name="amount 2 3 2 2" xfId="15466"/>
    <cellStyle name="amount 2 3 2 3" xfId="15467"/>
    <cellStyle name="amount 2 3 3" xfId="15468"/>
    <cellStyle name="amount 2 3 4" xfId="15469"/>
    <cellStyle name="amount 2 4" xfId="15470"/>
    <cellStyle name="amount 2 4 2" xfId="15471"/>
    <cellStyle name="amount 2 4 2 2" xfId="15472"/>
    <cellStyle name="amount 2 4 2 3" xfId="15473"/>
    <cellStyle name="amount 2 4 3" xfId="15474"/>
    <cellStyle name="amount 2 4 4" xfId="15475"/>
    <cellStyle name="amount 2 5" xfId="15476"/>
    <cellStyle name="amount 2 5 2" xfId="15477"/>
    <cellStyle name="amount 2 5 2 2" xfId="15478"/>
    <cellStyle name="amount 2 5 2 3" xfId="15479"/>
    <cellStyle name="amount 2 5 3" xfId="15480"/>
    <cellStyle name="amount 2 5 4" xfId="15481"/>
    <cellStyle name="amount 3" xfId="15482"/>
    <cellStyle name="amount 3 2" xfId="15483"/>
    <cellStyle name="amount 3 2 2" xfId="15484"/>
    <cellStyle name="amount 3 2 2 2" xfId="15485"/>
    <cellStyle name="amount 3 2 2 3" xfId="15486"/>
    <cellStyle name="amount 3 2 3" xfId="15487"/>
    <cellStyle name="amount 3 2 4" xfId="15488"/>
    <cellStyle name="amount 3 3" xfId="15489"/>
    <cellStyle name="amount 3 3 2" xfId="15490"/>
    <cellStyle name="amount 3 3 2 2" xfId="15491"/>
    <cellStyle name="amount 3 3 2 3" xfId="15492"/>
    <cellStyle name="amount 3 3 3" xfId="15493"/>
    <cellStyle name="amount 3 3 4" xfId="15494"/>
    <cellStyle name="amount 3 4" xfId="15495"/>
    <cellStyle name="amount 3 4 2" xfId="15496"/>
    <cellStyle name="amount 3 4 2 2" xfId="15497"/>
    <cellStyle name="amount 3 4 2 3" xfId="15498"/>
    <cellStyle name="amount 3 4 3" xfId="15499"/>
    <cellStyle name="amount 3 4 4" xfId="15500"/>
    <cellStyle name="amount 3 5" xfId="15501"/>
    <cellStyle name="amount 3 5 2" xfId="15502"/>
    <cellStyle name="amount 3 5 2 2" xfId="15503"/>
    <cellStyle name="amount 3 5 2 3" xfId="15504"/>
    <cellStyle name="amount 3 5 3" xfId="15505"/>
    <cellStyle name="amount 3 5 4" xfId="15506"/>
    <cellStyle name="amount 3 6" xfId="15507"/>
    <cellStyle name="amount 3 7" xfId="15508"/>
    <cellStyle name="amount 4" xfId="15509"/>
    <cellStyle name="amount 4 2" xfId="15510"/>
    <cellStyle name="amount 4 2 2" xfId="15511"/>
    <cellStyle name="amount 4 2 3" xfId="15512"/>
    <cellStyle name="amount 4 3" xfId="15513"/>
    <cellStyle name="amount 4 4" xfId="15514"/>
    <cellStyle name="amount 5" xfId="15515"/>
    <cellStyle name="amount 5 2" xfId="15516"/>
    <cellStyle name="amount 5 2 2" xfId="15517"/>
    <cellStyle name="amount 5 2 3" xfId="15518"/>
    <cellStyle name="amount 5 3" xfId="15519"/>
    <cellStyle name="amount 5 4" xfId="15520"/>
    <cellStyle name="amount 6" xfId="15521"/>
    <cellStyle name="amount 6 2" xfId="15522"/>
    <cellStyle name="amount 6 2 2" xfId="15523"/>
    <cellStyle name="amount 6 2 3" xfId="15524"/>
    <cellStyle name="amount 6 3" xfId="15525"/>
    <cellStyle name="amount 6 4" xfId="15526"/>
    <cellStyle name="amount 7" xfId="15527"/>
    <cellStyle name="amount 7 2" xfId="15528"/>
    <cellStyle name="amount 7 2 2" xfId="15529"/>
    <cellStyle name="amount 7 2 3" xfId="15530"/>
    <cellStyle name="amount 7 3" xfId="15531"/>
    <cellStyle name="amount 7 4" xfId="15532"/>
    <cellStyle name="Ana Başlık" xfId="15533"/>
    <cellStyle name="Andre's Title" xfId="15534"/>
    <cellStyle name="Ann'l_Incr" xfId="15535"/>
    <cellStyle name="args.style" xfId="15536"/>
    <cellStyle name="args.style 10" xfId="15537"/>
    <cellStyle name="args.style 10 2" xfId="15538"/>
    <cellStyle name="args.style 11" xfId="15539"/>
    <cellStyle name="args.style 11 2" xfId="15540"/>
    <cellStyle name="args.style 12" xfId="15541"/>
    <cellStyle name="args.style 12 2" xfId="15542"/>
    <cellStyle name="args.style 13" xfId="15543"/>
    <cellStyle name="args.style 13 2" xfId="15544"/>
    <cellStyle name="args.style 14" xfId="15545"/>
    <cellStyle name="args.style 15" xfId="15546"/>
    <cellStyle name="args.style 16" xfId="15547"/>
    <cellStyle name="args.style 17" xfId="15548"/>
    <cellStyle name="args.style 18" xfId="15549"/>
    <cellStyle name="args.style 2" xfId="15550"/>
    <cellStyle name="args.style 2 10" xfId="15551"/>
    <cellStyle name="args.style 2 2" xfId="15552"/>
    <cellStyle name="args.style 2 2 2" xfId="15553"/>
    <cellStyle name="args.style 2 2 2 2" xfId="15554"/>
    <cellStyle name="args.style 2 2 2 2 2" xfId="15555"/>
    <cellStyle name="args.style 2 2 2 2 3" xfId="15556"/>
    <cellStyle name="args.style 2 2 2 2 4" xfId="15557"/>
    <cellStyle name="args.style 2 2 2 2 5" xfId="15558"/>
    <cellStyle name="args.style 2 2 2 2 6" xfId="15559"/>
    <cellStyle name="args.style 2 2 2 2 7" xfId="15560"/>
    <cellStyle name="args.style 2 2 2 2 8" xfId="15561"/>
    <cellStyle name="args.style 2 2 2 3" xfId="15562"/>
    <cellStyle name="args.style 2 2 2 4" xfId="15563"/>
    <cellStyle name="args.style 2 2 2 5" xfId="15564"/>
    <cellStyle name="args.style 2 2 2 6" xfId="15565"/>
    <cellStyle name="args.style 2 2 2 7" xfId="15566"/>
    <cellStyle name="args.style 2 2 2 8" xfId="15567"/>
    <cellStyle name="args.style 2 2 3" xfId="15568"/>
    <cellStyle name="args.style 2 2 4" xfId="15569"/>
    <cellStyle name="args.style 2 2 5" xfId="15570"/>
    <cellStyle name="args.style 2 2 6" xfId="15571"/>
    <cellStyle name="args.style 2 2 7" xfId="15572"/>
    <cellStyle name="args.style 2 2 8" xfId="15573"/>
    <cellStyle name="args.style 2 3" xfId="15574"/>
    <cellStyle name="args.style 2 3 2" xfId="15575"/>
    <cellStyle name="args.style 2 3 3" xfId="15576"/>
    <cellStyle name="args.style 2 3 4" xfId="15577"/>
    <cellStyle name="args.style 2 3 5" xfId="15578"/>
    <cellStyle name="args.style 2 3 6" xfId="15579"/>
    <cellStyle name="args.style 2 3 7" xfId="15580"/>
    <cellStyle name="args.style 2 3 8" xfId="15581"/>
    <cellStyle name="args.style 2 4" xfId="15582"/>
    <cellStyle name="args.style 2 5" xfId="15583"/>
    <cellStyle name="args.style 2 6" xfId="15584"/>
    <cellStyle name="args.style 2 7" xfId="15585"/>
    <cellStyle name="args.style 2 8" xfId="15586"/>
    <cellStyle name="args.style 2 9" xfId="15587"/>
    <cellStyle name="args.style 3" xfId="15588"/>
    <cellStyle name="args.style 3 10" xfId="15589"/>
    <cellStyle name="args.style 3 2" xfId="15590"/>
    <cellStyle name="args.style 3 2 2" xfId="15591"/>
    <cellStyle name="args.style 3 2 2 2" xfId="15592"/>
    <cellStyle name="args.style 3 2 2 2 2" xfId="15593"/>
    <cellStyle name="args.style 3 2 2 2 3" xfId="15594"/>
    <cellStyle name="args.style 3 2 2 2 4" xfId="15595"/>
    <cellStyle name="args.style 3 2 2 2 5" xfId="15596"/>
    <cellStyle name="args.style 3 2 2 2 6" xfId="15597"/>
    <cellStyle name="args.style 3 2 2 2 7" xfId="15598"/>
    <cellStyle name="args.style 3 2 2 2 8" xfId="15599"/>
    <cellStyle name="args.style 3 2 2 3" xfId="15600"/>
    <cellStyle name="args.style 3 2 2 4" xfId="15601"/>
    <cellStyle name="args.style 3 2 2 5" xfId="15602"/>
    <cellStyle name="args.style 3 2 2 6" xfId="15603"/>
    <cellStyle name="args.style 3 2 2 7" xfId="15604"/>
    <cellStyle name="args.style 3 2 2 8" xfId="15605"/>
    <cellStyle name="args.style 3 2 3" xfId="15606"/>
    <cellStyle name="args.style 3 2 4" xfId="15607"/>
    <cellStyle name="args.style 3 2 5" xfId="15608"/>
    <cellStyle name="args.style 3 2 6" xfId="15609"/>
    <cellStyle name="args.style 3 2 7" xfId="15610"/>
    <cellStyle name="args.style 3 2 8" xfId="15611"/>
    <cellStyle name="args.style 3 3" xfId="15612"/>
    <cellStyle name="args.style 3 3 2" xfId="15613"/>
    <cellStyle name="args.style 3 3 3" xfId="15614"/>
    <cellStyle name="args.style 3 3 4" xfId="15615"/>
    <cellStyle name="args.style 3 3 5" xfId="15616"/>
    <cellStyle name="args.style 3 3 6" xfId="15617"/>
    <cellStyle name="args.style 3 3 7" xfId="15618"/>
    <cellStyle name="args.style 3 3 8" xfId="15619"/>
    <cellStyle name="args.style 3 4" xfId="15620"/>
    <cellStyle name="args.style 3 5" xfId="15621"/>
    <cellStyle name="args.style 3 6" xfId="15622"/>
    <cellStyle name="args.style 3 7" xfId="15623"/>
    <cellStyle name="args.style 3 8" xfId="15624"/>
    <cellStyle name="args.style 3 9" xfId="15625"/>
    <cellStyle name="args.style 4" xfId="15626"/>
    <cellStyle name="args.style 4 2" xfId="15627"/>
    <cellStyle name="args.style 4 2 2" xfId="15628"/>
    <cellStyle name="args.style 4 2 2 2" xfId="15629"/>
    <cellStyle name="args.style 4 3" xfId="15630"/>
    <cellStyle name="args.style 4 4" xfId="15631"/>
    <cellStyle name="args.style 5" xfId="15632"/>
    <cellStyle name="args.style 5 2" xfId="15633"/>
    <cellStyle name="args.style 5 2 2" xfId="15634"/>
    <cellStyle name="args.style 5 2 3" xfId="15635"/>
    <cellStyle name="args.style 5 3" xfId="15636"/>
    <cellStyle name="args.style 5 4" xfId="15637"/>
    <cellStyle name="args.style 5 5" xfId="15638"/>
    <cellStyle name="args.style 6" xfId="15639"/>
    <cellStyle name="args.style 6 2" xfId="15640"/>
    <cellStyle name="args.style 6 3" xfId="15641"/>
    <cellStyle name="args.style 6 4" xfId="15642"/>
    <cellStyle name="args.style 7" xfId="15643"/>
    <cellStyle name="args.style 7 2" xfId="15644"/>
    <cellStyle name="args.style 8" xfId="15645"/>
    <cellStyle name="args.style 8 2" xfId="15646"/>
    <cellStyle name="args.style 9" xfId="15647"/>
    <cellStyle name="args.style 9 2" xfId="15648"/>
    <cellStyle name="Arial 10" xfId="15649"/>
    <cellStyle name="Arial 10 10" xfId="15650"/>
    <cellStyle name="Arial 10 10 2" xfId="15651"/>
    <cellStyle name="Arial 10 10 3" xfId="15652"/>
    <cellStyle name="Arial 10 11" xfId="15653"/>
    <cellStyle name="Arial 10 11 2" xfId="15654"/>
    <cellStyle name="Arial 10 11 2 2" xfId="15655"/>
    <cellStyle name="Arial 10 11 2 3" xfId="15656"/>
    <cellStyle name="Arial 10 11 3" xfId="15657"/>
    <cellStyle name="Arial 10 12" xfId="15658"/>
    <cellStyle name="Arial 10 13" xfId="15659"/>
    <cellStyle name="Arial 10 14" xfId="15660"/>
    <cellStyle name="Arial 10 15" xfId="15661"/>
    <cellStyle name="Arial 10 16" xfId="15662"/>
    <cellStyle name="Arial 10 17" xfId="15663"/>
    <cellStyle name="Arial 10 2" xfId="15664"/>
    <cellStyle name="Arial 10 2 10" xfId="15665"/>
    <cellStyle name="Arial 10 2 11" xfId="15666"/>
    <cellStyle name="Arial 10 2 12" xfId="15667"/>
    <cellStyle name="Arial 10 2 2" xfId="15668"/>
    <cellStyle name="Arial 10 2 2 2" xfId="15669"/>
    <cellStyle name="Arial 10 2 2 2 2" xfId="15670"/>
    <cellStyle name="Arial 10 2 2 2 2 2" xfId="15671"/>
    <cellStyle name="Arial 10 2 2 2 2 2 2" xfId="15672"/>
    <cellStyle name="Arial 10 2 2 2 2 2 3" xfId="15673"/>
    <cellStyle name="Arial 10 2 2 2 2 2 4" xfId="15674"/>
    <cellStyle name="Arial 10 2 2 2 2 2 5" xfId="15675"/>
    <cellStyle name="Arial 10 2 2 2 2 2 6" xfId="15676"/>
    <cellStyle name="Arial 10 2 2 2 2 2 7" xfId="15677"/>
    <cellStyle name="Arial 10 2 2 2 2 2 8" xfId="15678"/>
    <cellStyle name="Arial 10 2 2 2 2 3" xfId="15679"/>
    <cellStyle name="Arial 10 2 2 2 2 4" xfId="15680"/>
    <cellStyle name="Arial 10 2 2 2 2 5" xfId="15681"/>
    <cellStyle name="Arial 10 2 2 2 2 6" xfId="15682"/>
    <cellStyle name="Arial 10 2 2 2 2 7" xfId="15683"/>
    <cellStyle name="Arial 10 2 2 2 2 8" xfId="15684"/>
    <cellStyle name="Arial 10 2 2 2 2 9" xfId="15685"/>
    <cellStyle name="Arial 10 2 2 2 3" xfId="15686"/>
    <cellStyle name="Arial 10 2 2 2 4" xfId="15687"/>
    <cellStyle name="Arial 10 2 2 2 5" xfId="15688"/>
    <cellStyle name="Arial 10 2 2 2 6" xfId="15689"/>
    <cellStyle name="Arial 10 2 2 2 7" xfId="15690"/>
    <cellStyle name="Arial 10 2 2 2 8" xfId="15691"/>
    <cellStyle name="Arial 10 2 2 2 9" xfId="15692"/>
    <cellStyle name="Arial 10 2 2 3" xfId="15693"/>
    <cellStyle name="Arial 10 2 2 4" xfId="15694"/>
    <cellStyle name="Arial 10 2 2 5" xfId="15695"/>
    <cellStyle name="Arial 10 2 2 6" xfId="15696"/>
    <cellStyle name="Arial 10 2 2 7" xfId="15697"/>
    <cellStyle name="Arial 10 2 2 8" xfId="15698"/>
    <cellStyle name="Arial 10 2 2 9" xfId="15699"/>
    <cellStyle name="Arial 10 2 3" xfId="15700"/>
    <cellStyle name="Arial 10 2 4" xfId="15701"/>
    <cellStyle name="Arial 10 2 5" xfId="15702"/>
    <cellStyle name="Arial 10 2 6" xfId="15703"/>
    <cellStyle name="Arial 10 2 7" xfId="15704"/>
    <cellStyle name="Arial 10 2 8" xfId="15705"/>
    <cellStyle name="Arial 10 2 9" xfId="15706"/>
    <cellStyle name="Arial 10 3" xfId="15707"/>
    <cellStyle name="Arial 10 3 2" xfId="15708"/>
    <cellStyle name="Arial 10 3 3" xfId="15709"/>
    <cellStyle name="Arial 10 3 4" xfId="15710"/>
    <cellStyle name="Arial 10 3 5" xfId="15711"/>
    <cellStyle name="Arial 10 3 6" xfId="15712"/>
    <cellStyle name="Arial 10 3 7" xfId="15713"/>
    <cellStyle name="Arial 10 3 8" xfId="15714"/>
    <cellStyle name="Arial 10 3 9" xfId="15715"/>
    <cellStyle name="Arial 10 4" xfId="15716"/>
    <cellStyle name="Arial 10 4 2" xfId="15717"/>
    <cellStyle name="Arial 10 4 3" xfId="15718"/>
    <cellStyle name="Arial 10 4 4" xfId="15719"/>
    <cellStyle name="Arial 10 4 5" xfId="15720"/>
    <cellStyle name="Arial 10 4 6" xfId="15721"/>
    <cellStyle name="Arial 10 4 7" xfId="15722"/>
    <cellStyle name="Arial 10 4 8" xfId="15723"/>
    <cellStyle name="Arial 10 4 9" xfId="15724"/>
    <cellStyle name="Arial 10 5" xfId="15725"/>
    <cellStyle name="Arial 10 5 2" xfId="15726"/>
    <cellStyle name="Arial 10 5 3" xfId="15727"/>
    <cellStyle name="Arial 10 5 4" xfId="15728"/>
    <cellStyle name="Arial 10 5 5" xfId="15729"/>
    <cellStyle name="Arial 10 5 6" xfId="15730"/>
    <cellStyle name="Arial 10 5 7" xfId="15731"/>
    <cellStyle name="Arial 10 5 8" xfId="15732"/>
    <cellStyle name="Arial 10 5 9" xfId="15733"/>
    <cellStyle name="Arial 10 6" xfId="15734"/>
    <cellStyle name="Arial 10 6 2" xfId="15735"/>
    <cellStyle name="Arial 10 6 3" xfId="15736"/>
    <cellStyle name="Arial 10 6 4" xfId="15737"/>
    <cellStyle name="Arial 10 6 5" xfId="15738"/>
    <cellStyle name="Arial 10 6 6" xfId="15739"/>
    <cellStyle name="Arial 10 6 7" xfId="15740"/>
    <cellStyle name="Arial 10 6 8" xfId="15741"/>
    <cellStyle name="Arial 10 6 9" xfId="15742"/>
    <cellStyle name="Arial 10 7" xfId="15743"/>
    <cellStyle name="Arial 10 7 2" xfId="15744"/>
    <cellStyle name="Arial 10 7 3" xfId="15745"/>
    <cellStyle name="Arial 10 7 4" xfId="15746"/>
    <cellStyle name="Arial 10 7 5" xfId="15747"/>
    <cellStyle name="Arial 10 7 6" xfId="15748"/>
    <cellStyle name="Arial 10 7 7" xfId="15749"/>
    <cellStyle name="Arial 10 7 8" xfId="15750"/>
    <cellStyle name="Arial 10 7 9" xfId="15751"/>
    <cellStyle name="Arial 10 8" xfId="15752"/>
    <cellStyle name="Arial 10 8 2" xfId="15753"/>
    <cellStyle name="Arial 10 8 3" xfId="15754"/>
    <cellStyle name="Arial 10 8 4" xfId="15755"/>
    <cellStyle name="Arial 10 8 5" xfId="15756"/>
    <cellStyle name="Arial 10 8 6" xfId="15757"/>
    <cellStyle name="Arial 10 8 7" xfId="15758"/>
    <cellStyle name="Arial 10 8 8" xfId="15759"/>
    <cellStyle name="Arial 10 8 9" xfId="15760"/>
    <cellStyle name="Arial 10 9" xfId="15761"/>
    <cellStyle name="Arial 10 9 2" xfId="15762"/>
    <cellStyle name="Arial 10 9 3" xfId="15763"/>
    <cellStyle name="Arial 10 9 4" xfId="15764"/>
    <cellStyle name="Arial 10 9 5" xfId="15765"/>
    <cellStyle name="Arial 10 9 6" xfId="15766"/>
    <cellStyle name="Arial 10 9 7" xfId="15767"/>
    <cellStyle name="Arial 10 9 8" xfId="15768"/>
    <cellStyle name="Arial 10 9 9" xfId="15769"/>
    <cellStyle name="Arial 12" xfId="15770"/>
    <cellStyle name="Arial 12 2" xfId="15771"/>
    <cellStyle name="Arial 12 2 2" xfId="15772"/>
    <cellStyle name="Arial 12 2 2 2" xfId="15773"/>
    <cellStyle name="Arial 12 3" xfId="15774"/>
    <cellStyle name="Arial 12 4" xfId="15775"/>
    <cellStyle name="Arial 12 5" xfId="15776"/>
    <cellStyle name="ARIAL 14" xfId="15777"/>
    <cellStyle name="ARIAL 14 2" xfId="15778"/>
    <cellStyle name="Arial6Bold" xfId="15779"/>
    <cellStyle name="Arial6Bold 2" xfId="15780"/>
    <cellStyle name="Arial6Bold 2 2" xfId="15781"/>
    <cellStyle name="Arial6Bold 2 2 2" xfId="15782"/>
    <cellStyle name="Arial6Bold 2 2 2 2" xfId="15783"/>
    <cellStyle name="Arial6Bold 2 2 3" xfId="15784"/>
    <cellStyle name="Arial6Bold 2 3" xfId="15785"/>
    <cellStyle name="Arial6Bold 2 3 2" xfId="15786"/>
    <cellStyle name="Arial6Bold 2 3 2 2" xfId="15787"/>
    <cellStyle name="Arial6Bold 2 3 3" xfId="15788"/>
    <cellStyle name="Arial6Bold 2 4" xfId="15789"/>
    <cellStyle name="Arial6Bold 2 4 2" xfId="15790"/>
    <cellStyle name="Arial6Bold 2 5" xfId="15791"/>
    <cellStyle name="Arial6Bold 3" xfId="15792"/>
    <cellStyle name="Arial6Bold 3 2" xfId="15793"/>
    <cellStyle name="Arial6Bold 3 2 2" xfId="15794"/>
    <cellStyle name="Arial6Bold 3 3" xfId="15795"/>
    <cellStyle name="Arial6Bold 4" xfId="15796"/>
    <cellStyle name="Arial6Bold 4 2" xfId="15797"/>
    <cellStyle name="Arial6Bold 4 2 2" xfId="15798"/>
    <cellStyle name="Arial6Bold 4 3" xfId="15799"/>
    <cellStyle name="Arial6Bold 5" xfId="15800"/>
    <cellStyle name="Arial6Bold 5 2" xfId="15801"/>
    <cellStyle name="Arial6Bold 6" xfId="15802"/>
    <cellStyle name="Arial8Bold" xfId="15803"/>
    <cellStyle name="Arial8Bold 2" xfId="15804"/>
    <cellStyle name="Arial8Bold 2 2" xfId="15805"/>
    <cellStyle name="Arial8Bold 2 2 2" xfId="15806"/>
    <cellStyle name="Arial8Bold 2 2 2 2" xfId="15807"/>
    <cellStyle name="Arial8Bold 2 2 3" xfId="15808"/>
    <cellStyle name="Arial8Bold 2 3" xfId="15809"/>
    <cellStyle name="Arial8Bold 2 3 2" xfId="15810"/>
    <cellStyle name="Arial8Bold 2 3 2 2" xfId="15811"/>
    <cellStyle name="Arial8Bold 2 3 3" xfId="15812"/>
    <cellStyle name="Arial8Bold 2 4" xfId="15813"/>
    <cellStyle name="Arial8Bold 2 4 2" xfId="15814"/>
    <cellStyle name="Arial8Bold 2 5" xfId="15815"/>
    <cellStyle name="Arial8Bold 3" xfId="15816"/>
    <cellStyle name="Arial8Bold 3 2" xfId="15817"/>
    <cellStyle name="Arial8Bold 3 2 2" xfId="15818"/>
    <cellStyle name="Arial8Bold 3 3" xfId="15819"/>
    <cellStyle name="Arial8Bold 4" xfId="15820"/>
    <cellStyle name="Arial8Bold 4 2" xfId="15821"/>
    <cellStyle name="Arial8Bold 4 2 2" xfId="15822"/>
    <cellStyle name="Arial8Bold 4 3" xfId="15823"/>
    <cellStyle name="Arial8Bold 5" xfId="15824"/>
    <cellStyle name="Arial8Bold 5 2" xfId="15825"/>
    <cellStyle name="Arial8Bold 6" xfId="15826"/>
    <cellStyle name="Arial8Italic" xfId="15827"/>
    <cellStyle name="Arial8Italic 2" xfId="15828"/>
    <cellStyle name="Arial8Italic 2 2" xfId="15829"/>
    <cellStyle name="Arial8Italic 2 2 2" xfId="15830"/>
    <cellStyle name="Arial8Italic 2 2 2 2" xfId="15831"/>
    <cellStyle name="Arial8Italic 2 2 3" xfId="15832"/>
    <cellStyle name="Arial8Italic 2 3" xfId="15833"/>
    <cellStyle name="Arial8Italic 2 3 2" xfId="15834"/>
    <cellStyle name="Arial8Italic 2 3 2 2" xfId="15835"/>
    <cellStyle name="Arial8Italic 2 3 3" xfId="15836"/>
    <cellStyle name="Arial8Italic 2 4" xfId="15837"/>
    <cellStyle name="Arial8Italic 2 4 2" xfId="15838"/>
    <cellStyle name="Arial8Italic 2 5" xfId="15839"/>
    <cellStyle name="Arial8Italic 3" xfId="15840"/>
    <cellStyle name="Arial8Italic 3 2" xfId="15841"/>
    <cellStyle name="Arial8Italic 3 2 2" xfId="15842"/>
    <cellStyle name="Arial8Italic 3 3" xfId="15843"/>
    <cellStyle name="Arial8Italic 4" xfId="15844"/>
    <cellStyle name="Arial8Italic 4 2" xfId="15845"/>
    <cellStyle name="Arial8Italic 4 2 2" xfId="15846"/>
    <cellStyle name="Arial8Italic 4 3" xfId="15847"/>
    <cellStyle name="Arial8Italic 5" xfId="15848"/>
    <cellStyle name="Arial8Italic 5 2" xfId="15849"/>
    <cellStyle name="Arial8Italic 6" xfId="15850"/>
    <cellStyle name="ArialNormal" xfId="15851"/>
    <cellStyle name="ArialNormal 2" xfId="15852"/>
    <cellStyle name="ArialNormal 2 2" xfId="15853"/>
    <cellStyle name="ArialNormal 2 2 2" xfId="15854"/>
    <cellStyle name="ArialNormal 2 2 2 2" xfId="15855"/>
    <cellStyle name="ArialNormal 2 2 3" xfId="15856"/>
    <cellStyle name="ArialNormal 2 3" xfId="15857"/>
    <cellStyle name="ArialNormal 2 3 2" xfId="15858"/>
    <cellStyle name="ArialNormal 2 3 2 2" xfId="15859"/>
    <cellStyle name="ArialNormal 2 3 3" xfId="15860"/>
    <cellStyle name="ArialNormal 3" xfId="15861"/>
    <cellStyle name="ArialNormal 3 2" xfId="15862"/>
    <cellStyle name="ArialNormal 3 2 2" xfId="15863"/>
    <cellStyle name="ArialNormal 3 3" xfId="15864"/>
    <cellStyle name="ArialNormal 4" xfId="15865"/>
    <cellStyle name="ArialNormal 4 2" xfId="15866"/>
    <cellStyle name="ArialNormal 4 2 2" xfId="15867"/>
    <cellStyle name="ArialNormal 4 3" xfId="15868"/>
    <cellStyle name="Ariel 7 pt. plain" xfId="15869"/>
    <cellStyle name="Array" xfId="15870"/>
    <cellStyle name="Array Enter" xfId="15871"/>
    <cellStyle name="Assumption" xfId="15872"/>
    <cellStyle name="ÄÞ¸¶ [0]_±âÅ¸" xfId="15873"/>
    <cellStyle name="ÄÞ¸¶_±âÅ¸" xfId="15874"/>
    <cellStyle name="AuditErrRangeFormula" xfId="15875"/>
    <cellStyle name="AuditErrRangeText" xfId="15876"/>
    <cellStyle name="AutoFormat" xfId="15877"/>
    <cellStyle name="avihai" xfId="15878"/>
    <cellStyle name="avihai 2" xfId="15879"/>
    <cellStyle name="b" xfId="15880"/>
    <cellStyle name="b - Line" xfId="15881"/>
    <cellStyle name="b - Line - Dotted" xfId="15882"/>
    <cellStyle name="b 2" xfId="15883"/>
    <cellStyle name="b_Master Utilities Comps 060210 with IBES links" xfId="15884"/>
    <cellStyle name="Bad" xfId="8" builtinId="27" customBuiltin="1"/>
    <cellStyle name="Bad 10" xfId="15885"/>
    <cellStyle name="Bad 11" xfId="15886"/>
    <cellStyle name="Bad 12" xfId="15887"/>
    <cellStyle name="Bad 13" xfId="15888"/>
    <cellStyle name="Bad 14" xfId="15889"/>
    <cellStyle name="Bad 15" xfId="15890"/>
    <cellStyle name="Bad 16" xfId="15891"/>
    <cellStyle name="Bad 17" xfId="15892"/>
    <cellStyle name="Bad 18" xfId="15893"/>
    <cellStyle name="Bad 19" xfId="15894"/>
    <cellStyle name="Bad 2" xfId="56"/>
    <cellStyle name="Bad 2 2" xfId="15895"/>
    <cellStyle name="Bad 2 2 2" xfId="15896"/>
    <cellStyle name="Bad 2 3" xfId="15897"/>
    <cellStyle name="Bad 2 3 2" xfId="15898"/>
    <cellStyle name="Bad 2 4" xfId="15899"/>
    <cellStyle name="Bad 2 4 2" xfId="15900"/>
    <cellStyle name="Bad 2 4 3" xfId="15901"/>
    <cellStyle name="Bad 2 5" xfId="15902"/>
    <cellStyle name="Bad 2 6" xfId="15903"/>
    <cellStyle name="Bad 2 7" xfId="15904"/>
    <cellStyle name="Bad 2 8" xfId="15905"/>
    <cellStyle name="Bad 3" xfId="15906"/>
    <cellStyle name="Bad 3 2" xfId="15907"/>
    <cellStyle name="Bad 3 2 2" xfId="15908"/>
    <cellStyle name="Bad 3 2 3" xfId="15909"/>
    <cellStyle name="Bad 3 3" xfId="15910"/>
    <cellStyle name="Bad 3 4" xfId="15911"/>
    <cellStyle name="Bad 3 5" xfId="15912"/>
    <cellStyle name="Bad 4" xfId="15913"/>
    <cellStyle name="Bad 4 2" xfId="15914"/>
    <cellStyle name="Bad 4 2 2" xfId="15915"/>
    <cellStyle name="Bad 4 2 3" xfId="15916"/>
    <cellStyle name="Bad 4 3" xfId="15917"/>
    <cellStyle name="Bad 4 4" xfId="15918"/>
    <cellStyle name="Bad 4 5" xfId="15919"/>
    <cellStyle name="Bad 5" xfId="15920"/>
    <cellStyle name="Bad 5 2" xfId="15921"/>
    <cellStyle name="Bad 5 2 2" xfId="15922"/>
    <cellStyle name="Bad 5 2 3" xfId="15923"/>
    <cellStyle name="Bad 5 3" xfId="15924"/>
    <cellStyle name="Bad 5 4" xfId="15925"/>
    <cellStyle name="Bad 5 5" xfId="15926"/>
    <cellStyle name="Bad 6" xfId="15927"/>
    <cellStyle name="Bad 6 2" xfId="15928"/>
    <cellStyle name="Bad 6 3" xfId="15929"/>
    <cellStyle name="Bad 7" xfId="15930"/>
    <cellStyle name="Bad 8" xfId="15931"/>
    <cellStyle name="Bad 9" xfId="15932"/>
    <cellStyle name="Bağlı Hücre" xfId="15933"/>
    <cellStyle name="BalanceSheet" xfId="15934"/>
    <cellStyle name="bar" xfId="15935"/>
    <cellStyle name="Bar Title" xfId="15936"/>
    <cellStyle name="Bar1" xfId="15937"/>
    <cellStyle name="BAS Comma [0]" xfId="15938"/>
    <cellStyle name="BAS Date mm/dd/yy" xfId="15939"/>
    <cellStyle name="-Bas de tableau" xfId="15940"/>
    <cellStyle name="BAS Percent Actual [1]" xfId="15941"/>
    <cellStyle name="Başlık 1" xfId="15942"/>
    <cellStyle name="Başlık 2" xfId="15943"/>
    <cellStyle name="Başlık 3" xfId="15944"/>
    <cellStyle name="Başlık 4" xfId="15945"/>
    <cellStyle name="bch" xfId="15946"/>
    <cellStyle name="bci" xfId="15947"/>
    <cellStyle name="Below 0" xfId="15948"/>
    <cellStyle name="Below 0.0" xfId="15949"/>
    <cellStyle name="Best" xfId="15950"/>
    <cellStyle name="Besuchter Hyperlink" xfId="15951"/>
    <cellStyle name="Black" xfId="15952"/>
    <cellStyle name="Black 2" xfId="15953"/>
    <cellStyle name="Black 2 2" xfId="15954"/>
    <cellStyle name="Black 3" xfId="15955"/>
    <cellStyle name="Black 4" xfId="15956"/>
    <cellStyle name="Black 5" xfId="15957"/>
    <cellStyle name="Black Days" xfId="15958"/>
    <cellStyle name="Black Days 2" xfId="15959"/>
    <cellStyle name="Black Decimal" xfId="15960"/>
    <cellStyle name="Black Decimal 2" xfId="15961"/>
    <cellStyle name="Black Decimal 2 2" xfId="15962"/>
    <cellStyle name="Black Decimal 3" xfId="15963"/>
    <cellStyle name="Black Decimal 4" xfId="15964"/>
    <cellStyle name="Black Decimal 5" xfId="15965"/>
    <cellStyle name="Black Dollar" xfId="15966"/>
    <cellStyle name="Black Dollar 2" xfId="15967"/>
    <cellStyle name="Black Dollar 2 2" xfId="15968"/>
    <cellStyle name="Black Dollar 2 3" xfId="15969"/>
    <cellStyle name="Black Dollar 2 4" xfId="15970"/>
    <cellStyle name="Black Dollar 3" xfId="15971"/>
    <cellStyle name="Black Dollar 3 2" xfId="15972"/>
    <cellStyle name="Black Dollar 3 3" xfId="15973"/>
    <cellStyle name="Black Dollar 4" xfId="15974"/>
    <cellStyle name="Black Dollar 4 2" xfId="15975"/>
    <cellStyle name="Black Dollar 4 3" xfId="15976"/>
    <cellStyle name="Black Dollar 5" xfId="15977"/>
    <cellStyle name="Black Dollar 5 2" xfId="15978"/>
    <cellStyle name="Black Dollar 5 3" xfId="15979"/>
    <cellStyle name="Black Dollar 6" xfId="15980"/>
    <cellStyle name="Black Dollar 7" xfId="15981"/>
    <cellStyle name="Black EPS" xfId="15982"/>
    <cellStyle name="Black EPS 2" xfId="15983"/>
    <cellStyle name="Black Percent" xfId="15984"/>
    <cellStyle name="Black Percent 2" xfId="15985"/>
    <cellStyle name="Black Percent2" xfId="15986"/>
    <cellStyle name="Black Percent2 2" xfId="15987"/>
    <cellStyle name="Black Times" xfId="15988"/>
    <cellStyle name="Black Times 2" xfId="15989"/>
    <cellStyle name="Black Times 2 2" xfId="15990"/>
    <cellStyle name="Black Times 3" xfId="15991"/>
    <cellStyle name="Black Times 4" xfId="15992"/>
    <cellStyle name="Black Times 5" xfId="15993"/>
    <cellStyle name="Black Times Two Deci" xfId="15994"/>
    <cellStyle name="Black Times Two Deci 2" xfId="15995"/>
    <cellStyle name="Black Times Two Deci2" xfId="15996"/>
    <cellStyle name="Black Times Two Deci2 2" xfId="15997"/>
    <cellStyle name="Black Times_Anaphore 12 31 2008 Draft Analysis 02 19 2009" xfId="15998"/>
    <cellStyle name="Black Times2" xfId="15999"/>
    <cellStyle name="Black Times2 2" xfId="16000"/>
    <cellStyle name="Black Times2 2 2" xfId="16001"/>
    <cellStyle name="Black Times2 3" xfId="16002"/>
    <cellStyle name="Black Times2 4" xfId="16003"/>
    <cellStyle name="Black Times2 5" xfId="16004"/>
    <cellStyle name="Black_Anaphore 12 31 2008 Draft Analysis 02 19 2009" xfId="16005"/>
    <cellStyle name="BlackStrike" xfId="16006"/>
    <cellStyle name="BlackText" xfId="16007"/>
    <cellStyle name="blank" xfId="16008"/>
    <cellStyle name="Blank[$]" xfId="16009"/>
    <cellStyle name="Blank[,]" xfId="16010"/>
    <cellStyle name="Blank[1$]" xfId="16011"/>
    <cellStyle name="Blank[1%]" xfId="16012"/>
    <cellStyle name="Blank[1]" xfId="16013"/>
    <cellStyle name="Blank[2$]" xfId="16014"/>
    <cellStyle name="Blank[2%]" xfId="16015"/>
    <cellStyle name="Blank[2]" xfId="16016"/>
    <cellStyle name="Blank[3$]" xfId="16017"/>
    <cellStyle name="Blank[3]" xfId="16018"/>
    <cellStyle name="blue" xfId="16019"/>
    <cellStyle name="Blue 2" xfId="16020"/>
    <cellStyle name="Blue Decimal" xfId="16021"/>
    <cellStyle name="Blue Decimal 2" xfId="16022"/>
    <cellStyle name="Blue Dollar" xfId="16023"/>
    <cellStyle name="Blue Dollar 2" xfId="16024"/>
    <cellStyle name="Blue EPS" xfId="16025"/>
    <cellStyle name="Blue EPS 2" xfId="16026"/>
    <cellStyle name="Blue Header" xfId="16027"/>
    <cellStyle name="Blue Header 2" xfId="16028"/>
    <cellStyle name="Blue Header 2 2" xfId="16029"/>
    <cellStyle name="Blue Header 3" xfId="16030"/>
    <cellStyle name="Blue Header 3 2" xfId="16031"/>
    <cellStyle name="Blue Header 4" xfId="16032"/>
    <cellStyle name="blue shading" xfId="16033"/>
    <cellStyle name="blue shading 2" xfId="16034"/>
    <cellStyle name="Blue Text" xfId="16035"/>
    <cellStyle name="Blue Text 2" xfId="16036"/>
    <cellStyle name="Blue Title" xfId="16037"/>
    <cellStyle name="Blue Title 2" xfId="16038"/>
    <cellStyle name="Blue Title 2 2" xfId="16039"/>
    <cellStyle name="Blue Title 3" xfId="16040"/>
    <cellStyle name="Blue Title 4" xfId="16041"/>
    <cellStyle name="Blue Title 5" xfId="16042"/>
    <cellStyle name="Blue Zero Deci" xfId="16043"/>
    <cellStyle name="Blue Zero Deci 2" xfId="16044"/>
    <cellStyle name="Blue_Boston Power VD 01 31 2008 Model 02 26 2008" xfId="16045"/>
    <cellStyle name="Body" xfId="16046"/>
    <cellStyle name="Body 2" xfId="16047"/>
    <cellStyle name="Body text" xfId="16048"/>
    <cellStyle name="Body text 2" xfId="16049"/>
    <cellStyle name="Body_$Numeric" xfId="16050"/>
    <cellStyle name="bold" xfId="16051"/>
    <cellStyle name="bold 2" xfId="16052"/>
    <cellStyle name="Bold Italic + Line Top" xfId="16053"/>
    <cellStyle name="Bold Italic + Line Top 2" xfId="16054"/>
    <cellStyle name="Bold Label" xfId="16055"/>
    <cellStyle name="Bold Text" xfId="16056"/>
    <cellStyle name="Bold Text %" xfId="16057"/>
    <cellStyle name="Bold Text + Line Top" xfId="16058"/>
    <cellStyle name="Bold Text + Line Top 2" xfId="16059"/>
    <cellStyle name="Bold Text 2" xfId="16060"/>
    <cellStyle name="Bold/Border" xfId="16061"/>
    <cellStyle name="Bold/Border 2" xfId="16062"/>
    <cellStyle name="Bold/Border 3" xfId="16063"/>
    <cellStyle name="Bold/Border 3 2" xfId="16064"/>
    <cellStyle name="bold_Boston Power VD 01 31 2008 Model 02 26 2008" xfId="16065"/>
    <cellStyle name="Bol-Data" xfId="16066"/>
    <cellStyle name="BoldCen" xfId="16067"/>
    <cellStyle name="BoldCenUnd" xfId="16068"/>
    <cellStyle name="BoldCenUnd 2" xfId="16069"/>
    <cellStyle name="BoldText" xfId="16070"/>
    <cellStyle name="bolet" xfId="16071"/>
    <cellStyle name="Boletim" xfId="16072"/>
    <cellStyle name="Bom" xfId="16073"/>
    <cellStyle name="Border" xfId="16074"/>
    <cellStyle name="Border 10" xfId="16075"/>
    <cellStyle name="Border 10 2" xfId="16076"/>
    <cellStyle name="Border 10 2 2" xfId="16077"/>
    <cellStyle name="Border 10 2 3" xfId="16078"/>
    <cellStyle name="Border 10 3" xfId="16079"/>
    <cellStyle name="Border 10 3 2" xfId="16080"/>
    <cellStyle name="Border 10 3 3" xfId="16081"/>
    <cellStyle name="Border 10 4" xfId="16082"/>
    <cellStyle name="Border 10 5" xfId="16083"/>
    <cellStyle name="Border 11" xfId="16084"/>
    <cellStyle name="Border 11 2" xfId="16085"/>
    <cellStyle name="Border 11 2 2" xfId="16086"/>
    <cellStyle name="Border 11 2 3" xfId="16087"/>
    <cellStyle name="Border 11 3" xfId="16088"/>
    <cellStyle name="Border 11 3 2" xfId="16089"/>
    <cellStyle name="Border 11 3 3" xfId="16090"/>
    <cellStyle name="Border 11 4" xfId="16091"/>
    <cellStyle name="Border 11 5" xfId="16092"/>
    <cellStyle name="Border 12" xfId="16093"/>
    <cellStyle name="Border 12 2" xfId="16094"/>
    <cellStyle name="Border 12 2 2" xfId="16095"/>
    <cellStyle name="Border 12 2 3" xfId="16096"/>
    <cellStyle name="Border 12 3" xfId="16097"/>
    <cellStyle name="Border 12 3 2" xfId="16098"/>
    <cellStyle name="Border 12 3 3" xfId="16099"/>
    <cellStyle name="Border 12 4" xfId="16100"/>
    <cellStyle name="Border 12 5" xfId="16101"/>
    <cellStyle name="Border 13" xfId="16102"/>
    <cellStyle name="Border 13 2" xfId="16103"/>
    <cellStyle name="Border 13 3" xfId="16104"/>
    <cellStyle name="Border 14" xfId="16105"/>
    <cellStyle name="Border 14 2" xfId="16106"/>
    <cellStyle name="Border 14 3" xfId="16107"/>
    <cellStyle name="Border 2" xfId="16108"/>
    <cellStyle name="Border 2 10" xfId="16109"/>
    <cellStyle name="Border 2 10 2" xfId="16110"/>
    <cellStyle name="Border 2 10 3" xfId="16111"/>
    <cellStyle name="Border 2 11" xfId="16112"/>
    <cellStyle name="Border 2 11 2" xfId="16113"/>
    <cellStyle name="Border 2 11 3" xfId="16114"/>
    <cellStyle name="Border 2 12" xfId="16115"/>
    <cellStyle name="Border 2 13" xfId="16116"/>
    <cellStyle name="Border 2 2" xfId="16117"/>
    <cellStyle name="Border 2 2 2" xfId="16118"/>
    <cellStyle name="Border 2 2 2 2" xfId="16119"/>
    <cellStyle name="Border 2 2 2 3" xfId="16120"/>
    <cellStyle name="Border 2 2 3" xfId="16121"/>
    <cellStyle name="Border 2 2 3 2" xfId="16122"/>
    <cellStyle name="Border 2 2 3 3" xfId="16123"/>
    <cellStyle name="Border 2 2 4" xfId="16124"/>
    <cellStyle name="Border 2 2 5" xfId="16125"/>
    <cellStyle name="Border 2 3" xfId="16126"/>
    <cellStyle name="Border 2 3 2" xfId="16127"/>
    <cellStyle name="Border 2 3 2 2" xfId="16128"/>
    <cellStyle name="Border 2 3 2 3" xfId="16129"/>
    <cellStyle name="Border 2 3 3" xfId="16130"/>
    <cellStyle name="Border 2 3 3 2" xfId="16131"/>
    <cellStyle name="Border 2 3 3 3" xfId="16132"/>
    <cellStyle name="Border 2 3 4" xfId="16133"/>
    <cellStyle name="Border 2 3 5" xfId="16134"/>
    <cellStyle name="Border 2 4" xfId="16135"/>
    <cellStyle name="Border 2 4 2" xfId="16136"/>
    <cellStyle name="Border 2 4 2 2" xfId="16137"/>
    <cellStyle name="Border 2 4 2 3" xfId="16138"/>
    <cellStyle name="Border 2 4 3" xfId="16139"/>
    <cellStyle name="Border 2 4 3 2" xfId="16140"/>
    <cellStyle name="Border 2 4 3 3" xfId="16141"/>
    <cellStyle name="Border 2 4 4" xfId="16142"/>
    <cellStyle name="Border 2 4 5" xfId="16143"/>
    <cellStyle name="Border 2 5" xfId="16144"/>
    <cellStyle name="Border 2 5 2" xfId="16145"/>
    <cellStyle name="Border 2 5 2 2" xfId="16146"/>
    <cellStyle name="Border 2 5 2 3" xfId="16147"/>
    <cellStyle name="Border 2 5 3" xfId="16148"/>
    <cellStyle name="Border 2 5 3 2" xfId="16149"/>
    <cellStyle name="Border 2 5 3 3" xfId="16150"/>
    <cellStyle name="Border 2 5 4" xfId="16151"/>
    <cellStyle name="Border 2 5 5" xfId="16152"/>
    <cellStyle name="Border 2 6" xfId="16153"/>
    <cellStyle name="Border 2 6 2" xfId="16154"/>
    <cellStyle name="Border 2 6 2 2" xfId="16155"/>
    <cellStyle name="Border 2 6 2 3" xfId="16156"/>
    <cellStyle name="Border 2 6 3" xfId="16157"/>
    <cellStyle name="Border 2 6 3 2" xfId="16158"/>
    <cellStyle name="Border 2 6 3 3" xfId="16159"/>
    <cellStyle name="Border 2 6 4" xfId="16160"/>
    <cellStyle name="Border 2 6 5" xfId="16161"/>
    <cellStyle name="Border 2 7" xfId="16162"/>
    <cellStyle name="Border 2 7 2" xfId="16163"/>
    <cellStyle name="Border 2 7 2 2" xfId="16164"/>
    <cellStyle name="Border 2 7 2 3" xfId="16165"/>
    <cellStyle name="Border 2 7 3" xfId="16166"/>
    <cellStyle name="Border 2 7 3 2" xfId="16167"/>
    <cellStyle name="Border 2 7 3 3" xfId="16168"/>
    <cellStyle name="Border 2 7 4" xfId="16169"/>
    <cellStyle name="Border 2 7 5" xfId="16170"/>
    <cellStyle name="Border 2 8" xfId="16171"/>
    <cellStyle name="Border 2 8 2" xfId="16172"/>
    <cellStyle name="Border 2 8 2 2" xfId="16173"/>
    <cellStyle name="Border 2 8 2 3" xfId="16174"/>
    <cellStyle name="Border 2 8 3" xfId="16175"/>
    <cellStyle name="Border 2 8 3 2" xfId="16176"/>
    <cellStyle name="Border 2 8 3 3" xfId="16177"/>
    <cellStyle name="Border 2 8 4" xfId="16178"/>
    <cellStyle name="Border 2 8 5" xfId="16179"/>
    <cellStyle name="Border 2 9" xfId="16180"/>
    <cellStyle name="Border 2 9 2" xfId="16181"/>
    <cellStyle name="Border 2 9 2 2" xfId="16182"/>
    <cellStyle name="Border 2 9 2 3" xfId="16183"/>
    <cellStyle name="Border 2 9 3" xfId="16184"/>
    <cellStyle name="Border 2 9 3 2" xfId="16185"/>
    <cellStyle name="Border 2 9 3 3" xfId="16186"/>
    <cellStyle name="Border 2 9 4" xfId="16187"/>
    <cellStyle name="Border 2 9 5" xfId="16188"/>
    <cellStyle name="Border 3" xfId="16189"/>
    <cellStyle name="Border 3 10" xfId="16190"/>
    <cellStyle name="Border 3 10 2" xfId="16191"/>
    <cellStyle name="Border 3 10 3" xfId="16192"/>
    <cellStyle name="Border 3 11" xfId="16193"/>
    <cellStyle name="Border 3 11 2" xfId="16194"/>
    <cellStyle name="Border 3 11 3" xfId="16195"/>
    <cellStyle name="Border 3 12" xfId="16196"/>
    <cellStyle name="Border 3 13" xfId="16197"/>
    <cellStyle name="Border 3 2" xfId="16198"/>
    <cellStyle name="Border 3 2 2" xfId="16199"/>
    <cellStyle name="Border 3 2 2 2" xfId="16200"/>
    <cellStyle name="Border 3 2 2 3" xfId="16201"/>
    <cellStyle name="Border 3 2 3" xfId="16202"/>
    <cellStyle name="Border 3 2 3 2" xfId="16203"/>
    <cellStyle name="Border 3 2 3 3" xfId="16204"/>
    <cellStyle name="Border 3 2 4" xfId="16205"/>
    <cellStyle name="Border 3 2 5" xfId="16206"/>
    <cellStyle name="Border 3 3" xfId="16207"/>
    <cellStyle name="Border 3 3 2" xfId="16208"/>
    <cellStyle name="Border 3 3 2 2" xfId="16209"/>
    <cellStyle name="Border 3 3 2 3" xfId="16210"/>
    <cellStyle name="Border 3 3 3" xfId="16211"/>
    <cellStyle name="Border 3 3 3 2" xfId="16212"/>
    <cellStyle name="Border 3 3 3 3" xfId="16213"/>
    <cellStyle name="Border 3 3 4" xfId="16214"/>
    <cellStyle name="Border 3 3 5" xfId="16215"/>
    <cellStyle name="Border 3 4" xfId="16216"/>
    <cellStyle name="Border 3 4 2" xfId="16217"/>
    <cellStyle name="Border 3 4 2 2" xfId="16218"/>
    <cellStyle name="Border 3 4 2 3" xfId="16219"/>
    <cellStyle name="Border 3 4 3" xfId="16220"/>
    <cellStyle name="Border 3 4 3 2" xfId="16221"/>
    <cellStyle name="Border 3 4 3 3" xfId="16222"/>
    <cellStyle name="Border 3 4 4" xfId="16223"/>
    <cellStyle name="Border 3 4 5" xfId="16224"/>
    <cellStyle name="Border 3 5" xfId="16225"/>
    <cellStyle name="Border 3 5 2" xfId="16226"/>
    <cellStyle name="Border 3 5 2 2" xfId="16227"/>
    <cellStyle name="Border 3 5 2 3" xfId="16228"/>
    <cellStyle name="Border 3 5 3" xfId="16229"/>
    <cellStyle name="Border 3 5 3 2" xfId="16230"/>
    <cellStyle name="Border 3 5 3 3" xfId="16231"/>
    <cellStyle name="Border 3 5 4" xfId="16232"/>
    <cellStyle name="Border 3 5 5" xfId="16233"/>
    <cellStyle name="Border 3 6" xfId="16234"/>
    <cellStyle name="Border 3 6 2" xfId="16235"/>
    <cellStyle name="Border 3 6 2 2" xfId="16236"/>
    <cellStyle name="Border 3 6 2 3" xfId="16237"/>
    <cellStyle name="Border 3 6 3" xfId="16238"/>
    <cellStyle name="Border 3 6 3 2" xfId="16239"/>
    <cellStyle name="Border 3 6 3 3" xfId="16240"/>
    <cellStyle name="Border 3 6 4" xfId="16241"/>
    <cellStyle name="Border 3 6 5" xfId="16242"/>
    <cellStyle name="Border 3 7" xfId="16243"/>
    <cellStyle name="Border 3 7 2" xfId="16244"/>
    <cellStyle name="Border 3 7 2 2" xfId="16245"/>
    <cellStyle name="Border 3 7 2 3" xfId="16246"/>
    <cellStyle name="Border 3 7 3" xfId="16247"/>
    <cellStyle name="Border 3 7 3 2" xfId="16248"/>
    <cellStyle name="Border 3 7 3 3" xfId="16249"/>
    <cellStyle name="Border 3 7 4" xfId="16250"/>
    <cellStyle name="Border 3 7 5" xfId="16251"/>
    <cellStyle name="Border 3 8" xfId="16252"/>
    <cellStyle name="Border 3 8 2" xfId="16253"/>
    <cellStyle name="Border 3 8 2 2" xfId="16254"/>
    <cellStyle name="Border 3 8 2 3" xfId="16255"/>
    <cellStyle name="Border 3 8 3" xfId="16256"/>
    <cellStyle name="Border 3 8 3 2" xfId="16257"/>
    <cellStyle name="Border 3 8 3 3" xfId="16258"/>
    <cellStyle name="Border 3 8 4" xfId="16259"/>
    <cellStyle name="Border 3 8 5" xfId="16260"/>
    <cellStyle name="Border 3 9" xfId="16261"/>
    <cellStyle name="Border 3 9 2" xfId="16262"/>
    <cellStyle name="Border 3 9 2 2" xfId="16263"/>
    <cellStyle name="Border 3 9 2 3" xfId="16264"/>
    <cellStyle name="Border 3 9 3" xfId="16265"/>
    <cellStyle name="Border 3 9 3 2" xfId="16266"/>
    <cellStyle name="Border 3 9 3 3" xfId="16267"/>
    <cellStyle name="Border 3 9 4" xfId="16268"/>
    <cellStyle name="Border 3 9 5" xfId="16269"/>
    <cellStyle name="Border 4" xfId="16270"/>
    <cellStyle name="Border 4 2" xfId="16271"/>
    <cellStyle name="Border 4 2 2" xfId="16272"/>
    <cellStyle name="Border 4 2 2 2" xfId="16273"/>
    <cellStyle name="Border 4 2 2 3" xfId="16274"/>
    <cellStyle name="Border 4 2 3" xfId="16275"/>
    <cellStyle name="Border 4 2 3 2" xfId="16276"/>
    <cellStyle name="Border 4 2 3 3" xfId="16277"/>
    <cellStyle name="Border 4 2 4" xfId="16278"/>
    <cellStyle name="Border 4 2 5" xfId="16279"/>
    <cellStyle name="Border 4 3" xfId="16280"/>
    <cellStyle name="Border 4 3 2" xfId="16281"/>
    <cellStyle name="Border 4 3 2 2" xfId="16282"/>
    <cellStyle name="Border 4 3 2 3" xfId="16283"/>
    <cellStyle name="Border 4 3 3" xfId="16284"/>
    <cellStyle name="Border 4 3 3 2" xfId="16285"/>
    <cellStyle name="Border 4 3 3 3" xfId="16286"/>
    <cellStyle name="Border 4 3 4" xfId="16287"/>
    <cellStyle name="Border 4 3 5" xfId="16288"/>
    <cellStyle name="Border 4 4" xfId="16289"/>
    <cellStyle name="Border 4 4 2" xfId="16290"/>
    <cellStyle name="Border 4 4 3" xfId="16291"/>
    <cellStyle name="Border 4 5" xfId="16292"/>
    <cellStyle name="Border 4 5 2" xfId="16293"/>
    <cellStyle name="Border 4 5 3" xfId="16294"/>
    <cellStyle name="Border 4 6" xfId="16295"/>
    <cellStyle name="Border 4 7" xfId="16296"/>
    <cellStyle name="Border 5" xfId="16297"/>
    <cellStyle name="Border 5 2" xfId="16298"/>
    <cellStyle name="Border 5 2 2" xfId="16299"/>
    <cellStyle name="Border 5 2 3" xfId="16300"/>
    <cellStyle name="Border 5 3" xfId="16301"/>
    <cellStyle name="Border 5 3 2" xfId="16302"/>
    <cellStyle name="Border 5 3 3" xfId="16303"/>
    <cellStyle name="Border 5 4" xfId="16304"/>
    <cellStyle name="Border 5 5" xfId="16305"/>
    <cellStyle name="Border 6" xfId="16306"/>
    <cellStyle name="Border 6 2" xfId="16307"/>
    <cellStyle name="Border 6 2 2" xfId="16308"/>
    <cellStyle name="Border 6 2 3" xfId="16309"/>
    <cellStyle name="Border 6 3" xfId="16310"/>
    <cellStyle name="Border 6 3 2" xfId="16311"/>
    <cellStyle name="Border 6 3 3" xfId="16312"/>
    <cellStyle name="Border 6 4" xfId="16313"/>
    <cellStyle name="Border 6 5" xfId="16314"/>
    <cellStyle name="Border 7" xfId="16315"/>
    <cellStyle name="Border 7 2" xfId="16316"/>
    <cellStyle name="Border 7 2 2" xfId="16317"/>
    <cellStyle name="Border 7 2 3" xfId="16318"/>
    <cellStyle name="Border 7 3" xfId="16319"/>
    <cellStyle name="Border 7 3 2" xfId="16320"/>
    <cellStyle name="Border 7 3 3" xfId="16321"/>
    <cellStyle name="Border 7 4" xfId="16322"/>
    <cellStyle name="Border 7 5" xfId="16323"/>
    <cellStyle name="Border 8" xfId="16324"/>
    <cellStyle name="Border 8 2" xfId="16325"/>
    <cellStyle name="Border 8 2 2" xfId="16326"/>
    <cellStyle name="Border 8 2 3" xfId="16327"/>
    <cellStyle name="Border 8 3" xfId="16328"/>
    <cellStyle name="Border 8 3 2" xfId="16329"/>
    <cellStyle name="Border 8 3 3" xfId="16330"/>
    <cellStyle name="Border 8 4" xfId="16331"/>
    <cellStyle name="Border 8 5" xfId="16332"/>
    <cellStyle name="Border 9" xfId="16333"/>
    <cellStyle name="Border 9 2" xfId="16334"/>
    <cellStyle name="Border 9 2 2" xfId="16335"/>
    <cellStyle name="Border 9 2 3" xfId="16336"/>
    <cellStyle name="Border 9 3" xfId="16337"/>
    <cellStyle name="Border 9 3 2" xfId="16338"/>
    <cellStyle name="Border 9 3 3" xfId="16339"/>
    <cellStyle name="Border 9 4" xfId="16340"/>
    <cellStyle name="Border 9 5" xfId="16341"/>
    <cellStyle name="Border Heavy" xfId="16342"/>
    <cellStyle name="Border Heavy 2" xfId="16343"/>
    <cellStyle name="Border Heavy 2 2" xfId="16344"/>
    <cellStyle name="Border Heavy 3" xfId="16345"/>
    <cellStyle name="Border Heavy 4" xfId="16346"/>
    <cellStyle name="Border Thin" xfId="16347"/>
    <cellStyle name="Border Thin 2" xfId="16348"/>
    <cellStyle name="Border Thin 2 2" xfId="16349"/>
    <cellStyle name="Border Thin 3" xfId="16350"/>
    <cellStyle name="Border, Bottom" xfId="16351"/>
    <cellStyle name="Border, Bottom 2" xfId="16352"/>
    <cellStyle name="Border, Left" xfId="16353"/>
    <cellStyle name="Border, Right" xfId="16354"/>
    <cellStyle name="Border, Top" xfId="16355"/>
    <cellStyle name="Border, Top 2" xfId="16356"/>
    <cellStyle name="Border_Anaphore 12 31 2008 Draft Analysis 02 19 2009" xfId="16357"/>
    <cellStyle name="Bottom bold border" xfId="16358"/>
    <cellStyle name="Bottom bold border 2" xfId="16359"/>
    <cellStyle name="Bottom bold border 2 2" xfId="16360"/>
    <cellStyle name="Bottom bold border 3" xfId="16361"/>
    <cellStyle name="Bottom bold border 4" xfId="16362"/>
    <cellStyle name="Bottom bold border 5" xfId="16363"/>
    <cellStyle name="Bottom Edge" xfId="16364"/>
    <cellStyle name="Bottom Edge 2" xfId="16365"/>
    <cellStyle name="Bottom single border" xfId="16366"/>
    <cellStyle name="Bottom single border 2" xfId="16367"/>
    <cellStyle name="Bottom single border 2 2" xfId="16368"/>
    <cellStyle name="Bottom single border 2 3" xfId="16369"/>
    <cellStyle name="Bottom single border 3" xfId="16370"/>
    <cellStyle name="Bottom single border 3 2" xfId="16371"/>
    <cellStyle name="Bottom single border 4" xfId="16372"/>
    <cellStyle name="Bottom single border 4 2" xfId="16373"/>
    <cellStyle name="Bottom single border 5" xfId="16374"/>
    <cellStyle name="Bottom single border 5 2" xfId="16375"/>
    <cellStyle name="British Pound" xfId="16376"/>
    <cellStyle name="British Pound 10" xfId="16377"/>
    <cellStyle name="British Pound 10 2" xfId="16378"/>
    <cellStyle name="British Pound 10 3" xfId="16379"/>
    <cellStyle name="British Pound 10 4" xfId="16380"/>
    <cellStyle name="British Pound 10 5" xfId="16381"/>
    <cellStyle name="British Pound 10 6" xfId="16382"/>
    <cellStyle name="British Pound 10 7" xfId="16383"/>
    <cellStyle name="British Pound 10 8" xfId="16384"/>
    <cellStyle name="British Pound 10 9" xfId="16385"/>
    <cellStyle name="British Pound 11" xfId="16386"/>
    <cellStyle name="British Pound 11 2" xfId="16387"/>
    <cellStyle name="British Pound 11 2 2" xfId="16388"/>
    <cellStyle name="British Pound 11 2 2 2" xfId="16389"/>
    <cellStyle name="British Pound 11 2 2 3" xfId="16390"/>
    <cellStyle name="British Pound 11 2 2 4" xfId="16391"/>
    <cellStyle name="British Pound 11 2 2 5" xfId="16392"/>
    <cellStyle name="British Pound 11 2 2 6" xfId="16393"/>
    <cellStyle name="British Pound 11 2 2 7" xfId="16394"/>
    <cellStyle name="British Pound 11 2 2 8" xfId="16395"/>
    <cellStyle name="British Pound 11 2 3" xfId="16396"/>
    <cellStyle name="British Pound 11 2 4" xfId="16397"/>
    <cellStyle name="British Pound 11 2 5" xfId="16398"/>
    <cellStyle name="British Pound 11 2 6" xfId="16399"/>
    <cellStyle name="British Pound 11 2 7" xfId="16400"/>
    <cellStyle name="British Pound 11 2 8" xfId="16401"/>
    <cellStyle name="British Pound 11 2 9" xfId="16402"/>
    <cellStyle name="British Pound 11 3" xfId="16403"/>
    <cellStyle name="British Pound 11 3 2" xfId="16404"/>
    <cellStyle name="British Pound 11 3 3" xfId="16405"/>
    <cellStyle name="British Pound 11 3 4" xfId="16406"/>
    <cellStyle name="British Pound 11 3 5" xfId="16407"/>
    <cellStyle name="British Pound 11 3 6" xfId="16408"/>
    <cellStyle name="British Pound 11 3 7" xfId="16409"/>
    <cellStyle name="British Pound 11 3 8" xfId="16410"/>
    <cellStyle name="British Pound 11 4" xfId="16411"/>
    <cellStyle name="British Pound 11 5" xfId="16412"/>
    <cellStyle name="British Pound 11 6" xfId="16413"/>
    <cellStyle name="British Pound 11 7" xfId="16414"/>
    <cellStyle name="British Pound 11 8" xfId="16415"/>
    <cellStyle name="British Pound 11 9" xfId="16416"/>
    <cellStyle name="British Pound 12" xfId="16417"/>
    <cellStyle name="British Pound 12 10" xfId="16418"/>
    <cellStyle name="British Pound 12 11" xfId="16419"/>
    <cellStyle name="British Pound 12 12" xfId="16420"/>
    <cellStyle name="British Pound 12 13" xfId="16421"/>
    <cellStyle name="British Pound 12 14" xfId="16422"/>
    <cellStyle name="British Pound 12 15" xfId="16423"/>
    <cellStyle name="British Pound 12 16" xfId="16424"/>
    <cellStyle name="British Pound 12 2" xfId="16425"/>
    <cellStyle name="British Pound 12 3" xfId="16426"/>
    <cellStyle name="British Pound 12 4" xfId="16427"/>
    <cellStyle name="British Pound 12 5" xfId="16428"/>
    <cellStyle name="British Pound 12 6" xfId="16429"/>
    <cellStyle name="British Pound 12 7" xfId="16430"/>
    <cellStyle name="British Pound 12 8" xfId="16431"/>
    <cellStyle name="British Pound 12 9" xfId="16432"/>
    <cellStyle name="British Pound 13" xfId="16433"/>
    <cellStyle name="British Pound 13 2" xfId="16434"/>
    <cellStyle name="British Pound 13 3" xfId="16435"/>
    <cellStyle name="British Pound 13 4" xfId="16436"/>
    <cellStyle name="British Pound 13 5" xfId="16437"/>
    <cellStyle name="British Pound 13 6" xfId="16438"/>
    <cellStyle name="British Pound 13 7" xfId="16439"/>
    <cellStyle name="British Pound 13 8" xfId="16440"/>
    <cellStyle name="British Pound 13 9" xfId="16441"/>
    <cellStyle name="British Pound 14" xfId="16442"/>
    <cellStyle name="British Pound 14 2" xfId="16443"/>
    <cellStyle name="British Pound 14 3" xfId="16444"/>
    <cellStyle name="British Pound 14 4" xfId="16445"/>
    <cellStyle name="British Pound 14 5" xfId="16446"/>
    <cellStyle name="British Pound 14 6" xfId="16447"/>
    <cellStyle name="British Pound 14 7" xfId="16448"/>
    <cellStyle name="British Pound 14 8" xfId="16449"/>
    <cellStyle name="British Pound 14 9" xfId="16450"/>
    <cellStyle name="British Pound 15" xfId="16451"/>
    <cellStyle name="British Pound 15 2" xfId="16452"/>
    <cellStyle name="British Pound 15 3" xfId="16453"/>
    <cellStyle name="British Pound 15 4" xfId="16454"/>
    <cellStyle name="British Pound 15 5" xfId="16455"/>
    <cellStyle name="British Pound 15 6" xfId="16456"/>
    <cellStyle name="British Pound 15 7" xfId="16457"/>
    <cellStyle name="British Pound 15 8" xfId="16458"/>
    <cellStyle name="British Pound 15 9" xfId="16459"/>
    <cellStyle name="British Pound 16" xfId="16460"/>
    <cellStyle name="British Pound 16 2" xfId="16461"/>
    <cellStyle name="British Pound 16 3" xfId="16462"/>
    <cellStyle name="British Pound 16 4" xfId="16463"/>
    <cellStyle name="British Pound 16 5" xfId="16464"/>
    <cellStyle name="British Pound 16 6" xfId="16465"/>
    <cellStyle name="British Pound 16 7" xfId="16466"/>
    <cellStyle name="British Pound 16 8" xfId="16467"/>
    <cellStyle name="British Pound 16 9" xfId="16468"/>
    <cellStyle name="British Pound 17" xfId="16469"/>
    <cellStyle name="British Pound 17 2" xfId="16470"/>
    <cellStyle name="British Pound 17 3" xfId="16471"/>
    <cellStyle name="British Pound 17 4" xfId="16472"/>
    <cellStyle name="British Pound 17 5" xfId="16473"/>
    <cellStyle name="British Pound 17 6" xfId="16474"/>
    <cellStyle name="British Pound 17 7" xfId="16475"/>
    <cellStyle name="British Pound 17 8" xfId="16476"/>
    <cellStyle name="British Pound 17 9" xfId="16477"/>
    <cellStyle name="British Pound 18" xfId="16478"/>
    <cellStyle name="British Pound 18 2" xfId="16479"/>
    <cellStyle name="British Pound 18 3" xfId="16480"/>
    <cellStyle name="British Pound 18 4" xfId="16481"/>
    <cellStyle name="British Pound 18 5" xfId="16482"/>
    <cellStyle name="British Pound 18 6" xfId="16483"/>
    <cellStyle name="British Pound 18 7" xfId="16484"/>
    <cellStyle name="British Pound 18 8" xfId="16485"/>
    <cellStyle name="British Pound 18 9" xfId="16486"/>
    <cellStyle name="British Pound 19" xfId="16487"/>
    <cellStyle name="British Pound 19 2" xfId="16488"/>
    <cellStyle name="British Pound 19 3" xfId="16489"/>
    <cellStyle name="British Pound 19 4" xfId="16490"/>
    <cellStyle name="British Pound 19 5" xfId="16491"/>
    <cellStyle name="British Pound 19 6" xfId="16492"/>
    <cellStyle name="British Pound 19 7" xfId="16493"/>
    <cellStyle name="British Pound 19 8" xfId="16494"/>
    <cellStyle name="British Pound 19 9" xfId="16495"/>
    <cellStyle name="British Pound 2" xfId="16496"/>
    <cellStyle name="British Pound 2 10" xfId="16497"/>
    <cellStyle name="British Pound 2 11" xfId="16498"/>
    <cellStyle name="British Pound 2 11 2" xfId="16499"/>
    <cellStyle name="British Pound 2 11 3" xfId="16500"/>
    <cellStyle name="British Pound 2 11 4" xfId="16501"/>
    <cellStyle name="British Pound 2 11 5" xfId="16502"/>
    <cellStyle name="British Pound 2 11 6" xfId="16503"/>
    <cellStyle name="British Pound 2 11 7" xfId="16504"/>
    <cellStyle name="British Pound 2 11 8" xfId="16505"/>
    <cellStyle name="British Pound 2 12" xfId="16506"/>
    <cellStyle name="British Pound 2 12 2" xfId="16507"/>
    <cellStyle name="British Pound 2 12 3" xfId="16508"/>
    <cellStyle name="British Pound 2 12 4" xfId="16509"/>
    <cellStyle name="British Pound 2 12 5" xfId="16510"/>
    <cellStyle name="British Pound 2 12 6" xfId="16511"/>
    <cellStyle name="British Pound 2 12 7" xfId="16512"/>
    <cellStyle name="British Pound 2 12 8" xfId="16513"/>
    <cellStyle name="British Pound 2 13" xfId="16514"/>
    <cellStyle name="British Pound 2 14" xfId="16515"/>
    <cellStyle name="British Pound 2 15" xfId="16516"/>
    <cellStyle name="British Pound 2 16" xfId="16517"/>
    <cellStyle name="British Pound 2 17" xfId="16518"/>
    <cellStyle name="British Pound 2 18" xfId="16519"/>
    <cellStyle name="British Pound 2 2" xfId="16520"/>
    <cellStyle name="British Pound 2 2 10" xfId="16521"/>
    <cellStyle name="British Pound 2 2 11" xfId="16522"/>
    <cellStyle name="British Pound 2 2 12" xfId="16523"/>
    <cellStyle name="British Pound 2 2 13" xfId="16524"/>
    <cellStyle name="British Pound 2 2 14" xfId="16525"/>
    <cellStyle name="British Pound 2 2 15" xfId="16526"/>
    <cellStyle name="British Pound 2 2 16" xfId="16527"/>
    <cellStyle name="British Pound 2 2 17" xfId="16528"/>
    <cellStyle name="British Pound 2 2 18" xfId="16529"/>
    <cellStyle name="British Pound 2 2 2" xfId="16530"/>
    <cellStyle name="British Pound 2 2 2 10" xfId="16531"/>
    <cellStyle name="British Pound 2 2 2 11" xfId="16532"/>
    <cellStyle name="British Pound 2 2 2 12" xfId="16533"/>
    <cellStyle name="British Pound 2 2 2 13" xfId="16534"/>
    <cellStyle name="British Pound 2 2 2 14" xfId="16535"/>
    <cellStyle name="British Pound 2 2 2 15" xfId="16536"/>
    <cellStyle name="British Pound 2 2 2 16" xfId="16537"/>
    <cellStyle name="British Pound 2 2 2 2" xfId="16538"/>
    <cellStyle name="British Pound 2 2 2 2 10" xfId="16539"/>
    <cellStyle name="British Pound 2 2 2 2 11" xfId="16540"/>
    <cellStyle name="British Pound 2 2 2 2 12" xfId="16541"/>
    <cellStyle name="British Pound 2 2 2 2 13" xfId="16542"/>
    <cellStyle name="British Pound 2 2 2 2 14" xfId="16543"/>
    <cellStyle name="British Pound 2 2 2 2 15" xfId="16544"/>
    <cellStyle name="British Pound 2 2 2 2 2" xfId="16545"/>
    <cellStyle name="British Pound 2 2 2 2 2 2" xfId="16546"/>
    <cellStyle name="British Pound 2 2 2 2 2 2 2" xfId="16547"/>
    <cellStyle name="British Pound 2 2 2 2 2 2 2 2" xfId="16548"/>
    <cellStyle name="British Pound 2 2 2 2 2 2 2 3" xfId="16549"/>
    <cellStyle name="British Pound 2 2 2 2 2 2 2 4" xfId="16550"/>
    <cellStyle name="British Pound 2 2 2 2 2 2 2 5" xfId="16551"/>
    <cellStyle name="British Pound 2 2 2 2 2 2 2 6" xfId="16552"/>
    <cellStyle name="British Pound 2 2 2 2 2 2 2 7" xfId="16553"/>
    <cellStyle name="British Pound 2 2 2 2 2 2 2 8" xfId="16554"/>
    <cellStyle name="British Pound 2 2 2 2 2 2 3" xfId="16555"/>
    <cellStyle name="British Pound 2 2 2 2 2 2 4" xfId="16556"/>
    <cellStyle name="British Pound 2 2 2 2 2 2 5" xfId="16557"/>
    <cellStyle name="British Pound 2 2 2 2 2 2 6" xfId="16558"/>
    <cellStyle name="British Pound 2 2 2 2 2 2 7" xfId="16559"/>
    <cellStyle name="British Pound 2 2 2 2 2 2 8" xfId="16560"/>
    <cellStyle name="British Pound 2 2 2 2 2 2 9" xfId="16561"/>
    <cellStyle name="British Pound 2 2 2 2 2 3" xfId="16562"/>
    <cellStyle name="British Pound 2 2 2 2 2 4" xfId="16563"/>
    <cellStyle name="British Pound 2 2 2 2 2 5" xfId="16564"/>
    <cellStyle name="British Pound 2 2 2 2 2 6" xfId="16565"/>
    <cellStyle name="British Pound 2 2 2 2 2 7" xfId="16566"/>
    <cellStyle name="British Pound 2 2 2 2 2 8" xfId="16567"/>
    <cellStyle name="British Pound 2 2 2 2 2 9" xfId="16568"/>
    <cellStyle name="British Pound 2 2 2 2 3" xfId="16569"/>
    <cellStyle name="British Pound 2 2 2 2 3 2" xfId="16570"/>
    <cellStyle name="British Pound 2 2 2 2 3 3" xfId="16571"/>
    <cellStyle name="British Pound 2 2 2 2 3 4" xfId="16572"/>
    <cellStyle name="British Pound 2 2 2 2 3 5" xfId="16573"/>
    <cellStyle name="British Pound 2 2 2 2 3 6" xfId="16574"/>
    <cellStyle name="British Pound 2 2 2 2 3 7" xfId="16575"/>
    <cellStyle name="British Pound 2 2 2 2 3 8" xfId="16576"/>
    <cellStyle name="British Pound 2 2 2 2 4" xfId="16577"/>
    <cellStyle name="British Pound 2 2 2 2 5" xfId="16578"/>
    <cellStyle name="British Pound 2 2 2 2 6" xfId="16579"/>
    <cellStyle name="British Pound 2 2 2 2 7" xfId="16580"/>
    <cellStyle name="British Pound 2 2 2 2 8" xfId="16581"/>
    <cellStyle name="British Pound 2 2 2 2 9" xfId="16582"/>
    <cellStyle name="British Pound 2 2 2 3" xfId="16583"/>
    <cellStyle name="British Pound 2 2 2 3 2" xfId="16584"/>
    <cellStyle name="British Pound 2 2 2 3 3" xfId="16585"/>
    <cellStyle name="British Pound 2 2 2 3 4" xfId="16586"/>
    <cellStyle name="British Pound 2 2 2 3 5" xfId="16587"/>
    <cellStyle name="British Pound 2 2 2 3 6" xfId="16588"/>
    <cellStyle name="British Pound 2 2 2 3 7" xfId="16589"/>
    <cellStyle name="British Pound 2 2 2 3 8" xfId="16590"/>
    <cellStyle name="British Pound 2 2 2 4" xfId="16591"/>
    <cellStyle name="British Pound 2 2 2 4 2" xfId="16592"/>
    <cellStyle name="British Pound 2 2 2 4 3" xfId="16593"/>
    <cellStyle name="British Pound 2 2 2 4 4" xfId="16594"/>
    <cellStyle name="British Pound 2 2 2 4 5" xfId="16595"/>
    <cellStyle name="British Pound 2 2 2 4 6" xfId="16596"/>
    <cellStyle name="British Pound 2 2 2 4 7" xfId="16597"/>
    <cellStyle name="British Pound 2 2 2 4 8" xfId="16598"/>
    <cellStyle name="British Pound 2 2 2 5" xfId="16599"/>
    <cellStyle name="British Pound 2 2 2 5 2" xfId="16600"/>
    <cellStyle name="British Pound 2 2 2 5 3" xfId="16601"/>
    <cellStyle name="British Pound 2 2 2 5 4" xfId="16602"/>
    <cellStyle name="British Pound 2 2 2 5 5" xfId="16603"/>
    <cellStyle name="British Pound 2 2 2 5 6" xfId="16604"/>
    <cellStyle name="British Pound 2 2 2 5 7" xfId="16605"/>
    <cellStyle name="British Pound 2 2 2 5 8" xfId="16606"/>
    <cellStyle name="British Pound 2 2 2 6" xfId="16607"/>
    <cellStyle name="British Pound 2 2 2 6 2" xfId="16608"/>
    <cellStyle name="British Pound 2 2 2 6 3" xfId="16609"/>
    <cellStyle name="British Pound 2 2 2 6 4" xfId="16610"/>
    <cellStyle name="British Pound 2 2 2 6 5" xfId="16611"/>
    <cellStyle name="British Pound 2 2 2 6 6" xfId="16612"/>
    <cellStyle name="British Pound 2 2 2 6 7" xfId="16613"/>
    <cellStyle name="British Pound 2 2 2 6 8" xfId="16614"/>
    <cellStyle name="British Pound 2 2 2 7" xfId="16615"/>
    <cellStyle name="British Pound 2 2 2 8" xfId="16616"/>
    <cellStyle name="British Pound 2 2 2 9" xfId="16617"/>
    <cellStyle name="British Pound 2 2 3" xfId="16618"/>
    <cellStyle name="British Pound 2 2 3 10" xfId="16619"/>
    <cellStyle name="British Pound 2 2 3 11" xfId="16620"/>
    <cellStyle name="British Pound 2 2 3 12" xfId="16621"/>
    <cellStyle name="British Pound 2 2 3 13" xfId="16622"/>
    <cellStyle name="British Pound 2 2 3 14" xfId="16623"/>
    <cellStyle name="British Pound 2 2 3 15" xfId="16624"/>
    <cellStyle name="British Pound 2 2 3 16" xfId="16625"/>
    <cellStyle name="British Pound 2 2 3 2" xfId="16626"/>
    <cellStyle name="British Pound 2 2 3 2 2" xfId="16627"/>
    <cellStyle name="British Pound 2 2 3 2 3" xfId="16628"/>
    <cellStyle name="British Pound 2 2 3 2 4" xfId="16629"/>
    <cellStyle name="British Pound 2 2 3 2 5" xfId="16630"/>
    <cellStyle name="British Pound 2 2 3 2 6" xfId="16631"/>
    <cellStyle name="British Pound 2 2 3 2 7" xfId="16632"/>
    <cellStyle name="British Pound 2 2 3 2 8" xfId="16633"/>
    <cellStyle name="British Pound 2 2 3 3" xfId="16634"/>
    <cellStyle name="British Pound 2 2 3 3 2" xfId="16635"/>
    <cellStyle name="British Pound 2 2 3 3 3" xfId="16636"/>
    <cellStyle name="British Pound 2 2 3 3 4" xfId="16637"/>
    <cellStyle name="British Pound 2 2 3 3 5" xfId="16638"/>
    <cellStyle name="British Pound 2 2 3 3 6" xfId="16639"/>
    <cellStyle name="British Pound 2 2 3 3 7" xfId="16640"/>
    <cellStyle name="British Pound 2 2 3 3 8" xfId="16641"/>
    <cellStyle name="British Pound 2 2 3 4" xfId="16642"/>
    <cellStyle name="British Pound 2 2 3 5" xfId="16643"/>
    <cellStyle name="British Pound 2 2 3 6" xfId="16644"/>
    <cellStyle name="British Pound 2 2 3 7" xfId="16645"/>
    <cellStyle name="British Pound 2 2 3 8" xfId="16646"/>
    <cellStyle name="British Pound 2 2 3 9" xfId="16647"/>
    <cellStyle name="British Pound 2 2 4" xfId="16648"/>
    <cellStyle name="British Pound 2 2 4 2" xfId="16649"/>
    <cellStyle name="British Pound 2 2 4 2 2" xfId="16650"/>
    <cellStyle name="British Pound 2 2 4 2 2 2" xfId="16651"/>
    <cellStyle name="British Pound 2 2 4 2 2 3" xfId="16652"/>
    <cellStyle name="British Pound 2 2 4 2 2 4" xfId="16653"/>
    <cellStyle name="British Pound 2 2 4 2 2 5" xfId="16654"/>
    <cellStyle name="British Pound 2 2 4 2 2 6" xfId="16655"/>
    <cellStyle name="British Pound 2 2 4 2 2 7" xfId="16656"/>
    <cellStyle name="British Pound 2 2 4 2 2 8" xfId="16657"/>
    <cellStyle name="British Pound 2 2 4 2 3" xfId="16658"/>
    <cellStyle name="British Pound 2 2 4 2 4" xfId="16659"/>
    <cellStyle name="British Pound 2 2 4 2 5" xfId="16660"/>
    <cellStyle name="British Pound 2 2 4 2 6" xfId="16661"/>
    <cellStyle name="British Pound 2 2 4 2 7" xfId="16662"/>
    <cellStyle name="British Pound 2 2 4 2 8" xfId="16663"/>
    <cellStyle name="British Pound 2 2 4 2 9" xfId="16664"/>
    <cellStyle name="British Pound 2 2 4 3" xfId="16665"/>
    <cellStyle name="British Pound 2 2 4 4" xfId="16666"/>
    <cellStyle name="British Pound 2 2 4 5" xfId="16667"/>
    <cellStyle name="British Pound 2 2 4 6" xfId="16668"/>
    <cellStyle name="British Pound 2 2 4 7" xfId="16669"/>
    <cellStyle name="British Pound 2 2 4 8" xfId="16670"/>
    <cellStyle name="British Pound 2 2 4 9" xfId="16671"/>
    <cellStyle name="British Pound 2 2 5" xfId="16672"/>
    <cellStyle name="British Pound 2 2 6" xfId="16673"/>
    <cellStyle name="British Pound 2 2 7" xfId="16674"/>
    <cellStyle name="British Pound 2 2 7 2" xfId="16675"/>
    <cellStyle name="British Pound 2 2 7 3" xfId="16676"/>
    <cellStyle name="British Pound 2 2 7 4" xfId="16677"/>
    <cellStyle name="British Pound 2 2 7 5" xfId="16678"/>
    <cellStyle name="British Pound 2 2 7 6" xfId="16679"/>
    <cellStyle name="British Pound 2 2 7 7" xfId="16680"/>
    <cellStyle name="British Pound 2 2 7 8" xfId="16681"/>
    <cellStyle name="British Pound 2 2 8" xfId="16682"/>
    <cellStyle name="British Pound 2 2 9" xfId="16683"/>
    <cellStyle name="British Pound 2 3" xfId="16684"/>
    <cellStyle name="British Pound 2 3 10" xfId="16685"/>
    <cellStyle name="British Pound 2 3 11" xfId="16686"/>
    <cellStyle name="British Pound 2 3 12" xfId="16687"/>
    <cellStyle name="British Pound 2 3 13" xfId="16688"/>
    <cellStyle name="British Pound 2 3 14" xfId="16689"/>
    <cellStyle name="British Pound 2 3 15" xfId="16690"/>
    <cellStyle name="British Pound 2 3 16" xfId="16691"/>
    <cellStyle name="British Pound 2 3 2" xfId="16692"/>
    <cellStyle name="British Pound 2 3 2 2" xfId="16693"/>
    <cellStyle name="British Pound 2 3 2 3" xfId="16694"/>
    <cellStyle name="British Pound 2 3 2 4" xfId="16695"/>
    <cellStyle name="British Pound 2 3 2 5" xfId="16696"/>
    <cellStyle name="British Pound 2 3 2 6" xfId="16697"/>
    <cellStyle name="British Pound 2 3 2 7" xfId="16698"/>
    <cellStyle name="British Pound 2 3 2 8" xfId="16699"/>
    <cellStyle name="British Pound 2 3 3" xfId="16700"/>
    <cellStyle name="British Pound 2 3 3 2" xfId="16701"/>
    <cellStyle name="British Pound 2 3 3 3" xfId="16702"/>
    <cellStyle name="British Pound 2 3 3 4" xfId="16703"/>
    <cellStyle name="British Pound 2 3 3 5" xfId="16704"/>
    <cellStyle name="British Pound 2 3 3 6" xfId="16705"/>
    <cellStyle name="British Pound 2 3 3 7" xfId="16706"/>
    <cellStyle name="British Pound 2 3 3 8" xfId="16707"/>
    <cellStyle name="British Pound 2 3 4" xfId="16708"/>
    <cellStyle name="British Pound 2 3 5" xfId="16709"/>
    <cellStyle name="British Pound 2 3 6" xfId="16710"/>
    <cellStyle name="British Pound 2 3 7" xfId="16711"/>
    <cellStyle name="British Pound 2 3 8" xfId="16712"/>
    <cellStyle name="British Pound 2 3 9" xfId="16713"/>
    <cellStyle name="British Pound 2 4" xfId="16714"/>
    <cellStyle name="British Pound 2 4 2" xfId="16715"/>
    <cellStyle name="British Pound 2 4 3" xfId="16716"/>
    <cellStyle name="British Pound 2 4 4" xfId="16717"/>
    <cellStyle name="British Pound 2 4 5" xfId="16718"/>
    <cellStyle name="British Pound 2 4 6" xfId="16719"/>
    <cellStyle name="British Pound 2 4 7" xfId="16720"/>
    <cellStyle name="British Pound 2 4 8" xfId="16721"/>
    <cellStyle name="British Pound 2 4 9" xfId="16722"/>
    <cellStyle name="British Pound 2 5" xfId="16723"/>
    <cellStyle name="British Pound 2 5 2" xfId="16724"/>
    <cellStyle name="British Pound 2 5 3" xfId="16725"/>
    <cellStyle name="British Pound 2 5 4" xfId="16726"/>
    <cellStyle name="British Pound 2 5 5" xfId="16727"/>
    <cellStyle name="British Pound 2 5 6" xfId="16728"/>
    <cellStyle name="British Pound 2 5 7" xfId="16729"/>
    <cellStyle name="British Pound 2 5 8" xfId="16730"/>
    <cellStyle name="British Pound 2 5 9" xfId="16731"/>
    <cellStyle name="British Pound 2 6" xfId="16732"/>
    <cellStyle name="British Pound 2 6 2" xfId="16733"/>
    <cellStyle name="British Pound 2 6 3" xfId="16734"/>
    <cellStyle name="British Pound 2 6 4" xfId="16735"/>
    <cellStyle name="British Pound 2 6 5" xfId="16736"/>
    <cellStyle name="British Pound 2 6 6" xfId="16737"/>
    <cellStyle name="British Pound 2 6 7" xfId="16738"/>
    <cellStyle name="British Pound 2 6 8" xfId="16739"/>
    <cellStyle name="British Pound 2 6 9" xfId="16740"/>
    <cellStyle name="British Pound 2 7" xfId="16741"/>
    <cellStyle name="British Pound 2 7 2" xfId="16742"/>
    <cellStyle name="British Pound 2 7 3" xfId="16743"/>
    <cellStyle name="British Pound 2 7 4" xfId="16744"/>
    <cellStyle name="British Pound 2 7 5" xfId="16745"/>
    <cellStyle name="British Pound 2 7 6" xfId="16746"/>
    <cellStyle name="British Pound 2 7 7" xfId="16747"/>
    <cellStyle name="British Pound 2 7 8" xfId="16748"/>
    <cellStyle name="British Pound 2 7 9" xfId="16749"/>
    <cellStyle name="British Pound 2 8" xfId="16750"/>
    <cellStyle name="British Pound 2 8 2" xfId="16751"/>
    <cellStyle name="British Pound 2 8 3" xfId="16752"/>
    <cellStyle name="British Pound 2 8 4" xfId="16753"/>
    <cellStyle name="British Pound 2 8 5" xfId="16754"/>
    <cellStyle name="British Pound 2 8 6" xfId="16755"/>
    <cellStyle name="British Pound 2 8 7" xfId="16756"/>
    <cellStyle name="British Pound 2 8 8" xfId="16757"/>
    <cellStyle name="British Pound 2 8 9" xfId="16758"/>
    <cellStyle name="British Pound 2 9" xfId="16759"/>
    <cellStyle name="British Pound 2 9 2" xfId="16760"/>
    <cellStyle name="British Pound 2 9 2 2" xfId="16761"/>
    <cellStyle name="British Pound 2 9 2 2 2" xfId="16762"/>
    <cellStyle name="British Pound 2 9 2 2 3" xfId="16763"/>
    <cellStyle name="British Pound 2 9 2 2 4" xfId="16764"/>
    <cellStyle name="British Pound 2 9 2 2 5" xfId="16765"/>
    <cellStyle name="British Pound 2 9 2 2 6" xfId="16766"/>
    <cellStyle name="British Pound 2 9 2 2 7" xfId="16767"/>
    <cellStyle name="British Pound 2 9 2 2 8" xfId="16768"/>
    <cellStyle name="British Pound 2 9 2 3" xfId="16769"/>
    <cellStyle name="British Pound 2 9 2 4" xfId="16770"/>
    <cellStyle name="British Pound 2 9 2 5" xfId="16771"/>
    <cellStyle name="British Pound 2 9 2 6" xfId="16772"/>
    <cellStyle name="British Pound 2 9 2 7" xfId="16773"/>
    <cellStyle name="British Pound 2 9 2 8" xfId="16774"/>
    <cellStyle name="British Pound 2 9 2 9" xfId="16775"/>
    <cellStyle name="British Pound 2 9 3" xfId="16776"/>
    <cellStyle name="British Pound 2 9 4" xfId="16777"/>
    <cellStyle name="British Pound 2 9 5" xfId="16778"/>
    <cellStyle name="British Pound 2 9 6" xfId="16779"/>
    <cellStyle name="British Pound 2 9 7" xfId="16780"/>
    <cellStyle name="British Pound 2 9 8" xfId="16781"/>
    <cellStyle name="British Pound 2 9 9" xfId="16782"/>
    <cellStyle name="British Pound 20" xfId="16783"/>
    <cellStyle name="British Pound 20 2" xfId="16784"/>
    <cellStyle name="British Pound 20 3" xfId="16785"/>
    <cellStyle name="British Pound 20 4" xfId="16786"/>
    <cellStyle name="British Pound 20 5" xfId="16787"/>
    <cellStyle name="British Pound 20 6" xfId="16788"/>
    <cellStyle name="British Pound 20 7" xfId="16789"/>
    <cellStyle name="British Pound 20 8" xfId="16790"/>
    <cellStyle name="British Pound 20 9" xfId="16791"/>
    <cellStyle name="British Pound 21" xfId="16792"/>
    <cellStyle name="British Pound 21 2" xfId="16793"/>
    <cellStyle name="British Pound 21 3" xfId="16794"/>
    <cellStyle name="British Pound 21 4" xfId="16795"/>
    <cellStyle name="British Pound 21 5" xfId="16796"/>
    <cellStyle name="British Pound 21 6" xfId="16797"/>
    <cellStyle name="British Pound 21 7" xfId="16798"/>
    <cellStyle name="British Pound 21 8" xfId="16799"/>
    <cellStyle name="British Pound 21 9" xfId="16800"/>
    <cellStyle name="British Pound 22" xfId="16801"/>
    <cellStyle name="British Pound 22 2" xfId="16802"/>
    <cellStyle name="British Pound 22 3" xfId="16803"/>
    <cellStyle name="British Pound 22 4" xfId="16804"/>
    <cellStyle name="British Pound 22 5" xfId="16805"/>
    <cellStyle name="British Pound 22 6" xfId="16806"/>
    <cellStyle name="British Pound 22 7" xfId="16807"/>
    <cellStyle name="British Pound 22 8" xfId="16808"/>
    <cellStyle name="British Pound 22 9" xfId="16809"/>
    <cellStyle name="British Pound 23" xfId="16810"/>
    <cellStyle name="British Pound 24" xfId="16811"/>
    <cellStyle name="British Pound 25" xfId="16812"/>
    <cellStyle name="British Pound 26" xfId="16813"/>
    <cellStyle name="British Pound 27" xfId="16814"/>
    <cellStyle name="British Pound 28" xfId="16815"/>
    <cellStyle name="British Pound 29" xfId="16816"/>
    <cellStyle name="British Pound 3" xfId="16817"/>
    <cellStyle name="British Pound 3 2" xfId="16818"/>
    <cellStyle name="British Pound 3 2 2" xfId="16819"/>
    <cellStyle name="British Pound 3 2 2 2" xfId="16820"/>
    <cellStyle name="British Pound 3 2 2 2 2" xfId="16821"/>
    <cellStyle name="British Pound 3 2 2 2 2 2" xfId="16822"/>
    <cellStyle name="British Pound 3 2 2 2 2 3" xfId="16823"/>
    <cellStyle name="British Pound 3 2 2 2 2 4" xfId="16824"/>
    <cellStyle name="British Pound 3 2 2 2 2 5" xfId="16825"/>
    <cellStyle name="British Pound 3 2 2 2 2 6" xfId="16826"/>
    <cellStyle name="British Pound 3 2 2 2 2 7" xfId="16827"/>
    <cellStyle name="British Pound 3 2 2 2 2 8" xfId="16828"/>
    <cellStyle name="British Pound 3 2 2 2 3" xfId="16829"/>
    <cellStyle name="British Pound 3 2 2 2 4" xfId="16830"/>
    <cellStyle name="British Pound 3 2 2 2 5" xfId="16831"/>
    <cellStyle name="British Pound 3 2 2 2 6" xfId="16832"/>
    <cellStyle name="British Pound 3 2 2 2 7" xfId="16833"/>
    <cellStyle name="British Pound 3 2 2 2 8" xfId="16834"/>
    <cellStyle name="British Pound 3 2 2 2 9" xfId="16835"/>
    <cellStyle name="British Pound 3 2 2 3" xfId="16836"/>
    <cellStyle name="British Pound 3 2 2 4" xfId="16837"/>
    <cellStyle name="British Pound 3 2 2 5" xfId="16838"/>
    <cellStyle name="British Pound 3 2 2 6" xfId="16839"/>
    <cellStyle name="British Pound 3 2 2 7" xfId="16840"/>
    <cellStyle name="British Pound 3 2 2 8" xfId="16841"/>
    <cellStyle name="British Pound 3 2 2 9" xfId="16842"/>
    <cellStyle name="British Pound 3 2 3" xfId="16843"/>
    <cellStyle name="British Pound 3 2 4" xfId="16844"/>
    <cellStyle name="British Pound 3 2 5" xfId="16845"/>
    <cellStyle name="British Pound 3 2 6" xfId="16846"/>
    <cellStyle name="British Pound 3 2 7" xfId="16847"/>
    <cellStyle name="British Pound 3 2 8" xfId="16848"/>
    <cellStyle name="British Pound 3 2 9" xfId="16849"/>
    <cellStyle name="British Pound 3 3" xfId="16850"/>
    <cellStyle name="British Pound 3 4" xfId="16851"/>
    <cellStyle name="British Pound 3 5" xfId="16852"/>
    <cellStyle name="British Pound 3 6" xfId="16853"/>
    <cellStyle name="British Pound 3 6 2" xfId="16854"/>
    <cellStyle name="British Pound 3 6 3" xfId="16855"/>
    <cellStyle name="British Pound 3 6 4" xfId="16856"/>
    <cellStyle name="British Pound 3 6 5" xfId="16857"/>
    <cellStyle name="British Pound 3 6 6" xfId="16858"/>
    <cellStyle name="British Pound 3 6 7" xfId="16859"/>
    <cellStyle name="British Pound 3 6 8" xfId="16860"/>
    <cellStyle name="British Pound 3 7" xfId="16861"/>
    <cellStyle name="British Pound 3 8" xfId="16862"/>
    <cellStyle name="British Pound 3 9" xfId="16863"/>
    <cellStyle name="British Pound 30" xfId="16864"/>
    <cellStyle name="British Pound 31" xfId="16865"/>
    <cellStyle name="British Pound 32" xfId="16866"/>
    <cellStyle name="British Pound 33" xfId="16867"/>
    <cellStyle name="British Pound 34" xfId="16868"/>
    <cellStyle name="British Pound 35" xfId="16869"/>
    <cellStyle name="British Pound 36" xfId="16870"/>
    <cellStyle name="British Pound 37" xfId="16871"/>
    <cellStyle name="British Pound 4" xfId="16872"/>
    <cellStyle name="British Pound 4 2" xfId="16873"/>
    <cellStyle name="British Pound 4 3" xfId="16874"/>
    <cellStyle name="British Pound 4 4" xfId="16875"/>
    <cellStyle name="British Pound 4 5" xfId="16876"/>
    <cellStyle name="British Pound 4 6" xfId="16877"/>
    <cellStyle name="British Pound 4 7" xfId="16878"/>
    <cellStyle name="British Pound 4 8" xfId="16879"/>
    <cellStyle name="British Pound 4 9" xfId="16880"/>
    <cellStyle name="British Pound 5" xfId="16881"/>
    <cellStyle name="British Pound 5 2" xfId="16882"/>
    <cellStyle name="British Pound 5 3" xfId="16883"/>
    <cellStyle name="British Pound 5 4" xfId="16884"/>
    <cellStyle name="British Pound 5 5" xfId="16885"/>
    <cellStyle name="British Pound 5 6" xfId="16886"/>
    <cellStyle name="British Pound 5 7" xfId="16887"/>
    <cellStyle name="British Pound 5 8" xfId="16888"/>
    <cellStyle name="British Pound 5 9" xfId="16889"/>
    <cellStyle name="British Pound 6" xfId="16890"/>
    <cellStyle name="British Pound 6 2" xfId="16891"/>
    <cellStyle name="British Pound 6 3" xfId="16892"/>
    <cellStyle name="British Pound 6 4" xfId="16893"/>
    <cellStyle name="British Pound 6 5" xfId="16894"/>
    <cellStyle name="British Pound 6 6" xfId="16895"/>
    <cellStyle name="British Pound 6 7" xfId="16896"/>
    <cellStyle name="British Pound 6 8" xfId="16897"/>
    <cellStyle name="British Pound 6 9" xfId="16898"/>
    <cellStyle name="British Pound 7" xfId="16899"/>
    <cellStyle name="British Pound 7 2" xfId="16900"/>
    <cellStyle name="British Pound 7 3" xfId="16901"/>
    <cellStyle name="British Pound 7 4" xfId="16902"/>
    <cellStyle name="British Pound 7 5" xfId="16903"/>
    <cellStyle name="British Pound 7 6" xfId="16904"/>
    <cellStyle name="British Pound 7 7" xfId="16905"/>
    <cellStyle name="British Pound 7 8" xfId="16906"/>
    <cellStyle name="British Pound 7 9" xfId="16907"/>
    <cellStyle name="British Pound 8" xfId="16908"/>
    <cellStyle name="British Pound 8 10" xfId="16909"/>
    <cellStyle name="British Pound 8 11" xfId="16910"/>
    <cellStyle name="British Pound 8 12" xfId="16911"/>
    <cellStyle name="British Pound 8 13" xfId="16912"/>
    <cellStyle name="British Pound 8 14" xfId="16913"/>
    <cellStyle name="British Pound 8 15" xfId="16914"/>
    <cellStyle name="British Pound 8 16" xfId="16915"/>
    <cellStyle name="British Pound 8 2" xfId="16916"/>
    <cellStyle name="British Pound 8 2 2" xfId="16917"/>
    <cellStyle name="British Pound 8 2 3" xfId="16918"/>
    <cellStyle name="British Pound 8 2 4" xfId="16919"/>
    <cellStyle name="British Pound 8 2 5" xfId="16920"/>
    <cellStyle name="British Pound 8 2 6" xfId="16921"/>
    <cellStyle name="British Pound 8 2 7" xfId="16922"/>
    <cellStyle name="British Pound 8 2 8" xfId="16923"/>
    <cellStyle name="British Pound 8 3" xfId="16924"/>
    <cellStyle name="British Pound 8 3 2" xfId="16925"/>
    <cellStyle name="British Pound 8 3 3" xfId="16926"/>
    <cellStyle name="British Pound 8 3 4" xfId="16927"/>
    <cellStyle name="British Pound 8 3 5" xfId="16928"/>
    <cellStyle name="British Pound 8 3 6" xfId="16929"/>
    <cellStyle name="British Pound 8 3 7" xfId="16930"/>
    <cellStyle name="British Pound 8 3 8" xfId="16931"/>
    <cellStyle name="British Pound 8 4" xfId="16932"/>
    <cellStyle name="British Pound 8 5" xfId="16933"/>
    <cellStyle name="British Pound 8 6" xfId="16934"/>
    <cellStyle name="British Pound 8 7" xfId="16935"/>
    <cellStyle name="British Pound 8 8" xfId="16936"/>
    <cellStyle name="British Pound 8 9" xfId="16937"/>
    <cellStyle name="British Pound 9" xfId="16938"/>
    <cellStyle name="British Pound 9 2" xfId="16939"/>
    <cellStyle name="British Pound 9 3" xfId="16940"/>
    <cellStyle name="British Pound 9 4" xfId="16941"/>
    <cellStyle name="British Pound 9 5" xfId="16942"/>
    <cellStyle name="British Pound 9 6" xfId="16943"/>
    <cellStyle name="British Pound 9 7" xfId="16944"/>
    <cellStyle name="British Pound 9 8" xfId="16945"/>
    <cellStyle name="British Pound 9 9" xfId="16946"/>
    <cellStyle name="BrödText" xfId="16947"/>
    <cellStyle name="BrödText 2" xfId="16948"/>
    <cellStyle name="BrödText 2 2" xfId="16949"/>
    <cellStyle name="BrödText 3" xfId="16950"/>
    <cellStyle name="BrödText 4" xfId="16951"/>
    <cellStyle name="BrödText 5" xfId="16952"/>
    <cellStyle name="Buena" xfId="16953"/>
    <cellStyle name="Bullet" xfId="16954"/>
    <cellStyle name="Bullet 2" xfId="16955"/>
    <cellStyle name="CABEÇALHO" xfId="16956"/>
    <cellStyle name="Cadre" xfId="16957"/>
    <cellStyle name="Cadre 2" xfId="16958"/>
    <cellStyle name="Calc" xfId="16959"/>
    <cellStyle name="Calc # [0]" xfId="16960"/>
    <cellStyle name="Calc # [1]" xfId="16961"/>
    <cellStyle name="Calc # [2]" xfId="16962"/>
    <cellStyle name="Calc % [0]" xfId="16963"/>
    <cellStyle name="Calc % [1]" xfId="16964"/>
    <cellStyle name="Calc % [2]" xfId="16965"/>
    <cellStyle name="Calc 2" xfId="16966"/>
    <cellStyle name="Calc Currency (0)" xfId="16967"/>
    <cellStyle name="Calc Currency (0) 10" xfId="16968"/>
    <cellStyle name="Calc Currency (0) 10 10" xfId="16969"/>
    <cellStyle name="Calc Currency (0) 10 11" xfId="16970"/>
    <cellStyle name="Calc Currency (0) 10 2" xfId="16971"/>
    <cellStyle name="Calc Currency (0) 10 2 2" xfId="16972"/>
    <cellStyle name="Calc Currency (0) 10 2 3" xfId="16973"/>
    <cellStyle name="Calc Currency (0) 10 2 4" xfId="16974"/>
    <cellStyle name="Calc Currency (0) 10 2 5" xfId="16975"/>
    <cellStyle name="Calc Currency (0) 10 2 6" xfId="16976"/>
    <cellStyle name="Calc Currency (0) 10 2 7" xfId="16977"/>
    <cellStyle name="Calc Currency (0) 10 2 8" xfId="16978"/>
    <cellStyle name="Calc Currency (0) 10 2 9" xfId="16979"/>
    <cellStyle name="Calc Currency (0) 10 3" xfId="16980"/>
    <cellStyle name="Calc Currency (0) 10 3 2" xfId="16981"/>
    <cellStyle name="Calc Currency (0) 10 3 3" xfId="16982"/>
    <cellStyle name="Calc Currency (0) 10 3 4" xfId="16983"/>
    <cellStyle name="Calc Currency (0) 10 3 5" xfId="16984"/>
    <cellStyle name="Calc Currency (0) 10 3 6" xfId="16985"/>
    <cellStyle name="Calc Currency (0) 10 3 7" xfId="16986"/>
    <cellStyle name="Calc Currency (0) 10 3 8" xfId="16987"/>
    <cellStyle name="Calc Currency (0) 10 3 9" xfId="16988"/>
    <cellStyle name="Calc Currency (0) 10 4" xfId="16989"/>
    <cellStyle name="Calc Currency (0) 10 5" xfId="16990"/>
    <cellStyle name="Calc Currency (0) 10 6" xfId="16991"/>
    <cellStyle name="Calc Currency (0) 10 7" xfId="16992"/>
    <cellStyle name="Calc Currency (0) 10 8" xfId="16993"/>
    <cellStyle name="Calc Currency (0) 10 9" xfId="16994"/>
    <cellStyle name="Calc Currency (0) 11" xfId="16995"/>
    <cellStyle name="Calc Currency (0) 11 2" xfId="16996"/>
    <cellStyle name="Calc Currency (0) 11 3" xfId="16997"/>
    <cellStyle name="Calc Currency (0) 11 4" xfId="16998"/>
    <cellStyle name="Calc Currency (0) 11 5" xfId="16999"/>
    <cellStyle name="Calc Currency (0) 11 6" xfId="17000"/>
    <cellStyle name="Calc Currency (0) 11 7" xfId="17001"/>
    <cellStyle name="Calc Currency (0) 11 8" xfId="17002"/>
    <cellStyle name="Calc Currency (0) 11 9" xfId="17003"/>
    <cellStyle name="Calc Currency (0) 12" xfId="17004"/>
    <cellStyle name="Calc Currency (0) 12 2" xfId="17005"/>
    <cellStyle name="Calc Currency (0) 12 3" xfId="17006"/>
    <cellStyle name="Calc Currency (0) 12 4" xfId="17007"/>
    <cellStyle name="Calc Currency (0) 12 5" xfId="17008"/>
    <cellStyle name="Calc Currency (0) 12 6" xfId="17009"/>
    <cellStyle name="Calc Currency (0) 12 7" xfId="17010"/>
    <cellStyle name="Calc Currency (0) 12 8" xfId="17011"/>
    <cellStyle name="Calc Currency (0) 12 9" xfId="17012"/>
    <cellStyle name="Calc Currency (0) 13" xfId="17013"/>
    <cellStyle name="Calc Currency (0) 13 10" xfId="17014"/>
    <cellStyle name="Calc Currency (0) 13 11" xfId="17015"/>
    <cellStyle name="Calc Currency (0) 13 12" xfId="17016"/>
    <cellStyle name="Calc Currency (0) 13 13" xfId="17017"/>
    <cellStyle name="Calc Currency (0) 13 14" xfId="17018"/>
    <cellStyle name="Calc Currency (0) 13 15" xfId="17019"/>
    <cellStyle name="Calc Currency (0) 13 16" xfId="17020"/>
    <cellStyle name="Calc Currency (0) 13 2" xfId="17021"/>
    <cellStyle name="Calc Currency (0) 13 3" xfId="17022"/>
    <cellStyle name="Calc Currency (0) 13 4" xfId="17023"/>
    <cellStyle name="Calc Currency (0) 13 5" xfId="17024"/>
    <cellStyle name="Calc Currency (0) 13 6" xfId="17025"/>
    <cellStyle name="Calc Currency (0) 13 7" xfId="17026"/>
    <cellStyle name="Calc Currency (0) 13 8" xfId="17027"/>
    <cellStyle name="Calc Currency (0) 13 9" xfId="17028"/>
    <cellStyle name="Calc Currency (0) 14" xfId="17029"/>
    <cellStyle name="Calc Currency (0) 14 10" xfId="17030"/>
    <cellStyle name="Calc Currency (0) 14 11" xfId="17031"/>
    <cellStyle name="Calc Currency (0) 14 12" xfId="17032"/>
    <cellStyle name="Calc Currency (0) 14 13" xfId="17033"/>
    <cellStyle name="Calc Currency (0) 14 14" xfId="17034"/>
    <cellStyle name="Calc Currency (0) 14 15" xfId="17035"/>
    <cellStyle name="Calc Currency (0) 14 16" xfId="17036"/>
    <cellStyle name="Calc Currency (0) 14 2" xfId="17037"/>
    <cellStyle name="Calc Currency (0) 14 3" xfId="17038"/>
    <cellStyle name="Calc Currency (0) 14 4" xfId="17039"/>
    <cellStyle name="Calc Currency (0) 14 5" xfId="17040"/>
    <cellStyle name="Calc Currency (0) 14 6" xfId="17041"/>
    <cellStyle name="Calc Currency (0) 14 7" xfId="17042"/>
    <cellStyle name="Calc Currency (0) 14 8" xfId="17043"/>
    <cellStyle name="Calc Currency (0) 14 9" xfId="17044"/>
    <cellStyle name="Calc Currency (0) 15" xfId="17045"/>
    <cellStyle name="Calc Currency (0) 15 10" xfId="17046"/>
    <cellStyle name="Calc Currency (0) 15 11" xfId="17047"/>
    <cellStyle name="Calc Currency (0) 15 12" xfId="17048"/>
    <cellStyle name="Calc Currency (0) 15 13" xfId="17049"/>
    <cellStyle name="Calc Currency (0) 15 14" xfId="17050"/>
    <cellStyle name="Calc Currency (0) 15 15" xfId="17051"/>
    <cellStyle name="Calc Currency (0) 15 16" xfId="17052"/>
    <cellStyle name="Calc Currency (0) 15 2" xfId="17053"/>
    <cellStyle name="Calc Currency (0) 15 3" xfId="17054"/>
    <cellStyle name="Calc Currency (0) 15 4" xfId="17055"/>
    <cellStyle name="Calc Currency (0) 15 5" xfId="17056"/>
    <cellStyle name="Calc Currency (0) 15 6" xfId="17057"/>
    <cellStyle name="Calc Currency (0) 15 7" xfId="17058"/>
    <cellStyle name="Calc Currency (0) 15 8" xfId="17059"/>
    <cellStyle name="Calc Currency (0) 15 9" xfId="17060"/>
    <cellStyle name="Calc Currency (0) 16" xfId="17061"/>
    <cellStyle name="Calc Currency (0) 16 2" xfId="17062"/>
    <cellStyle name="Calc Currency (0) 16 3" xfId="17063"/>
    <cellStyle name="Calc Currency (0) 16 4" xfId="17064"/>
    <cellStyle name="Calc Currency (0) 16 5" xfId="17065"/>
    <cellStyle name="Calc Currency (0) 16 6" xfId="17066"/>
    <cellStyle name="Calc Currency (0) 16 7" xfId="17067"/>
    <cellStyle name="Calc Currency (0) 16 8" xfId="17068"/>
    <cellStyle name="Calc Currency (0) 16 9" xfId="17069"/>
    <cellStyle name="Calc Currency (0) 17" xfId="17070"/>
    <cellStyle name="Calc Currency (0) 17 2" xfId="17071"/>
    <cellStyle name="Calc Currency (0) 17 3" xfId="17072"/>
    <cellStyle name="Calc Currency (0) 17 4" xfId="17073"/>
    <cellStyle name="Calc Currency (0) 17 5" xfId="17074"/>
    <cellStyle name="Calc Currency (0) 17 6" xfId="17075"/>
    <cellStyle name="Calc Currency (0) 17 7" xfId="17076"/>
    <cellStyle name="Calc Currency (0) 17 8" xfId="17077"/>
    <cellStyle name="Calc Currency (0) 17 9" xfId="17078"/>
    <cellStyle name="Calc Currency (0) 18" xfId="17079"/>
    <cellStyle name="Calc Currency (0) 18 2" xfId="17080"/>
    <cellStyle name="Calc Currency (0) 18 3" xfId="17081"/>
    <cellStyle name="Calc Currency (0) 18 4" xfId="17082"/>
    <cellStyle name="Calc Currency (0) 18 5" xfId="17083"/>
    <cellStyle name="Calc Currency (0) 18 6" xfId="17084"/>
    <cellStyle name="Calc Currency (0) 18 7" xfId="17085"/>
    <cellStyle name="Calc Currency (0) 18 8" xfId="17086"/>
    <cellStyle name="Calc Currency (0) 18 9" xfId="17087"/>
    <cellStyle name="Calc Currency (0) 19" xfId="17088"/>
    <cellStyle name="Calc Currency (0) 19 2" xfId="17089"/>
    <cellStyle name="Calc Currency (0) 19 3" xfId="17090"/>
    <cellStyle name="Calc Currency (0) 19 4" xfId="17091"/>
    <cellStyle name="Calc Currency (0) 19 5" xfId="17092"/>
    <cellStyle name="Calc Currency (0) 19 6" xfId="17093"/>
    <cellStyle name="Calc Currency (0) 19 7" xfId="17094"/>
    <cellStyle name="Calc Currency (0) 19 8" xfId="17095"/>
    <cellStyle name="Calc Currency (0) 19 9" xfId="17096"/>
    <cellStyle name="Calc Currency (0) 2" xfId="17097"/>
    <cellStyle name="Calc Currency (0) 2 10" xfId="17098"/>
    <cellStyle name="Calc Currency (0) 2 10 2" xfId="17099"/>
    <cellStyle name="Calc Currency (0) 2 10 3" xfId="17100"/>
    <cellStyle name="Calc Currency (0) 2 11" xfId="17101"/>
    <cellStyle name="Calc Currency (0) 2 11 2" xfId="17102"/>
    <cellStyle name="Calc Currency (0) 2 11 2 2" xfId="17103"/>
    <cellStyle name="Calc Currency (0) 2 11 2 3" xfId="17104"/>
    <cellStyle name="Calc Currency (0) 2 11 3" xfId="17105"/>
    <cellStyle name="Calc Currency (0) 2 12" xfId="17106"/>
    <cellStyle name="Calc Currency (0) 2 13" xfId="17107"/>
    <cellStyle name="Calc Currency (0) 2 14" xfId="17108"/>
    <cellStyle name="Calc Currency (0) 2 2" xfId="17109"/>
    <cellStyle name="Calc Currency (0) 2 2 10" xfId="17110"/>
    <cellStyle name="Calc Currency (0) 2 2 11" xfId="17111"/>
    <cellStyle name="Calc Currency (0) 2 2 12" xfId="17112"/>
    <cellStyle name="Calc Currency (0) 2 2 13" xfId="17113"/>
    <cellStyle name="Calc Currency (0) 2 2 14" xfId="17114"/>
    <cellStyle name="Calc Currency (0) 2 2 15" xfId="17115"/>
    <cellStyle name="Calc Currency (0) 2 2 16" xfId="17116"/>
    <cellStyle name="Calc Currency (0) 2 2 17" xfId="17117"/>
    <cellStyle name="Calc Currency (0) 2 2 18" xfId="17118"/>
    <cellStyle name="Calc Currency (0) 2 2 2" xfId="17119"/>
    <cellStyle name="Calc Currency (0) 2 2 2 2" xfId="17120"/>
    <cellStyle name="Calc Currency (0) 2 2 2 2 2" xfId="17121"/>
    <cellStyle name="Calc Currency (0) 2 2 2 2 3" xfId="17122"/>
    <cellStyle name="Calc Currency (0) 2 2 2 2 4" xfId="17123"/>
    <cellStyle name="Calc Currency (0) 2 2 2 2 5" xfId="17124"/>
    <cellStyle name="Calc Currency (0) 2 2 2 2 6" xfId="17125"/>
    <cellStyle name="Calc Currency (0) 2 2 2 2 7" xfId="17126"/>
    <cellStyle name="Calc Currency (0) 2 2 2 2 8" xfId="17127"/>
    <cellStyle name="Calc Currency (0) 2 2 2 3" xfId="17128"/>
    <cellStyle name="Calc Currency (0) 2 2 2 4" xfId="17129"/>
    <cellStyle name="Calc Currency (0) 2 2 2 5" xfId="17130"/>
    <cellStyle name="Calc Currency (0) 2 2 2 6" xfId="17131"/>
    <cellStyle name="Calc Currency (0) 2 2 2 7" xfId="17132"/>
    <cellStyle name="Calc Currency (0) 2 2 2 8" xfId="17133"/>
    <cellStyle name="Calc Currency (0) 2 2 2 9" xfId="17134"/>
    <cellStyle name="Calc Currency (0) 2 2 3" xfId="17135"/>
    <cellStyle name="Calc Currency (0) 2 2 3 2" xfId="17136"/>
    <cellStyle name="Calc Currency (0) 2 2 3 3" xfId="17137"/>
    <cellStyle name="Calc Currency (0) 2 2 3 4" xfId="17138"/>
    <cellStyle name="Calc Currency (0) 2 2 3 5" xfId="17139"/>
    <cellStyle name="Calc Currency (0) 2 2 3 6" xfId="17140"/>
    <cellStyle name="Calc Currency (0) 2 2 3 7" xfId="17141"/>
    <cellStyle name="Calc Currency (0) 2 2 3 8" xfId="17142"/>
    <cellStyle name="Calc Currency (0) 2 2 3 9" xfId="17143"/>
    <cellStyle name="Calc Currency (0) 2 2 4" xfId="17144"/>
    <cellStyle name="Calc Currency (0) 2 2 5" xfId="17145"/>
    <cellStyle name="Calc Currency (0) 2 2 6" xfId="17146"/>
    <cellStyle name="Calc Currency (0) 2 2 7" xfId="17147"/>
    <cellStyle name="Calc Currency (0) 2 2 8" xfId="17148"/>
    <cellStyle name="Calc Currency (0) 2 2 9" xfId="17149"/>
    <cellStyle name="Calc Currency (0) 2 3" xfId="17150"/>
    <cellStyle name="Calc Currency (0) 2 3 10" xfId="17151"/>
    <cellStyle name="Calc Currency (0) 2 3 11" xfId="17152"/>
    <cellStyle name="Calc Currency (0) 2 3 12" xfId="17153"/>
    <cellStyle name="Calc Currency (0) 2 3 13" xfId="17154"/>
    <cellStyle name="Calc Currency (0) 2 3 14" xfId="17155"/>
    <cellStyle name="Calc Currency (0) 2 3 15" xfId="17156"/>
    <cellStyle name="Calc Currency (0) 2 3 16" xfId="17157"/>
    <cellStyle name="Calc Currency (0) 2 3 2" xfId="17158"/>
    <cellStyle name="Calc Currency (0) 2 3 2 2" xfId="17159"/>
    <cellStyle name="Calc Currency (0) 2 3 2 2 2" xfId="17160"/>
    <cellStyle name="Calc Currency (0) 2 3 2 2 2 2" xfId="17161"/>
    <cellStyle name="Calc Currency (0) 2 3 2 2 2 2 2" xfId="17162"/>
    <cellStyle name="Calc Currency (0) 2 3 2 2 2 2 3" xfId="17163"/>
    <cellStyle name="Calc Currency (0) 2 3 2 2 2 2 4" xfId="17164"/>
    <cellStyle name="Calc Currency (0) 2 3 2 2 2 2 5" xfId="17165"/>
    <cellStyle name="Calc Currency (0) 2 3 2 2 2 2 6" xfId="17166"/>
    <cellStyle name="Calc Currency (0) 2 3 2 2 2 2 7" xfId="17167"/>
    <cellStyle name="Calc Currency (0) 2 3 2 2 2 2 8" xfId="17168"/>
    <cellStyle name="Calc Currency (0) 2 3 2 2 2 3" xfId="17169"/>
    <cellStyle name="Calc Currency (0) 2 3 2 2 2 4" xfId="17170"/>
    <cellStyle name="Calc Currency (0) 2 3 2 2 2 5" xfId="17171"/>
    <cellStyle name="Calc Currency (0) 2 3 2 2 2 6" xfId="17172"/>
    <cellStyle name="Calc Currency (0) 2 3 2 2 2 7" xfId="17173"/>
    <cellStyle name="Calc Currency (0) 2 3 2 2 2 8" xfId="17174"/>
    <cellStyle name="Calc Currency (0) 2 3 2 2 2 9" xfId="17175"/>
    <cellStyle name="Calc Currency (0) 2 3 2 2 3" xfId="17176"/>
    <cellStyle name="Calc Currency (0) 2 3 2 2 4" xfId="17177"/>
    <cellStyle name="Calc Currency (0) 2 3 2 2 5" xfId="17178"/>
    <cellStyle name="Calc Currency (0) 2 3 2 2 6" xfId="17179"/>
    <cellStyle name="Calc Currency (0) 2 3 2 2 7" xfId="17180"/>
    <cellStyle name="Calc Currency (0) 2 3 2 2 8" xfId="17181"/>
    <cellStyle name="Calc Currency (0) 2 3 2 2 9" xfId="17182"/>
    <cellStyle name="Calc Currency (0) 2 3 2 3" xfId="17183"/>
    <cellStyle name="Calc Currency (0) 2 3 2 4" xfId="17184"/>
    <cellStyle name="Calc Currency (0) 2 3 2 5" xfId="17185"/>
    <cellStyle name="Calc Currency (0) 2 3 2 6" xfId="17186"/>
    <cellStyle name="Calc Currency (0) 2 3 2 7" xfId="17187"/>
    <cellStyle name="Calc Currency (0) 2 3 2 8" xfId="17188"/>
    <cellStyle name="Calc Currency (0) 2 3 2 9" xfId="17189"/>
    <cellStyle name="Calc Currency (0) 2 3 3" xfId="17190"/>
    <cellStyle name="Calc Currency (0) 2 3 3 2" xfId="17191"/>
    <cellStyle name="Calc Currency (0) 2 3 3 3" xfId="17192"/>
    <cellStyle name="Calc Currency (0) 2 3 3 4" xfId="17193"/>
    <cellStyle name="Calc Currency (0) 2 3 3 5" xfId="17194"/>
    <cellStyle name="Calc Currency (0) 2 3 3 6" xfId="17195"/>
    <cellStyle name="Calc Currency (0) 2 3 3 7" xfId="17196"/>
    <cellStyle name="Calc Currency (0) 2 3 3 8" xfId="17197"/>
    <cellStyle name="Calc Currency (0) 2 3 4" xfId="17198"/>
    <cellStyle name="Calc Currency (0) 2 3 4 2" xfId="17199"/>
    <cellStyle name="Calc Currency (0) 2 3 4 3" xfId="17200"/>
    <cellStyle name="Calc Currency (0) 2 3 4 4" xfId="17201"/>
    <cellStyle name="Calc Currency (0) 2 3 4 5" xfId="17202"/>
    <cellStyle name="Calc Currency (0) 2 3 4 6" xfId="17203"/>
    <cellStyle name="Calc Currency (0) 2 3 4 7" xfId="17204"/>
    <cellStyle name="Calc Currency (0) 2 3 4 8" xfId="17205"/>
    <cellStyle name="Calc Currency (0) 2 3 5" xfId="17206"/>
    <cellStyle name="Calc Currency (0) 2 3 5 2" xfId="17207"/>
    <cellStyle name="Calc Currency (0) 2 3 5 3" xfId="17208"/>
    <cellStyle name="Calc Currency (0) 2 3 5 4" xfId="17209"/>
    <cellStyle name="Calc Currency (0) 2 3 5 5" xfId="17210"/>
    <cellStyle name="Calc Currency (0) 2 3 5 6" xfId="17211"/>
    <cellStyle name="Calc Currency (0) 2 3 5 7" xfId="17212"/>
    <cellStyle name="Calc Currency (0) 2 3 5 8" xfId="17213"/>
    <cellStyle name="Calc Currency (0) 2 3 6" xfId="17214"/>
    <cellStyle name="Calc Currency (0) 2 3 6 2" xfId="17215"/>
    <cellStyle name="Calc Currency (0) 2 3 6 3" xfId="17216"/>
    <cellStyle name="Calc Currency (0) 2 3 6 4" xfId="17217"/>
    <cellStyle name="Calc Currency (0) 2 3 6 5" xfId="17218"/>
    <cellStyle name="Calc Currency (0) 2 3 6 6" xfId="17219"/>
    <cellStyle name="Calc Currency (0) 2 3 6 7" xfId="17220"/>
    <cellStyle name="Calc Currency (0) 2 3 6 8" xfId="17221"/>
    <cellStyle name="Calc Currency (0) 2 3 7" xfId="17222"/>
    <cellStyle name="Calc Currency (0) 2 3 8" xfId="17223"/>
    <cellStyle name="Calc Currency (0) 2 3 9" xfId="17224"/>
    <cellStyle name="Calc Currency (0) 2 4" xfId="17225"/>
    <cellStyle name="Calc Currency (0) 2 4 2" xfId="17226"/>
    <cellStyle name="Calc Currency (0) 2 4 3" xfId="17227"/>
    <cellStyle name="Calc Currency (0) 2 5" xfId="17228"/>
    <cellStyle name="Calc Currency (0) 2 5 2" xfId="17229"/>
    <cellStyle name="Calc Currency (0) 2 5 3" xfId="17230"/>
    <cellStyle name="Calc Currency (0) 2 6" xfId="17231"/>
    <cellStyle name="Calc Currency (0) 2 6 2" xfId="17232"/>
    <cellStyle name="Calc Currency (0) 2 6 3" xfId="17233"/>
    <cellStyle name="Calc Currency (0) 2 7" xfId="17234"/>
    <cellStyle name="Calc Currency (0) 2 7 2" xfId="17235"/>
    <cellStyle name="Calc Currency (0) 2 7 3" xfId="17236"/>
    <cellStyle name="Calc Currency (0) 2 8" xfId="17237"/>
    <cellStyle name="Calc Currency (0) 2 8 2" xfId="17238"/>
    <cellStyle name="Calc Currency (0) 2 8 3" xfId="17239"/>
    <cellStyle name="Calc Currency (0) 2 9" xfId="17240"/>
    <cellStyle name="Calc Currency (0) 2 9 2" xfId="17241"/>
    <cellStyle name="Calc Currency (0) 2 9 3" xfId="17242"/>
    <cellStyle name="Calc Currency (0) 2_You Plus DCF Workpapers" xfId="17243"/>
    <cellStyle name="Calc Currency (0) 20" xfId="17244"/>
    <cellStyle name="Calc Currency (0) 20 2" xfId="17245"/>
    <cellStyle name="Calc Currency (0) 20 3" xfId="17246"/>
    <cellStyle name="Calc Currency (0) 20 4" xfId="17247"/>
    <cellStyle name="Calc Currency (0) 20 5" xfId="17248"/>
    <cellStyle name="Calc Currency (0) 20 6" xfId="17249"/>
    <cellStyle name="Calc Currency (0) 20 7" xfId="17250"/>
    <cellStyle name="Calc Currency (0) 20 8" xfId="17251"/>
    <cellStyle name="Calc Currency (0) 20 9" xfId="17252"/>
    <cellStyle name="Calc Currency (0) 21" xfId="17253"/>
    <cellStyle name="Calc Currency (0) 21 2" xfId="17254"/>
    <cellStyle name="Calc Currency (0) 21 3" xfId="17255"/>
    <cellStyle name="Calc Currency (0) 21 4" xfId="17256"/>
    <cellStyle name="Calc Currency (0) 21 5" xfId="17257"/>
    <cellStyle name="Calc Currency (0) 21 6" xfId="17258"/>
    <cellStyle name="Calc Currency (0) 21 7" xfId="17259"/>
    <cellStyle name="Calc Currency (0) 21 8" xfId="17260"/>
    <cellStyle name="Calc Currency (0) 21 9" xfId="17261"/>
    <cellStyle name="Calc Currency (0) 22" xfId="17262"/>
    <cellStyle name="Calc Currency (0) 22 2" xfId="17263"/>
    <cellStyle name="Calc Currency (0) 22 3" xfId="17264"/>
    <cellStyle name="Calc Currency (0) 22 4" xfId="17265"/>
    <cellStyle name="Calc Currency (0) 22 5" xfId="17266"/>
    <cellStyle name="Calc Currency (0) 22 6" xfId="17267"/>
    <cellStyle name="Calc Currency (0) 22 7" xfId="17268"/>
    <cellStyle name="Calc Currency (0) 22 8" xfId="17269"/>
    <cellStyle name="Calc Currency (0) 22 9" xfId="17270"/>
    <cellStyle name="Calc Currency (0) 23" xfId="17271"/>
    <cellStyle name="Calc Currency (0) 24" xfId="17272"/>
    <cellStyle name="Calc Currency (0) 25" xfId="17273"/>
    <cellStyle name="Calc Currency (0) 26" xfId="17274"/>
    <cellStyle name="Calc Currency (0) 27" xfId="17275"/>
    <cellStyle name="Calc Currency (0) 28" xfId="17276"/>
    <cellStyle name="Calc Currency (0) 29" xfId="17277"/>
    <cellStyle name="Calc Currency (0) 3" xfId="17278"/>
    <cellStyle name="Calc Currency (0) 3 10" xfId="17279"/>
    <cellStyle name="Calc Currency (0) 3 11" xfId="17280"/>
    <cellStyle name="Calc Currency (0) 3 2" xfId="17281"/>
    <cellStyle name="Calc Currency (0) 3 2 10" xfId="17282"/>
    <cellStyle name="Calc Currency (0) 3 2 11" xfId="17283"/>
    <cellStyle name="Calc Currency (0) 3 2 12" xfId="17284"/>
    <cellStyle name="Calc Currency (0) 3 2 13" xfId="17285"/>
    <cellStyle name="Calc Currency (0) 3 2 14" xfId="17286"/>
    <cellStyle name="Calc Currency (0) 3 2 15" xfId="17287"/>
    <cellStyle name="Calc Currency (0) 3 2 16" xfId="17288"/>
    <cellStyle name="Calc Currency (0) 3 2 2" xfId="17289"/>
    <cellStyle name="Calc Currency (0) 3 2 2 2" xfId="17290"/>
    <cellStyle name="Calc Currency (0) 3 2 2 3" xfId="17291"/>
    <cellStyle name="Calc Currency (0) 3 2 3" xfId="17292"/>
    <cellStyle name="Calc Currency (0) 3 2 3 2" xfId="17293"/>
    <cellStyle name="Calc Currency (0) 3 2 3 3" xfId="17294"/>
    <cellStyle name="Calc Currency (0) 3 2 3 4" xfId="17295"/>
    <cellStyle name="Calc Currency (0) 3 2 3 5" xfId="17296"/>
    <cellStyle name="Calc Currency (0) 3 2 3 6" xfId="17297"/>
    <cellStyle name="Calc Currency (0) 3 2 3 7" xfId="17298"/>
    <cellStyle name="Calc Currency (0) 3 2 3 8" xfId="17299"/>
    <cellStyle name="Calc Currency (0) 3 2 4" xfId="17300"/>
    <cellStyle name="Calc Currency (0) 3 2 5" xfId="17301"/>
    <cellStyle name="Calc Currency (0) 3 2 6" xfId="17302"/>
    <cellStyle name="Calc Currency (0) 3 2 7" xfId="17303"/>
    <cellStyle name="Calc Currency (0) 3 2 8" xfId="17304"/>
    <cellStyle name="Calc Currency (0) 3 2 9" xfId="17305"/>
    <cellStyle name="Calc Currency (0) 3 3" xfId="17306"/>
    <cellStyle name="Calc Currency (0) 3 3 2" xfId="17307"/>
    <cellStyle name="Calc Currency (0) 3 3 2 2" xfId="17308"/>
    <cellStyle name="Calc Currency (0) 3 3 2 2 2" xfId="17309"/>
    <cellStyle name="Calc Currency (0) 3 3 2 2 2 2" xfId="17310"/>
    <cellStyle name="Calc Currency (0) 3 3 2 2 2 3" xfId="17311"/>
    <cellStyle name="Calc Currency (0) 3 3 2 2 2 4" xfId="17312"/>
    <cellStyle name="Calc Currency (0) 3 3 2 2 2 5" xfId="17313"/>
    <cellStyle name="Calc Currency (0) 3 3 2 2 2 6" xfId="17314"/>
    <cellStyle name="Calc Currency (0) 3 3 2 2 2 7" xfId="17315"/>
    <cellStyle name="Calc Currency (0) 3 3 2 2 2 8" xfId="17316"/>
    <cellStyle name="Calc Currency (0) 3 3 2 2 3" xfId="17317"/>
    <cellStyle name="Calc Currency (0) 3 3 2 2 4" xfId="17318"/>
    <cellStyle name="Calc Currency (0) 3 3 2 2 5" xfId="17319"/>
    <cellStyle name="Calc Currency (0) 3 3 2 2 6" xfId="17320"/>
    <cellStyle name="Calc Currency (0) 3 3 2 2 7" xfId="17321"/>
    <cellStyle name="Calc Currency (0) 3 3 2 2 8" xfId="17322"/>
    <cellStyle name="Calc Currency (0) 3 3 2 2 9" xfId="17323"/>
    <cellStyle name="Calc Currency (0) 3 3 2 3" xfId="17324"/>
    <cellStyle name="Calc Currency (0) 3 3 2 4" xfId="17325"/>
    <cellStyle name="Calc Currency (0) 3 3 2 5" xfId="17326"/>
    <cellStyle name="Calc Currency (0) 3 3 2 6" xfId="17327"/>
    <cellStyle name="Calc Currency (0) 3 3 2 7" xfId="17328"/>
    <cellStyle name="Calc Currency (0) 3 3 2 8" xfId="17329"/>
    <cellStyle name="Calc Currency (0) 3 3 2 9" xfId="17330"/>
    <cellStyle name="Calc Currency (0) 3 3 3" xfId="17331"/>
    <cellStyle name="Calc Currency (0) 3 3 3 2" xfId="17332"/>
    <cellStyle name="Calc Currency (0) 3 3 3 3" xfId="17333"/>
    <cellStyle name="Calc Currency (0) 3 3 3 4" xfId="17334"/>
    <cellStyle name="Calc Currency (0) 3 3 3 5" xfId="17335"/>
    <cellStyle name="Calc Currency (0) 3 3 3 6" xfId="17336"/>
    <cellStyle name="Calc Currency (0) 3 3 3 7" xfId="17337"/>
    <cellStyle name="Calc Currency (0) 3 3 3 8" xfId="17338"/>
    <cellStyle name="Calc Currency (0) 3 3 4" xfId="17339"/>
    <cellStyle name="Calc Currency (0) 3 3 5" xfId="17340"/>
    <cellStyle name="Calc Currency (0) 3 3 6" xfId="17341"/>
    <cellStyle name="Calc Currency (0) 3 3 7" xfId="17342"/>
    <cellStyle name="Calc Currency (0) 3 3 8" xfId="17343"/>
    <cellStyle name="Calc Currency (0) 3 3 9" xfId="17344"/>
    <cellStyle name="Calc Currency (0) 3 4" xfId="17345"/>
    <cellStyle name="Calc Currency (0) 3 4 2" xfId="17346"/>
    <cellStyle name="Calc Currency (0) 3 4 3" xfId="17347"/>
    <cellStyle name="Calc Currency (0) 3 4 4" xfId="17348"/>
    <cellStyle name="Calc Currency (0) 3 4 5" xfId="17349"/>
    <cellStyle name="Calc Currency (0) 3 4 6" xfId="17350"/>
    <cellStyle name="Calc Currency (0) 3 4 7" xfId="17351"/>
    <cellStyle name="Calc Currency (0) 3 4 8" xfId="17352"/>
    <cellStyle name="Calc Currency (0) 3 5" xfId="17353"/>
    <cellStyle name="Calc Currency (0) 3 6" xfId="17354"/>
    <cellStyle name="Calc Currency (0) 3 7" xfId="17355"/>
    <cellStyle name="Calc Currency (0) 3 8" xfId="17356"/>
    <cellStyle name="Calc Currency (0) 3 9" xfId="17357"/>
    <cellStyle name="Calc Currency (0) 30" xfId="17358"/>
    <cellStyle name="Calc Currency (0) 31" xfId="17359"/>
    <cellStyle name="Calc Currency (0) 32" xfId="17360"/>
    <cellStyle name="Calc Currency (0) 33" xfId="17361"/>
    <cellStyle name="Calc Currency (0) 34" xfId="17362"/>
    <cellStyle name="Calc Currency (0) 35" xfId="17363"/>
    <cellStyle name="Calc Currency (0) 36" xfId="17364"/>
    <cellStyle name="Calc Currency (0) 4" xfId="17365"/>
    <cellStyle name="Calc Currency (0) 4 10" xfId="17366"/>
    <cellStyle name="Calc Currency (0) 4 11" xfId="17367"/>
    <cellStyle name="Calc Currency (0) 4 2" xfId="17368"/>
    <cellStyle name="Calc Currency (0) 4 2 2" xfId="17369"/>
    <cellStyle name="Calc Currency (0) 4 2 3" xfId="17370"/>
    <cellStyle name="Calc Currency (0) 4 2 4" xfId="17371"/>
    <cellStyle name="Calc Currency (0) 4 2 5" xfId="17372"/>
    <cellStyle name="Calc Currency (0) 4 2 6" xfId="17373"/>
    <cellStyle name="Calc Currency (0) 4 2 7" xfId="17374"/>
    <cellStyle name="Calc Currency (0) 4 2 8" xfId="17375"/>
    <cellStyle name="Calc Currency (0) 4 2 9" xfId="17376"/>
    <cellStyle name="Calc Currency (0) 4 3" xfId="17377"/>
    <cellStyle name="Calc Currency (0) 4 3 2" xfId="17378"/>
    <cellStyle name="Calc Currency (0) 4 3 3" xfId="17379"/>
    <cellStyle name="Calc Currency (0) 4 3 4" xfId="17380"/>
    <cellStyle name="Calc Currency (0) 4 3 5" xfId="17381"/>
    <cellStyle name="Calc Currency (0) 4 3 6" xfId="17382"/>
    <cellStyle name="Calc Currency (0) 4 3 7" xfId="17383"/>
    <cellStyle name="Calc Currency (0) 4 3 8" xfId="17384"/>
    <cellStyle name="Calc Currency (0) 4 3 9" xfId="17385"/>
    <cellStyle name="Calc Currency (0) 4 4" xfId="17386"/>
    <cellStyle name="Calc Currency (0) 4 5" xfId="17387"/>
    <cellStyle name="Calc Currency (0) 4 6" xfId="17388"/>
    <cellStyle name="Calc Currency (0) 4 7" xfId="17389"/>
    <cellStyle name="Calc Currency (0) 4 8" xfId="17390"/>
    <cellStyle name="Calc Currency (0) 4 9" xfId="17391"/>
    <cellStyle name="Calc Currency (0) 5" xfId="17392"/>
    <cellStyle name="Calc Currency (0) 5 10" xfId="17393"/>
    <cellStyle name="Calc Currency (0) 5 11" xfId="17394"/>
    <cellStyle name="Calc Currency (0) 5 2" xfId="17395"/>
    <cellStyle name="Calc Currency (0) 5 2 10" xfId="17396"/>
    <cellStyle name="Calc Currency (0) 5 2 11" xfId="17397"/>
    <cellStyle name="Calc Currency (0) 5 2 12" xfId="17398"/>
    <cellStyle name="Calc Currency (0) 5 2 13" xfId="17399"/>
    <cellStyle name="Calc Currency (0) 5 2 14" xfId="17400"/>
    <cellStyle name="Calc Currency (0) 5 2 15" xfId="17401"/>
    <cellStyle name="Calc Currency (0) 5 2 16" xfId="17402"/>
    <cellStyle name="Calc Currency (0) 5 2 2" xfId="17403"/>
    <cellStyle name="Calc Currency (0) 5 2 2 2" xfId="17404"/>
    <cellStyle name="Calc Currency (0) 5 2 2 2 2" xfId="17405"/>
    <cellStyle name="Calc Currency (0) 5 2 2 2 3" xfId="17406"/>
    <cellStyle name="Calc Currency (0) 5 2 2 3" xfId="17407"/>
    <cellStyle name="Calc Currency (0) 5 2 3" xfId="17408"/>
    <cellStyle name="Calc Currency (0) 5 2 4" xfId="17409"/>
    <cellStyle name="Calc Currency (0) 5 2 5" xfId="17410"/>
    <cellStyle name="Calc Currency (0) 5 2 6" xfId="17411"/>
    <cellStyle name="Calc Currency (0) 5 2 7" xfId="17412"/>
    <cellStyle name="Calc Currency (0) 5 2 8" xfId="17413"/>
    <cellStyle name="Calc Currency (0) 5 2 9" xfId="17414"/>
    <cellStyle name="Calc Currency (0) 5 3" xfId="17415"/>
    <cellStyle name="Calc Currency (0) 5 3 2" xfId="17416"/>
    <cellStyle name="Calc Currency (0) 5 3 3" xfId="17417"/>
    <cellStyle name="Calc Currency (0) 5 3 4" xfId="17418"/>
    <cellStyle name="Calc Currency (0) 5 3 5" xfId="17419"/>
    <cellStyle name="Calc Currency (0) 5 3 6" xfId="17420"/>
    <cellStyle name="Calc Currency (0) 5 3 7" xfId="17421"/>
    <cellStyle name="Calc Currency (0) 5 3 8" xfId="17422"/>
    <cellStyle name="Calc Currency (0) 5 3 9" xfId="17423"/>
    <cellStyle name="Calc Currency (0) 5 4" xfId="17424"/>
    <cellStyle name="Calc Currency (0) 5 5" xfId="17425"/>
    <cellStyle name="Calc Currency (0) 5 6" xfId="17426"/>
    <cellStyle name="Calc Currency (0) 5 6 2" xfId="17427"/>
    <cellStyle name="Calc Currency (0) 5 6 3" xfId="17428"/>
    <cellStyle name="Calc Currency (0) 5 6 4" xfId="17429"/>
    <cellStyle name="Calc Currency (0) 5 6 5" xfId="17430"/>
    <cellStyle name="Calc Currency (0) 5 6 6" xfId="17431"/>
    <cellStyle name="Calc Currency (0) 5 6 7" xfId="17432"/>
    <cellStyle name="Calc Currency (0) 5 6 8" xfId="17433"/>
    <cellStyle name="Calc Currency (0) 5 7" xfId="17434"/>
    <cellStyle name="Calc Currency (0) 5 8" xfId="17435"/>
    <cellStyle name="Calc Currency (0) 5 9" xfId="17436"/>
    <cellStyle name="Calc Currency (0) 6" xfId="17437"/>
    <cellStyle name="Calc Currency (0) 6 10" xfId="17438"/>
    <cellStyle name="Calc Currency (0) 6 11" xfId="17439"/>
    <cellStyle name="Calc Currency (0) 6 2" xfId="17440"/>
    <cellStyle name="Calc Currency (0) 6 2 2" xfId="17441"/>
    <cellStyle name="Calc Currency (0) 6 2 3" xfId="17442"/>
    <cellStyle name="Calc Currency (0) 6 2 4" xfId="17443"/>
    <cellStyle name="Calc Currency (0) 6 2 5" xfId="17444"/>
    <cellStyle name="Calc Currency (0) 6 2 6" xfId="17445"/>
    <cellStyle name="Calc Currency (0) 6 2 7" xfId="17446"/>
    <cellStyle name="Calc Currency (0) 6 2 8" xfId="17447"/>
    <cellStyle name="Calc Currency (0) 6 2 9" xfId="17448"/>
    <cellStyle name="Calc Currency (0) 6 3" xfId="17449"/>
    <cellStyle name="Calc Currency (0) 6 3 2" xfId="17450"/>
    <cellStyle name="Calc Currency (0) 6 3 3" xfId="17451"/>
    <cellStyle name="Calc Currency (0) 6 3 4" xfId="17452"/>
    <cellStyle name="Calc Currency (0) 6 3 5" xfId="17453"/>
    <cellStyle name="Calc Currency (0) 6 3 6" xfId="17454"/>
    <cellStyle name="Calc Currency (0) 6 3 7" xfId="17455"/>
    <cellStyle name="Calc Currency (0) 6 3 8" xfId="17456"/>
    <cellStyle name="Calc Currency (0) 6 3 9" xfId="17457"/>
    <cellStyle name="Calc Currency (0) 6 4" xfId="17458"/>
    <cellStyle name="Calc Currency (0) 6 5" xfId="17459"/>
    <cellStyle name="Calc Currency (0) 6 6" xfId="17460"/>
    <cellStyle name="Calc Currency (0) 6 7" xfId="17461"/>
    <cellStyle name="Calc Currency (0) 6 8" xfId="17462"/>
    <cellStyle name="Calc Currency (0) 6 9" xfId="17463"/>
    <cellStyle name="Calc Currency (0) 7" xfId="17464"/>
    <cellStyle name="Calc Currency (0) 7 10" xfId="17465"/>
    <cellStyle name="Calc Currency (0) 7 11" xfId="17466"/>
    <cellStyle name="Calc Currency (0) 7 2" xfId="17467"/>
    <cellStyle name="Calc Currency (0) 7 2 2" xfId="17468"/>
    <cellStyle name="Calc Currency (0) 7 2 3" xfId="17469"/>
    <cellStyle name="Calc Currency (0) 7 2 4" xfId="17470"/>
    <cellStyle name="Calc Currency (0) 7 2 5" xfId="17471"/>
    <cellStyle name="Calc Currency (0) 7 2 6" xfId="17472"/>
    <cellStyle name="Calc Currency (0) 7 2 7" xfId="17473"/>
    <cellStyle name="Calc Currency (0) 7 2 8" xfId="17474"/>
    <cellStyle name="Calc Currency (0) 7 2 9" xfId="17475"/>
    <cellStyle name="Calc Currency (0) 7 3" xfId="17476"/>
    <cellStyle name="Calc Currency (0) 7 3 2" xfId="17477"/>
    <cellStyle name="Calc Currency (0) 7 3 3" xfId="17478"/>
    <cellStyle name="Calc Currency (0) 7 3 4" xfId="17479"/>
    <cellStyle name="Calc Currency (0) 7 3 5" xfId="17480"/>
    <cellStyle name="Calc Currency (0) 7 3 6" xfId="17481"/>
    <cellStyle name="Calc Currency (0) 7 3 7" xfId="17482"/>
    <cellStyle name="Calc Currency (0) 7 3 8" xfId="17483"/>
    <cellStyle name="Calc Currency (0) 7 3 9" xfId="17484"/>
    <cellStyle name="Calc Currency (0) 7 4" xfId="17485"/>
    <cellStyle name="Calc Currency (0) 7 5" xfId="17486"/>
    <cellStyle name="Calc Currency (0) 7 6" xfId="17487"/>
    <cellStyle name="Calc Currency (0) 7 7" xfId="17488"/>
    <cellStyle name="Calc Currency (0) 7 8" xfId="17489"/>
    <cellStyle name="Calc Currency (0) 7 9" xfId="17490"/>
    <cellStyle name="Calc Currency (0) 8" xfId="17491"/>
    <cellStyle name="Calc Currency (0) 8 10" xfId="17492"/>
    <cellStyle name="Calc Currency (0) 8 11" xfId="17493"/>
    <cellStyle name="Calc Currency (0) 8 2" xfId="17494"/>
    <cellStyle name="Calc Currency (0) 8 2 2" xfId="17495"/>
    <cellStyle name="Calc Currency (0) 8 2 3" xfId="17496"/>
    <cellStyle name="Calc Currency (0) 8 2 4" xfId="17497"/>
    <cellStyle name="Calc Currency (0) 8 2 5" xfId="17498"/>
    <cellStyle name="Calc Currency (0) 8 2 6" xfId="17499"/>
    <cellStyle name="Calc Currency (0) 8 2 7" xfId="17500"/>
    <cellStyle name="Calc Currency (0) 8 2 8" xfId="17501"/>
    <cellStyle name="Calc Currency (0) 8 2 9" xfId="17502"/>
    <cellStyle name="Calc Currency (0) 8 3" xfId="17503"/>
    <cellStyle name="Calc Currency (0) 8 3 2" xfId="17504"/>
    <cellStyle name="Calc Currency (0) 8 3 3" xfId="17505"/>
    <cellStyle name="Calc Currency (0) 8 3 4" xfId="17506"/>
    <cellStyle name="Calc Currency (0) 8 3 5" xfId="17507"/>
    <cellStyle name="Calc Currency (0) 8 3 6" xfId="17508"/>
    <cellStyle name="Calc Currency (0) 8 3 7" xfId="17509"/>
    <cellStyle name="Calc Currency (0) 8 3 8" xfId="17510"/>
    <cellStyle name="Calc Currency (0) 8 3 9" xfId="17511"/>
    <cellStyle name="Calc Currency (0) 8 4" xfId="17512"/>
    <cellStyle name="Calc Currency (0) 8 5" xfId="17513"/>
    <cellStyle name="Calc Currency (0) 8 6" xfId="17514"/>
    <cellStyle name="Calc Currency (0) 8 7" xfId="17515"/>
    <cellStyle name="Calc Currency (0) 8 8" xfId="17516"/>
    <cellStyle name="Calc Currency (0) 8 9" xfId="17517"/>
    <cellStyle name="Calc Currency (0) 9" xfId="17518"/>
    <cellStyle name="Calc Currency (0) 9 10" xfId="17519"/>
    <cellStyle name="Calc Currency (0) 9 11" xfId="17520"/>
    <cellStyle name="Calc Currency (0) 9 2" xfId="17521"/>
    <cellStyle name="Calc Currency (0) 9 2 10" xfId="17522"/>
    <cellStyle name="Calc Currency (0) 9 2 11" xfId="17523"/>
    <cellStyle name="Calc Currency (0) 9 2 12" xfId="17524"/>
    <cellStyle name="Calc Currency (0) 9 2 13" xfId="17525"/>
    <cellStyle name="Calc Currency (0) 9 2 14" xfId="17526"/>
    <cellStyle name="Calc Currency (0) 9 2 15" xfId="17527"/>
    <cellStyle name="Calc Currency (0) 9 2 16" xfId="17528"/>
    <cellStyle name="Calc Currency (0) 9 2 2" xfId="17529"/>
    <cellStyle name="Calc Currency (0) 9 2 3" xfId="17530"/>
    <cellStyle name="Calc Currency (0) 9 2 4" xfId="17531"/>
    <cellStyle name="Calc Currency (0) 9 2 5" xfId="17532"/>
    <cellStyle name="Calc Currency (0) 9 2 6" xfId="17533"/>
    <cellStyle name="Calc Currency (0) 9 2 7" xfId="17534"/>
    <cellStyle name="Calc Currency (0) 9 2 8" xfId="17535"/>
    <cellStyle name="Calc Currency (0) 9 2 9" xfId="17536"/>
    <cellStyle name="Calc Currency (0) 9 3" xfId="17537"/>
    <cellStyle name="Calc Currency (0) 9 3 2" xfId="17538"/>
    <cellStyle name="Calc Currency (0) 9 3 3" xfId="17539"/>
    <cellStyle name="Calc Currency (0) 9 3 4" xfId="17540"/>
    <cellStyle name="Calc Currency (0) 9 3 5" xfId="17541"/>
    <cellStyle name="Calc Currency (0) 9 3 6" xfId="17542"/>
    <cellStyle name="Calc Currency (0) 9 3 7" xfId="17543"/>
    <cellStyle name="Calc Currency (0) 9 3 8" xfId="17544"/>
    <cellStyle name="Calc Currency (0) 9 3 9" xfId="17545"/>
    <cellStyle name="Calc Currency (0) 9 4" xfId="17546"/>
    <cellStyle name="Calc Currency (0) 9 4 2" xfId="17547"/>
    <cellStyle name="Calc Currency (0) 9 4 3" xfId="17548"/>
    <cellStyle name="Calc Currency (0) 9 4 4" xfId="17549"/>
    <cellStyle name="Calc Currency (0) 9 4 5" xfId="17550"/>
    <cellStyle name="Calc Currency (0) 9 4 6" xfId="17551"/>
    <cellStyle name="Calc Currency (0) 9 4 7" xfId="17552"/>
    <cellStyle name="Calc Currency (0) 9 4 8" xfId="17553"/>
    <cellStyle name="Calc Currency (0) 9 5" xfId="17554"/>
    <cellStyle name="Calc Currency (0) 9 6" xfId="17555"/>
    <cellStyle name="Calc Currency (0) 9 7" xfId="17556"/>
    <cellStyle name="Calc Currency (0) 9 8" xfId="17557"/>
    <cellStyle name="Calc Currency (0) 9 9" xfId="17558"/>
    <cellStyle name="Calc Currency (2)" xfId="17559"/>
    <cellStyle name="Calc Currency (2) 10" xfId="17560"/>
    <cellStyle name="Calc Currency (2) 11" xfId="17561"/>
    <cellStyle name="Calc Currency (2) 11 2" xfId="17562"/>
    <cellStyle name="Calc Currency (2) 11 2 2" xfId="17563"/>
    <cellStyle name="Calc Currency (2) 11 2 3" xfId="17564"/>
    <cellStyle name="Calc Currency (2) 11 2 4" xfId="17565"/>
    <cellStyle name="Calc Currency (2) 11 2 5" xfId="17566"/>
    <cellStyle name="Calc Currency (2) 11 2 6" xfId="17567"/>
    <cellStyle name="Calc Currency (2) 11 2 7" xfId="17568"/>
    <cellStyle name="Calc Currency (2) 11 2 8" xfId="17569"/>
    <cellStyle name="Calc Currency (2) 11 3" xfId="17570"/>
    <cellStyle name="Calc Currency (2) 11 4" xfId="17571"/>
    <cellStyle name="Calc Currency (2) 11 5" xfId="17572"/>
    <cellStyle name="Calc Currency (2) 11 6" xfId="17573"/>
    <cellStyle name="Calc Currency (2) 11 7" xfId="17574"/>
    <cellStyle name="Calc Currency (2) 11 8" xfId="17575"/>
    <cellStyle name="Calc Currency (2) 12" xfId="17576"/>
    <cellStyle name="Calc Currency (2) 12 2" xfId="17577"/>
    <cellStyle name="Calc Currency (2) 12 3" xfId="17578"/>
    <cellStyle name="Calc Currency (2) 12 4" xfId="17579"/>
    <cellStyle name="Calc Currency (2) 12 5" xfId="17580"/>
    <cellStyle name="Calc Currency (2) 12 6" xfId="17581"/>
    <cellStyle name="Calc Currency (2) 12 7" xfId="17582"/>
    <cellStyle name="Calc Currency (2) 12 8" xfId="17583"/>
    <cellStyle name="Calc Currency (2) 13" xfId="17584"/>
    <cellStyle name="Calc Currency (2) 14" xfId="17585"/>
    <cellStyle name="Calc Currency (2) 15" xfId="17586"/>
    <cellStyle name="Calc Currency (2) 16" xfId="17587"/>
    <cellStyle name="Calc Currency (2) 17" xfId="17588"/>
    <cellStyle name="Calc Currency (2) 18" xfId="17589"/>
    <cellStyle name="Calc Currency (2) 19" xfId="17590"/>
    <cellStyle name="Calc Currency (2) 2" xfId="17591"/>
    <cellStyle name="Calc Currency (2) 2 10" xfId="17592"/>
    <cellStyle name="Calc Currency (2) 2 10 2" xfId="17593"/>
    <cellStyle name="Calc Currency (2) 2 10 3" xfId="17594"/>
    <cellStyle name="Calc Currency (2) 2 10 4" xfId="17595"/>
    <cellStyle name="Calc Currency (2) 2 10 5" xfId="17596"/>
    <cellStyle name="Calc Currency (2) 2 10 6" xfId="17597"/>
    <cellStyle name="Calc Currency (2) 2 10 7" xfId="17598"/>
    <cellStyle name="Calc Currency (2) 2 10 8" xfId="17599"/>
    <cellStyle name="Calc Currency (2) 2 10 9" xfId="17600"/>
    <cellStyle name="Calc Currency (2) 2 11" xfId="17601"/>
    <cellStyle name="Calc Currency (2) 2 11 2" xfId="17602"/>
    <cellStyle name="Calc Currency (2) 2 11 2 2" xfId="17603"/>
    <cellStyle name="Calc Currency (2) 2 11 2 3" xfId="17604"/>
    <cellStyle name="Calc Currency (2) 2 11 2 4" xfId="17605"/>
    <cellStyle name="Calc Currency (2) 2 11 2 5" xfId="17606"/>
    <cellStyle name="Calc Currency (2) 2 11 2 6" xfId="17607"/>
    <cellStyle name="Calc Currency (2) 2 11 2 7" xfId="17608"/>
    <cellStyle name="Calc Currency (2) 2 11 2 8" xfId="17609"/>
    <cellStyle name="Calc Currency (2) 2 11 3" xfId="17610"/>
    <cellStyle name="Calc Currency (2) 2 11 4" xfId="17611"/>
    <cellStyle name="Calc Currency (2) 2 11 5" xfId="17612"/>
    <cellStyle name="Calc Currency (2) 2 11 6" xfId="17613"/>
    <cellStyle name="Calc Currency (2) 2 11 7" xfId="17614"/>
    <cellStyle name="Calc Currency (2) 2 11 8" xfId="17615"/>
    <cellStyle name="Calc Currency (2) 2 11 9" xfId="17616"/>
    <cellStyle name="Calc Currency (2) 2 12" xfId="17617"/>
    <cellStyle name="Calc Currency (2) 2 13" xfId="17618"/>
    <cellStyle name="Calc Currency (2) 2 14" xfId="17619"/>
    <cellStyle name="Calc Currency (2) 2 15" xfId="17620"/>
    <cellStyle name="Calc Currency (2) 2 16" xfId="17621"/>
    <cellStyle name="Calc Currency (2) 2 17" xfId="17622"/>
    <cellStyle name="Calc Currency (2) 2 18" xfId="17623"/>
    <cellStyle name="Calc Currency (2) 2 19" xfId="17624"/>
    <cellStyle name="Calc Currency (2) 2 2" xfId="17625"/>
    <cellStyle name="Calc Currency (2) 2 2 10" xfId="17626"/>
    <cellStyle name="Calc Currency (2) 2 2 11" xfId="17627"/>
    <cellStyle name="Calc Currency (2) 2 2 12" xfId="17628"/>
    <cellStyle name="Calc Currency (2) 2 2 13" xfId="17629"/>
    <cellStyle name="Calc Currency (2) 2 2 14" xfId="17630"/>
    <cellStyle name="Calc Currency (2) 2 2 15" xfId="17631"/>
    <cellStyle name="Calc Currency (2) 2 2 16" xfId="17632"/>
    <cellStyle name="Calc Currency (2) 2 2 17" xfId="17633"/>
    <cellStyle name="Calc Currency (2) 2 2 2" xfId="17634"/>
    <cellStyle name="Calc Currency (2) 2 2 2 10" xfId="17635"/>
    <cellStyle name="Calc Currency (2) 2 2 2 11" xfId="17636"/>
    <cellStyle name="Calc Currency (2) 2 2 2 12" xfId="17637"/>
    <cellStyle name="Calc Currency (2) 2 2 2 13" xfId="17638"/>
    <cellStyle name="Calc Currency (2) 2 2 2 14" xfId="17639"/>
    <cellStyle name="Calc Currency (2) 2 2 2 15" xfId="17640"/>
    <cellStyle name="Calc Currency (2) 2 2 2 2" xfId="17641"/>
    <cellStyle name="Calc Currency (2) 2 2 2 2 2" xfId="17642"/>
    <cellStyle name="Calc Currency (2) 2 2 2 2 3" xfId="17643"/>
    <cellStyle name="Calc Currency (2) 2 2 2 2 4" xfId="17644"/>
    <cellStyle name="Calc Currency (2) 2 2 2 2 5" xfId="17645"/>
    <cellStyle name="Calc Currency (2) 2 2 2 2 6" xfId="17646"/>
    <cellStyle name="Calc Currency (2) 2 2 2 2 7" xfId="17647"/>
    <cellStyle name="Calc Currency (2) 2 2 2 2 8" xfId="17648"/>
    <cellStyle name="Calc Currency (2) 2 2 2 3" xfId="17649"/>
    <cellStyle name="Calc Currency (2) 2 2 2 4" xfId="17650"/>
    <cellStyle name="Calc Currency (2) 2 2 2 5" xfId="17651"/>
    <cellStyle name="Calc Currency (2) 2 2 2 6" xfId="17652"/>
    <cellStyle name="Calc Currency (2) 2 2 2 7" xfId="17653"/>
    <cellStyle name="Calc Currency (2) 2 2 2 8" xfId="17654"/>
    <cellStyle name="Calc Currency (2) 2 2 2 9" xfId="17655"/>
    <cellStyle name="Calc Currency (2) 2 2 3" xfId="17656"/>
    <cellStyle name="Calc Currency (2) 2 2 3 2" xfId="17657"/>
    <cellStyle name="Calc Currency (2) 2 2 3 3" xfId="17658"/>
    <cellStyle name="Calc Currency (2) 2 2 3 4" xfId="17659"/>
    <cellStyle name="Calc Currency (2) 2 2 3 5" xfId="17660"/>
    <cellStyle name="Calc Currency (2) 2 2 3 6" xfId="17661"/>
    <cellStyle name="Calc Currency (2) 2 2 3 7" xfId="17662"/>
    <cellStyle name="Calc Currency (2) 2 2 3 8" xfId="17663"/>
    <cellStyle name="Calc Currency (2) 2 2 4" xfId="17664"/>
    <cellStyle name="Calc Currency (2) 2 2 5" xfId="17665"/>
    <cellStyle name="Calc Currency (2) 2 2 6" xfId="17666"/>
    <cellStyle name="Calc Currency (2) 2 2 7" xfId="17667"/>
    <cellStyle name="Calc Currency (2) 2 2 8" xfId="17668"/>
    <cellStyle name="Calc Currency (2) 2 2 9" xfId="17669"/>
    <cellStyle name="Calc Currency (2) 2 3" xfId="17670"/>
    <cellStyle name="Calc Currency (2) 2 3 2" xfId="17671"/>
    <cellStyle name="Calc Currency (2) 2 3 3" xfId="17672"/>
    <cellStyle name="Calc Currency (2) 2 3 4" xfId="17673"/>
    <cellStyle name="Calc Currency (2) 2 3 5" xfId="17674"/>
    <cellStyle name="Calc Currency (2) 2 3 6" xfId="17675"/>
    <cellStyle name="Calc Currency (2) 2 3 7" xfId="17676"/>
    <cellStyle name="Calc Currency (2) 2 3 8" xfId="17677"/>
    <cellStyle name="Calc Currency (2) 2 4" xfId="17678"/>
    <cellStyle name="Calc Currency (2) 2 4 2" xfId="17679"/>
    <cellStyle name="Calc Currency (2) 2 4 3" xfId="17680"/>
    <cellStyle name="Calc Currency (2) 2 4 4" xfId="17681"/>
    <cellStyle name="Calc Currency (2) 2 4 5" xfId="17682"/>
    <cellStyle name="Calc Currency (2) 2 4 6" xfId="17683"/>
    <cellStyle name="Calc Currency (2) 2 4 7" xfId="17684"/>
    <cellStyle name="Calc Currency (2) 2 4 8" xfId="17685"/>
    <cellStyle name="Calc Currency (2) 2 5" xfId="17686"/>
    <cellStyle name="Calc Currency (2) 2 5 2" xfId="17687"/>
    <cellStyle name="Calc Currency (2) 2 5 3" xfId="17688"/>
    <cellStyle name="Calc Currency (2) 2 5 4" xfId="17689"/>
    <cellStyle name="Calc Currency (2) 2 5 5" xfId="17690"/>
    <cellStyle name="Calc Currency (2) 2 5 6" xfId="17691"/>
    <cellStyle name="Calc Currency (2) 2 5 7" xfId="17692"/>
    <cellStyle name="Calc Currency (2) 2 5 8" xfId="17693"/>
    <cellStyle name="Calc Currency (2) 2 6" xfId="17694"/>
    <cellStyle name="Calc Currency (2) 2 6 2" xfId="17695"/>
    <cellStyle name="Calc Currency (2) 2 6 3" xfId="17696"/>
    <cellStyle name="Calc Currency (2) 2 6 4" xfId="17697"/>
    <cellStyle name="Calc Currency (2) 2 6 5" xfId="17698"/>
    <cellStyle name="Calc Currency (2) 2 6 6" xfId="17699"/>
    <cellStyle name="Calc Currency (2) 2 6 7" xfId="17700"/>
    <cellStyle name="Calc Currency (2) 2 6 8" xfId="17701"/>
    <cellStyle name="Calc Currency (2) 2 7" xfId="17702"/>
    <cellStyle name="Calc Currency (2) 2 7 2" xfId="17703"/>
    <cellStyle name="Calc Currency (2) 2 7 3" xfId="17704"/>
    <cellStyle name="Calc Currency (2) 2 7 4" xfId="17705"/>
    <cellStyle name="Calc Currency (2) 2 7 5" xfId="17706"/>
    <cellStyle name="Calc Currency (2) 2 7 6" xfId="17707"/>
    <cellStyle name="Calc Currency (2) 2 7 7" xfId="17708"/>
    <cellStyle name="Calc Currency (2) 2 7 8" xfId="17709"/>
    <cellStyle name="Calc Currency (2) 2 8" xfId="17710"/>
    <cellStyle name="Calc Currency (2) 2 8 2" xfId="17711"/>
    <cellStyle name="Calc Currency (2) 2 8 3" xfId="17712"/>
    <cellStyle name="Calc Currency (2) 2 8 4" xfId="17713"/>
    <cellStyle name="Calc Currency (2) 2 8 5" xfId="17714"/>
    <cellStyle name="Calc Currency (2) 2 8 6" xfId="17715"/>
    <cellStyle name="Calc Currency (2) 2 8 7" xfId="17716"/>
    <cellStyle name="Calc Currency (2) 2 8 8" xfId="17717"/>
    <cellStyle name="Calc Currency (2) 2 9" xfId="17718"/>
    <cellStyle name="Calc Currency (2) 2 9 2" xfId="17719"/>
    <cellStyle name="Calc Currency (2) 2 9 3" xfId="17720"/>
    <cellStyle name="Calc Currency (2) 2 9 4" xfId="17721"/>
    <cellStyle name="Calc Currency (2) 2 9 5" xfId="17722"/>
    <cellStyle name="Calc Currency (2) 2 9 6" xfId="17723"/>
    <cellStyle name="Calc Currency (2) 2 9 7" xfId="17724"/>
    <cellStyle name="Calc Currency (2) 2 9 8" xfId="17725"/>
    <cellStyle name="Calc Currency (2) 2 9 9" xfId="17726"/>
    <cellStyle name="Calc Currency (2) 20" xfId="17727"/>
    <cellStyle name="Calc Currency (2) 21" xfId="17728"/>
    <cellStyle name="Calc Currency (2) 22" xfId="17729"/>
    <cellStyle name="Calc Currency (2) 23" xfId="17730"/>
    <cellStyle name="Calc Currency (2) 24" xfId="17731"/>
    <cellStyle name="Calc Currency (2) 25" xfId="17732"/>
    <cellStyle name="Calc Currency (2) 26" xfId="17733"/>
    <cellStyle name="Calc Currency (2) 27" xfId="17734"/>
    <cellStyle name="Calc Currency (2) 28" xfId="17735"/>
    <cellStyle name="Calc Currency (2) 29" xfId="17736"/>
    <cellStyle name="Calc Currency (2) 3" xfId="17737"/>
    <cellStyle name="Calc Currency (2) 30" xfId="17738"/>
    <cellStyle name="Calc Currency (2) 31" xfId="17739"/>
    <cellStyle name="Calc Currency (2) 32" xfId="17740"/>
    <cellStyle name="Calc Currency (2) 33" xfId="17741"/>
    <cellStyle name="Calc Currency (2) 34" xfId="17742"/>
    <cellStyle name="Calc Currency (2) 35" xfId="17743"/>
    <cellStyle name="Calc Currency (2) 36" xfId="17744"/>
    <cellStyle name="Calc Currency (2) 4" xfId="17745"/>
    <cellStyle name="Calc Currency (2) 5" xfId="17746"/>
    <cellStyle name="Calc Currency (2) 6" xfId="17747"/>
    <cellStyle name="Calc Currency (2) 7" xfId="17748"/>
    <cellStyle name="Calc Currency (2) 8" xfId="17749"/>
    <cellStyle name="Calc Currency (2) 8 2" xfId="17750"/>
    <cellStyle name="Calc Currency (2) 8 3" xfId="17751"/>
    <cellStyle name="Calc Currency (2) 8 4" xfId="17752"/>
    <cellStyle name="Calc Currency (2) 8 5" xfId="17753"/>
    <cellStyle name="Calc Currency (2) 8 6" xfId="17754"/>
    <cellStyle name="Calc Currency (2) 8 7" xfId="17755"/>
    <cellStyle name="Calc Currency (2) 8 8" xfId="17756"/>
    <cellStyle name="Calc Currency (2) 9" xfId="17757"/>
    <cellStyle name="Calc Percent (0)" xfId="17758"/>
    <cellStyle name="Calc Percent (0) 10" xfId="17759"/>
    <cellStyle name="Calc Percent (0) 11" xfId="17760"/>
    <cellStyle name="Calc Percent (0) 11 2" xfId="17761"/>
    <cellStyle name="Calc Percent (0) 11 2 2" xfId="17762"/>
    <cellStyle name="Calc Percent (0) 11 2 3" xfId="17763"/>
    <cellStyle name="Calc Percent (0) 11 2 4" xfId="17764"/>
    <cellStyle name="Calc Percent (0) 11 2 5" xfId="17765"/>
    <cellStyle name="Calc Percent (0) 11 2 6" xfId="17766"/>
    <cellStyle name="Calc Percent (0) 11 2 7" xfId="17767"/>
    <cellStyle name="Calc Percent (0) 11 2 8" xfId="17768"/>
    <cellStyle name="Calc Percent (0) 11 3" xfId="17769"/>
    <cellStyle name="Calc Percent (0) 11 4" xfId="17770"/>
    <cellStyle name="Calc Percent (0) 11 5" xfId="17771"/>
    <cellStyle name="Calc Percent (0) 11 6" xfId="17772"/>
    <cellStyle name="Calc Percent (0) 11 7" xfId="17773"/>
    <cellStyle name="Calc Percent (0) 11 8" xfId="17774"/>
    <cellStyle name="Calc Percent (0) 12" xfId="17775"/>
    <cellStyle name="Calc Percent (0) 12 2" xfId="17776"/>
    <cellStyle name="Calc Percent (0) 12 3" xfId="17777"/>
    <cellStyle name="Calc Percent (0) 12 4" xfId="17778"/>
    <cellStyle name="Calc Percent (0) 12 5" xfId="17779"/>
    <cellStyle name="Calc Percent (0) 12 6" xfId="17780"/>
    <cellStyle name="Calc Percent (0) 12 7" xfId="17781"/>
    <cellStyle name="Calc Percent (0) 12 8" xfId="17782"/>
    <cellStyle name="Calc Percent (0) 13" xfId="17783"/>
    <cellStyle name="Calc Percent (0) 14" xfId="17784"/>
    <cellStyle name="Calc Percent (0) 15" xfId="17785"/>
    <cellStyle name="Calc Percent (0) 16" xfId="17786"/>
    <cellStyle name="Calc Percent (0) 17" xfId="17787"/>
    <cellStyle name="Calc Percent (0) 18" xfId="17788"/>
    <cellStyle name="Calc Percent (0) 19" xfId="17789"/>
    <cellStyle name="Calc Percent (0) 2" xfId="17790"/>
    <cellStyle name="Calc Percent (0) 2 10" xfId="17791"/>
    <cellStyle name="Calc Percent (0) 2 10 2" xfId="17792"/>
    <cellStyle name="Calc Percent (0) 2 10 3" xfId="17793"/>
    <cellStyle name="Calc Percent (0) 2 10 4" xfId="17794"/>
    <cellStyle name="Calc Percent (0) 2 10 5" xfId="17795"/>
    <cellStyle name="Calc Percent (0) 2 10 6" xfId="17796"/>
    <cellStyle name="Calc Percent (0) 2 10 7" xfId="17797"/>
    <cellStyle name="Calc Percent (0) 2 10 8" xfId="17798"/>
    <cellStyle name="Calc Percent (0) 2 10 9" xfId="17799"/>
    <cellStyle name="Calc Percent (0) 2 11" xfId="17800"/>
    <cellStyle name="Calc Percent (0) 2 11 2" xfId="17801"/>
    <cellStyle name="Calc Percent (0) 2 11 2 2" xfId="17802"/>
    <cellStyle name="Calc Percent (0) 2 11 2 3" xfId="17803"/>
    <cellStyle name="Calc Percent (0) 2 11 2 4" xfId="17804"/>
    <cellStyle name="Calc Percent (0) 2 11 2 5" xfId="17805"/>
    <cellStyle name="Calc Percent (0) 2 11 2 6" xfId="17806"/>
    <cellStyle name="Calc Percent (0) 2 11 2 7" xfId="17807"/>
    <cellStyle name="Calc Percent (0) 2 11 2 8" xfId="17808"/>
    <cellStyle name="Calc Percent (0) 2 11 3" xfId="17809"/>
    <cellStyle name="Calc Percent (0) 2 11 4" xfId="17810"/>
    <cellStyle name="Calc Percent (0) 2 11 5" xfId="17811"/>
    <cellStyle name="Calc Percent (0) 2 11 6" xfId="17812"/>
    <cellStyle name="Calc Percent (0) 2 11 7" xfId="17813"/>
    <cellStyle name="Calc Percent (0) 2 11 8" xfId="17814"/>
    <cellStyle name="Calc Percent (0) 2 11 9" xfId="17815"/>
    <cellStyle name="Calc Percent (0) 2 12" xfId="17816"/>
    <cellStyle name="Calc Percent (0) 2 13" xfId="17817"/>
    <cellStyle name="Calc Percent (0) 2 14" xfId="17818"/>
    <cellStyle name="Calc Percent (0) 2 15" xfId="17819"/>
    <cellStyle name="Calc Percent (0) 2 16" xfId="17820"/>
    <cellStyle name="Calc Percent (0) 2 17" xfId="17821"/>
    <cellStyle name="Calc Percent (0) 2 18" xfId="17822"/>
    <cellStyle name="Calc Percent (0) 2 19" xfId="17823"/>
    <cellStyle name="Calc Percent (0) 2 2" xfId="17824"/>
    <cellStyle name="Calc Percent (0) 2 2 10" xfId="17825"/>
    <cellStyle name="Calc Percent (0) 2 2 11" xfId="17826"/>
    <cellStyle name="Calc Percent (0) 2 2 12" xfId="17827"/>
    <cellStyle name="Calc Percent (0) 2 2 13" xfId="17828"/>
    <cellStyle name="Calc Percent (0) 2 2 14" xfId="17829"/>
    <cellStyle name="Calc Percent (0) 2 2 15" xfId="17830"/>
    <cellStyle name="Calc Percent (0) 2 2 16" xfId="17831"/>
    <cellStyle name="Calc Percent (0) 2 2 17" xfId="17832"/>
    <cellStyle name="Calc Percent (0) 2 2 2" xfId="17833"/>
    <cellStyle name="Calc Percent (0) 2 2 2 10" xfId="17834"/>
    <cellStyle name="Calc Percent (0) 2 2 2 11" xfId="17835"/>
    <cellStyle name="Calc Percent (0) 2 2 2 12" xfId="17836"/>
    <cellStyle name="Calc Percent (0) 2 2 2 13" xfId="17837"/>
    <cellStyle name="Calc Percent (0) 2 2 2 14" xfId="17838"/>
    <cellStyle name="Calc Percent (0) 2 2 2 15" xfId="17839"/>
    <cellStyle name="Calc Percent (0) 2 2 2 2" xfId="17840"/>
    <cellStyle name="Calc Percent (0) 2 2 2 2 2" xfId="17841"/>
    <cellStyle name="Calc Percent (0) 2 2 2 2 3" xfId="17842"/>
    <cellStyle name="Calc Percent (0) 2 2 2 2 4" xfId="17843"/>
    <cellStyle name="Calc Percent (0) 2 2 2 2 5" xfId="17844"/>
    <cellStyle name="Calc Percent (0) 2 2 2 2 6" xfId="17845"/>
    <cellStyle name="Calc Percent (0) 2 2 2 2 7" xfId="17846"/>
    <cellStyle name="Calc Percent (0) 2 2 2 2 8" xfId="17847"/>
    <cellStyle name="Calc Percent (0) 2 2 2 3" xfId="17848"/>
    <cellStyle name="Calc Percent (0) 2 2 2 4" xfId="17849"/>
    <cellStyle name="Calc Percent (0) 2 2 2 5" xfId="17850"/>
    <cellStyle name="Calc Percent (0) 2 2 2 6" xfId="17851"/>
    <cellStyle name="Calc Percent (0) 2 2 2 7" xfId="17852"/>
    <cellStyle name="Calc Percent (0) 2 2 2 8" xfId="17853"/>
    <cellStyle name="Calc Percent (0) 2 2 2 9" xfId="17854"/>
    <cellStyle name="Calc Percent (0) 2 2 3" xfId="17855"/>
    <cellStyle name="Calc Percent (0) 2 2 3 2" xfId="17856"/>
    <cellStyle name="Calc Percent (0) 2 2 3 3" xfId="17857"/>
    <cellStyle name="Calc Percent (0) 2 2 3 4" xfId="17858"/>
    <cellStyle name="Calc Percent (0) 2 2 3 5" xfId="17859"/>
    <cellStyle name="Calc Percent (0) 2 2 3 6" xfId="17860"/>
    <cellStyle name="Calc Percent (0) 2 2 3 7" xfId="17861"/>
    <cellStyle name="Calc Percent (0) 2 2 3 8" xfId="17862"/>
    <cellStyle name="Calc Percent (0) 2 2 4" xfId="17863"/>
    <cellStyle name="Calc Percent (0) 2 2 5" xfId="17864"/>
    <cellStyle name="Calc Percent (0) 2 2 6" xfId="17865"/>
    <cellStyle name="Calc Percent (0) 2 2 7" xfId="17866"/>
    <cellStyle name="Calc Percent (0) 2 2 8" xfId="17867"/>
    <cellStyle name="Calc Percent (0) 2 2 9" xfId="17868"/>
    <cellStyle name="Calc Percent (0) 2 3" xfId="17869"/>
    <cellStyle name="Calc Percent (0) 2 3 2" xfId="17870"/>
    <cellStyle name="Calc Percent (0) 2 3 3" xfId="17871"/>
    <cellStyle name="Calc Percent (0) 2 3 4" xfId="17872"/>
    <cellStyle name="Calc Percent (0) 2 3 5" xfId="17873"/>
    <cellStyle name="Calc Percent (0) 2 3 6" xfId="17874"/>
    <cellStyle name="Calc Percent (0) 2 3 7" xfId="17875"/>
    <cellStyle name="Calc Percent (0) 2 3 8" xfId="17876"/>
    <cellStyle name="Calc Percent (0) 2 4" xfId="17877"/>
    <cellStyle name="Calc Percent (0) 2 4 2" xfId="17878"/>
    <cellStyle name="Calc Percent (0) 2 4 3" xfId="17879"/>
    <cellStyle name="Calc Percent (0) 2 4 4" xfId="17880"/>
    <cellStyle name="Calc Percent (0) 2 4 5" xfId="17881"/>
    <cellStyle name="Calc Percent (0) 2 4 6" xfId="17882"/>
    <cellStyle name="Calc Percent (0) 2 4 7" xfId="17883"/>
    <cellStyle name="Calc Percent (0) 2 4 8" xfId="17884"/>
    <cellStyle name="Calc Percent (0) 2 5" xfId="17885"/>
    <cellStyle name="Calc Percent (0) 2 5 2" xfId="17886"/>
    <cellStyle name="Calc Percent (0) 2 5 3" xfId="17887"/>
    <cellStyle name="Calc Percent (0) 2 5 4" xfId="17888"/>
    <cellStyle name="Calc Percent (0) 2 5 5" xfId="17889"/>
    <cellStyle name="Calc Percent (0) 2 5 6" xfId="17890"/>
    <cellStyle name="Calc Percent (0) 2 5 7" xfId="17891"/>
    <cellStyle name="Calc Percent (0) 2 5 8" xfId="17892"/>
    <cellStyle name="Calc Percent (0) 2 6" xfId="17893"/>
    <cellStyle name="Calc Percent (0) 2 6 2" xfId="17894"/>
    <cellStyle name="Calc Percent (0) 2 6 3" xfId="17895"/>
    <cellStyle name="Calc Percent (0) 2 6 4" xfId="17896"/>
    <cellStyle name="Calc Percent (0) 2 6 5" xfId="17897"/>
    <cellStyle name="Calc Percent (0) 2 6 6" xfId="17898"/>
    <cellStyle name="Calc Percent (0) 2 6 7" xfId="17899"/>
    <cellStyle name="Calc Percent (0) 2 6 8" xfId="17900"/>
    <cellStyle name="Calc Percent (0) 2 7" xfId="17901"/>
    <cellStyle name="Calc Percent (0) 2 7 2" xfId="17902"/>
    <cellStyle name="Calc Percent (0) 2 7 3" xfId="17903"/>
    <cellStyle name="Calc Percent (0) 2 7 4" xfId="17904"/>
    <cellStyle name="Calc Percent (0) 2 7 5" xfId="17905"/>
    <cellStyle name="Calc Percent (0) 2 7 6" xfId="17906"/>
    <cellStyle name="Calc Percent (0) 2 7 7" xfId="17907"/>
    <cellStyle name="Calc Percent (0) 2 7 8" xfId="17908"/>
    <cellStyle name="Calc Percent (0) 2 8" xfId="17909"/>
    <cellStyle name="Calc Percent (0) 2 8 2" xfId="17910"/>
    <cellStyle name="Calc Percent (0) 2 8 3" xfId="17911"/>
    <cellStyle name="Calc Percent (0) 2 8 4" xfId="17912"/>
    <cellStyle name="Calc Percent (0) 2 8 5" xfId="17913"/>
    <cellStyle name="Calc Percent (0) 2 8 6" xfId="17914"/>
    <cellStyle name="Calc Percent (0) 2 8 7" xfId="17915"/>
    <cellStyle name="Calc Percent (0) 2 8 8" xfId="17916"/>
    <cellStyle name="Calc Percent (0) 2 9" xfId="17917"/>
    <cellStyle name="Calc Percent (0) 2 9 2" xfId="17918"/>
    <cellStyle name="Calc Percent (0) 2 9 3" xfId="17919"/>
    <cellStyle name="Calc Percent (0) 2 9 4" xfId="17920"/>
    <cellStyle name="Calc Percent (0) 2 9 5" xfId="17921"/>
    <cellStyle name="Calc Percent (0) 2 9 6" xfId="17922"/>
    <cellStyle name="Calc Percent (0) 2 9 7" xfId="17923"/>
    <cellStyle name="Calc Percent (0) 2 9 8" xfId="17924"/>
    <cellStyle name="Calc Percent (0) 2 9 9" xfId="17925"/>
    <cellStyle name="Calc Percent (0) 20" xfId="17926"/>
    <cellStyle name="Calc Percent (0) 21" xfId="17927"/>
    <cellStyle name="Calc Percent (0) 22" xfId="17928"/>
    <cellStyle name="Calc Percent (0) 23" xfId="17929"/>
    <cellStyle name="Calc Percent (0) 24" xfId="17930"/>
    <cellStyle name="Calc Percent (0) 25" xfId="17931"/>
    <cellStyle name="Calc Percent (0) 26" xfId="17932"/>
    <cellStyle name="Calc Percent (0) 27" xfId="17933"/>
    <cellStyle name="Calc Percent (0) 28" xfId="17934"/>
    <cellStyle name="Calc Percent (0) 29" xfId="17935"/>
    <cellStyle name="Calc Percent (0) 3" xfId="17936"/>
    <cellStyle name="Calc Percent (0) 30" xfId="17937"/>
    <cellStyle name="Calc Percent (0) 31" xfId="17938"/>
    <cellStyle name="Calc Percent (0) 32" xfId="17939"/>
    <cellStyle name="Calc Percent (0) 33" xfId="17940"/>
    <cellStyle name="Calc Percent (0) 34" xfId="17941"/>
    <cellStyle name="Calc Percent (0) 35" xfId="17942"/>
    <cellStyle name="Calc Percent (0) 36" xfId="17943"/>
    <cellStyle name="Calc Percent (0) 4" xfId="17944"/>
    <cellStyle name="Calc Percent (0) 5" xfId="17945"/>
    <cellStyle name="Calc Percent (0) 6" xfId="17946"/>
    <cellStyle name="Calc Percent (0) 7" xfId="17947"/>
    <cellStyle name="Calc Percent (0) 8" xfId="17948"/>
    <cellStyle name="Calc Percent (0) 8 2" xfId="17949"/>
    <cellStyle name="Calc Percent (0) 8 3" xfId="17950"/>
    <cellStyle name="Calc Percent (0) 8 4" xfId="17951"/>
    <cellStyle name="Calc Percent (0) 8 5" xfId="17952"/>
    <cellStyle name="Calc Percent (0) 8 6" xfId="17953"/>
    <cellStyle name="Calc Percent (0) 8 7" xfId="17954"/>
    <cellStyle name="Calc Percent (0) 8 8" xfId="17955"/>
    <cellStyle name="Calc Percent (0) 9" xfId="17956"/>
    <cellStyle name="Calc Percent (1)" xfId="17957"/>
    <cellStyle name="Calc Percent (1) 10" xfId="17958"/>
    <cellStyle name="Calc Percent (1) 10 10" xfId="17959"/>
    <cellStyle name="Calc Percent (1) 10 11" xfId="17960"/>
    <cellStyle name="Calc Percent (1) 10 2" xfId="17961"/>
    <cellStyle name="Calc Percent (1) 10 2 2" xfId="17962"/>
    <cellStyle name="Calc Percent (1) 10 2 3" xfId="17963"/>
    <cellStyle name="Calc Percent (1) 10 2 4" xfId="17964"/>
    <cellStyle name="Calc Percent (1) 10 2 5" xfId="17965"/>
    <cellStyle name="Calc Percent (1) 10 2 6" xfId="17966"/>
    <cellStyle name="Calc Percent (1) 10 2 7" xfId="17967"/>
    <cellStyle name="Calc Percent (1) 10 2 8" xfId="17968"/>
    <cellStyle name="Calc Percent (1) 10 2 9" xfId="17969"/>
    <cellStyle name="Calc Percent (1) 10 3" xfId="17970"/>
    <cellStyle name="Calc Percent (1) 10 3 2" xfId="17971"/>
    <cellStyle name="Calc Percent (1) 10 3 3" xfId="17972"/>
    <cellStyle name="Calc Percent (1) 10 3 4" xfId="17973"/>
    <cellStyle name="Calc Percent (1) 10 3 5" xfId="17974"/>
    <cellStyle name="Calc Percent (1) 10 3 6" xfId="17975"/>
    <cellStyle name="Calc Percent (1) 10 3 7" xfId="17976"/>
    <cellStyle name="Calc Percent (1) 10 3 8" xfId="17977"/>
    <cellStyle name="Calc Percent (1) 10 3 9" xfId="17978"/>
    <cellStyle name="Calc Percent (1) 10 4" xfId="17979"/>
    <cellStyle name="Calc Percent (1) 10 5" xfId="17980"/>
    <cellStyle name="Calc Percent (1) 10 6" xfId="17981"/>
    <cellStyle name="Calc Percent (1) 10 7" xfId="17982"/>
    <cellStyle name="Calc Percent (1) 10 8" xfId="17983"/>
    <cellStyle name="Calc Percent (1) 10 9" xfId="17984"/>
    <cellStyle name="Calc Percent (1) 11" xfId="17985"/>
    <cellStyle name="Calc Percent (1) 11 2" xfId="17986"/>
    <cellStyle name="Calc Percent (1) 11 3" xfId="17987"/>
    <cellStyle name="Calc Percent (1) 11 4" xfId="17988"/>
    <cellStyle name="Calc Percent (1) 11 5" xfId="17989"/>
    <cellStyle name="Calc Percent (1) 11 6" xfId="17990"/>
    <cellStyle name="Calc Percent (1) 11 7" xfId="17991"/>
    <cellStyle name="Calc Percent (1) 11 8" xfId="17992"/>
    <cellStyle name="Calc Percent (1) 11 9" xfId="17993"/>
    <cellStyle name="Calc Percent (1) 12" xfId="17994"/>
    <cellStyle name="Calc Percent (1) 12 2" xfId="17995"/>
    <cellStyle name="Calc Percent (1) 12 3" xfId="17996"/>
    <cellStyle name="Calc Percent (1) 12 4" xfId="17997"/>
    <cellStyle name="Calc Percent (1) 12 5" xfId="17998"/>
    <cellStyle name="Calc Percent (1) 12 6" xfId="17999"/>
    <cellStyle name="Calc Percent (1) 12 7" xfId="18000"/>
    <cellStyle name="Calc Percent (1) 12 8" xfId="18001"/>
    <cellStyle name="Calc Percent (1) 12 9" xfId="18002"/>
    <cellStyle name="Calc Percent (1) 13" xfId="18003"/>
    <cellStyle name="Calc Percent (1) 13 10" xfId="18004"/>
    <cellStyle name="Calc Percent (1) 13 11" xfId="18005"/>
    <cellStyle name="Calc Percent (1) 13 12" xfId="18006"/>
    <cellStyle name="Calc Percent (1) 13 13" xfId="18007"/>
    <cellStyle name="Calc Percent (1) 13 14" xfId="18008"/>
    <cellStyle name="Calc Percent (1) 13 15" xfId="18009"/>
    <cellStyle name="Calc Percent (1) 13 16" xfId="18010"/>
    <cellStyle name="Calc Percent (1) 13 2" xfId="18011"/>
    <cellStyle name="Calc Percent (1) 13 3" xfId="18012"/>
    <cellStyle name="Calc Percent (1) 13 4" xfId="18013"/>
    <cellStyle name="Calc Percent (1) 13 5" xfId="18014"/>
    <cellStyle name="Calc Percent (1) 13 6" xfId="18015"/>
    <cellStyle name="Calc Percent (1) 13 7" xfId="18016"/>
    <cellStyle name="Calc Percent (1) 13 8" xfId="18017"/>
    <cellStyle name="Calc Percent (1) 13 9" xfId="18018"/>
    <cellStyle name="Calc Percent (1) 14" xfId="18019"/>
    <cellStyle name="Calc Percent (1) 14 10" xfId="18020"/>
    <cellStyle name="Calc Percent (1) 14 11" xfId="18021"/>
    <cellStyle name="Calc Percent (1) 14 12" xfId="18022"/>
    <cellStyle name="Calc Percent (1) 14 13" xfId="18023"/>
    <cellStyle name="Calc Percent (1) 14 14" xfId="18024"/>
    <cellStyle name="Calc Percent (1) 14 15" xfId="18025"/>
    <cellStyle name="Calc Percent (1) 14 16" xfId="18026"/>
    <cellStyle name="Calc Percent (1) 14 2" xfId="18027"/>
    <cellStyle name="Calc Percent (1) 14 3" xfId="18028"/>
    <cellStyle name="Calc Percent (1) 14 4" xfId="18029"/>
    <cellStyle name="Calc Percent (1) 14 5" xfId="18030"/>
    <cellStyle name="Calc Percent (1) 14 6" xfId="18031"/>
    <cellStyle name="Calc Percent (1) 14 7" xfId="18032"/>
    <cellStyle name="Calc Percent (1) 14 8" xfId="18033"/>
    <cellStyle name="Calc Percent (1) 14 9" xfId="18034"/>
    <cellStyle name="Calc Percent (1) 15" xfId="18035"/>
    <cellStyle name="Calc Percent (1) 15 10" xfId="18036"/>
    <cellStyle name="Calc Percent (1) 15 11" xfId="18037"/>
    <cellStyle name="Calc Percent (1) 15 12" xfId="18038"/>
    <cellStyle name="Calc Percent (1) 15 13" xfId="18039"/>
    <cellStyle name="Calc Percent (1) 15 14" xfId="18040"/>
    <cellStyle name="Calc Percent (1) 15 15" xfId="18041"/>
    <cellStyle name="Calc Percent (1) 15 16" xfId="18042"/>
    <cellStyle name="Calc Percent (1) 15 2" xfId="18043"/>
    <cellStyle name="Calc Percent (1) 15 3" xfId="18044"/>
    <cellStyle name="Calc Percent (1) 15 4" xfId="18045"/>
    <cellStyle name="Calc Percent (1) 15 5" xfId="18046"/>
    <cellStyle name="Calc Percent (1) 15 6" xfId="18047"/>
    <cellStyle name="Calc Percent (1) 15 7" xfId="18048"/>
    <cellStyle name="Calc Percent (1) 15 8" xfId="18049"/>
    <cellStyle name="Calc Percent (1) 15 9" xfId="18050"/>
    <cellStyle name="Calc Percent (1) 16" xfId="18051"/>
    <cellStyle name="Calc Percent (1) 16 2" xfId="18052"/>
    <cellStyle name="Calc Percent (1) 16 3" xfId="18053"/>
    <cellStyle name="Calc Percent (1) 16 4" xfId="18054"/>
    <cellStyle name="Calc Percent (1) 16 5" xfId="18055"/>
    <cellStyle name="Calc Percent (1) 16 6" xfId="18056"/>
    <cellStyle name="Calc Percent (1) 16 7" xfId="18057"/>
    <cellStyle name="Calc Percent (1) 16 8" xfId="18058"/>
    <cellStyle name="Calc Percent (1) 16 9" xfId="18059"/>
    <cellStyle name="Calc Percent (1) 17" xfId="18060"/>
    <cellStyle name="Calc Percent (1) 17 2" xfId="18061"/>
    <cellStyle name="Calc Percent (1) 17 3" xfId="18062"/>
    <cellStyle name="Calc Percent (1) 17 4" xfId="18063"/>
    <cellStyle name="Calc Percent (1) 17 5" xfId="18064"/>
    <cellStyle name="Calc Percent (1) 17 6" xfId="18065"/>
    <cellStyle name="Calc Percent (1) 17 7" xfId="18066"/>
    <cellStyle name="Calc Percent (1) 17 8" xfId="18067"/>
    <cellStyle name="Calc Percent (1) 17 9" xfId="18068"/>
    <cellStyle name="Calc Percent (1) 18" xfId="18069"/>
    <cellStyle name="Calc Percent (1) 18 2" xfId="18070"/>
    <cellStyle name="Calc Percent (1) 18 3" xfId="18071"/>
    <cellStyle name="Calc Percent (1) 18 4" xfId="18072"/>
    <cellStyle name="Calc Percent (1) 18 5" xfId="18073"/>
    <cellStyle name="Calc Percent (1) 18 6" xfId="18074"/>
    <cellStyle name="Calc Percent (1) 18 7" xfId="18075"/>
    <cellStyle name="Calc Percent (1) 18 8" xfId="18076"/>
    <cellStyle name="Calc Percent (1) 18 9" xfId="18077"/>
    <cellStyle name="Calc Percent (1) 19" xfId="18078"/>
    <cellStyle name="Calc Percent (1) 19 2" xfId="18079"/>
    <cellStyle name="Calc Percent (1) 19 3" xfId="18080"/>
    <cellStyle name="Calc Percent (1) 19 4" xfId="18081"/>
    <cellStyle name="Calc Percent (1) 19 5" xfId="18082"/>
    <cellStyle name="Calc Percent (1) 19 6" xfId="18083"/>
    <cellStyle name="Calc Percent (1) 19 7" xfId="18084"/>
    <cellStyle name="Calc Percent (1) 19 8" xfId="18085"/>
    <cellStyle name="Calc Percent (1) 19 9" xfId="18086"/>
    <cellStyle name="Calc Percent (1) 2" xfId="18087"/>
    <cellStyle name="Calc Percent (1) 2 10" xfId="18088"/>
    <cellStyle name="Calc Percent (1) 2 10 2" xfId="18089"/>
    <cellStyle name="Calc Percent (1) 2 10 3" xfId="18090"/>
    <cellStyle name="Calc Percent (1) 2 11" xfId="18091"/>
    <cellStyle name="Calc Percent (1) 2 11 2" xfId="18092"/>
    <cellStyle name="Calc Percent (1) 2 11 2 2" xfId="18093"/>
    <cellStyle name="Calc Percent (1) 2 11 2 3" xfId="18094"/>
    <cellStyle name="Calc Percent (1) 2 11 3" xfId="18095"/>
    <cellStyle name="Calc Percent (1) 2 12" xfId="18096"/>
    <cellStyle name="Calc Percent (1) 2 13" xfId="18097"/>
    <cellStyle name="Calc Percent (1) 2 14" xfId="18098"/>
    <cellStyle name="Calc Percent (1) 2 2" xfId="18099"/>
    <cellStyle name="Calc Percent (1) 2 2 10" xfId="18100"/>
    <cellStyle name="Calc Percent (1) 2 2 11" xfId="18101"/>
    <cellStyle name="Calc Percent (1) 2 2 12" xfId="18102"/>
    <cellStyle name="Calc Percent (1) 2 2 13" xfId="18103"/>
    <cellStyle name="Calc Percent (1) 2 2 14" xfId="18104"/>
    <cellStyle name="Calc Percent (1) 2 2 15" xfId="18105"/>
    <cellStyle name="Calc Percent (1) 2 2 16" xfId="18106"/>
    <cellStyle name="Calc Percent (1) 2 2 17" xfId="18107"/>
    <cellStyle name="Calc Percent (1) 2 2 18" xfId="18108"/>
    <cellStyle name="Calc Percent (1) 2 2 2" xfId="18109"/>
    <cellStyle name="Calc Percent (1) 2 2 2 2" xfId="18110"/>
    <cellStyle name="Calc Percent (1) 2 2 2 2 2" xfId="18111"/>
    <cellStyle name="Calc Percent (1) 2 2 2 2 3" xfId="18112"/>
    <cellStyle name="Calc Percent (1) 2 2 2 2 4" xfId="18113"/>
    <cellStyle name="Calc Percent (1) 2 2 2 2 5" xfId="18114"/>
    <cellStyle name="Calc Percent (1) 2 2 2 2 6" xfId="18115"/>
    <cellStyle name="Calc Percent (1) 2 2 2 2 7" xfId="18116"/>
    <cellStyle name="Calc Percent (1) 2 2 2 2 8" xfId="18117"/>
    <cellStyle name="Calc Percent (1) 2 2 2 3" xfId="18118"/>
    <cellStyle name="Calc Percent (1) 2 2 2 4" xfId="18119"/>
    <cellStyle name="Calc Percent (1) 2 2 2 5" xfId="18120"/>
    <cellStyle name="Calc Percent (1) 2 2 2 6" xfId="18121"/>
    <cellStyle name="Calc Percent (1) 2 2 2 7" xfId="18122"/>
    <cellStyle name="Calc Percent (1) 2 2 2 8" xfId="18123"/>
    <cellStyle name="Calc Percent (1) 2 2 2 9" xfId="18124"/>
    <cellStyle name="Calc Percent (1) 2 2 3" xfId="18125"/>
    <cellStyle name="Calc Percent (1) 2 2 3 2" xfId="18126"/>
    <cellStyle name="Calc Percent (1) 2 2 3 3" xfId="18127"/>
    <cellStyle name="Calc Percent (1) 2 2 3 4" xfId="18128"/>
    <cellStyle name="Calc Percent (1) 2 2 3 5" xfId="18129"/>
    <cellStyle name="Calc Percent (1) 2 2 3 6" xfId="18130"/>
    <cellStyle name="Calc Percent (1) 2 2 3 7" xfId="18131"/>
    <cellStyle name="Calc Percent (1) 2 2 3 8" xfId="18132"/>
    <cellStyle name="Calc Percent (1) 2 2 3 9" xfId="18133"/>
    <cellStyle name="Calc Percent (1) 2 2 4" xfId="18134"/>
    <cellStyle name="Calc Percent (1) 2 2 5" xfId="18135"/>
    <cellStyle name="Calc Percent (1) 2 2 6" xfId="18136"/>
    <cellStyle name="Calc Percent (1) 2 2 7" xfId="18137"/>
    <cellStyle name="Calc Percent (1) 2 2 8" xfId="18138"/>
    <cellStyle name="Calc Percent (1) 2 2 9" xfId="18139"/>
    <cellStyle name="Calc Percent (1) 2 3" xfId="18140"/>
    <cellStyle name="Calc Percent (1) 2 3 10" xfId="18141"/>
    <cellStyle name="Calc Percent (1) 2 3 11" xfId="18142"/>
    <cellStyle name="Calc Percent (1) 2 3 12" xfId="18143"/>
    <cellStyle name="Calc Percent (1) 2 3 13" xfId="18144"/>
    <cellStyle name="Calc Percent (1) 2 3 14" xfId="18145"/>
    <cellStyle name="Calc Percent (1) 2 3 15" xfId="18146"/>
    <cellStyle name="Calc Percent (1) 2 3 16" xfId="18147"/>
    <cellStyle name="Calc Percent (1) 2 3 2" xfId="18148"/>
    <cellStyle name="Calc Percent (1) 2 3 2 2" xfId="18149"/>
    <cellStyle name="Calc Percent (1) 2 3 2 2 2" xfId="18150"/>
    <cellStyle name="Calc Percent (1) 2 3 2 2 2 2" xfId="18151"/>
    <cellStyle name="Calc Percent (1) 2 3 2 2 2 2 2" xfId="18152"/>
    <cellStyle name="Calc Percent (1) 2 3 2 2 2 2 3" xfId="18153"/>
    <cellStyle name="Calc Percent (1) 2 3 2 2 2 2 4" xfId="18154"/>
    <cellStyle name="Calc Percent (1) 2 3 2 2 2 2 5" xfId="18155"/>
    <cellStyle name="Calc Percent (1) 2 3 2 2 2 2 6" xfId="18156"/>
    <cellStyle name="Calc Percent (1) 2 3 2 2 2 2 7" xfId="18157"/>
    <cellStyle name="Calc Percent (1) 2 3 2 2 2 2 8" xfId="18158"/>
    <cellStyle name="Calc Percent (1) 2 3 2 2 2 3" xfId="18159"/>
    <cellStyle name="Calc Percent (1) 2 3 2 2 2 4" xfId="18160"/>
    <cellStyle name="Calc Percent (1) 2 3 2 2 2 5" xfId="18161"/>
    <cellStyle name="Calc Percent (1) 2 3 2 2 2 6" xfId="18162"/>
    <cellStyle name="Calc Percent (1) 2 3 2 2 2 7" xfId="18163"/>
    <cellStyle name="Calc Percent (1) 2 3 2 2 2 8" xfId="18164"/>
    <cellStyle name="Calc Percent (1) 2 3 2 2 2 9" xfId="18165"/>
    <cellStyle name="Calc Percent (1) 2 3 2 2 3" xfId="18166"/>
    <cellStyle name="Calc Percent (1) 2 3 2 2 4" xfId="18167"/>
    <cellStyle name="Calc Percent (1) 2 3 2 2 5" xfId="18168"/>
    <cellStyle name="Calc Percent (1) 2 3 2 2 6" xfId="18169"/>
    <cellStyle name="Calc Percent (1) 2 3 2 2 7" xfId="18170"/>
    <cellStyle name="Calc Percent (1) 2 3 2 2 8" xfId="18171"/>
    <cellStyle name="Calc Percent (1) 2 3 2 2 9" xfId="18172"/>
    <cellStyle name="Calc Percent (1) 2 3 2 3" xfId="18173"/>
    <cellStyle name="Calc Percent (1) 2 3 2 4" xfId="18174"/>
    <cellStyle name="Calc Percent (1) 2 3 2 5" xfId="18175"/>
    <cellStyle name="Calc Percent (1) 2 3 2 6" xfId="18176"/>
    <cellStyle name="Calc Percent (1) 2 3 2 7" xfId="18177"/>
    <cellStyle name="Calc Percent (1) 2 3 2 8" xfId="18178"/>
    <cellStyle name="Calc Percent (1) 2 3 2 9" xfId="18179"/>
    <cellStyle name="Calc Percent (1) 2 3 3" xfId="18180"/>
    <cellStyle name="Calc Percent (1) 2 3 3 2" xfId="18181"/>
    <cellStyle name="Calc Percent (1) 2 3 3 3" xfId="18182"/>
    <cellStyle name="Calc Percent (1) 2 3 3 4" xfId="18183"/>
    <cellStyle name="Calc Percent (1) 2 3 3 5" xfId="18184"/>
    <cellStyle name="Calc Percent (1) 2 3 3 6" xfId="18185"/>
    <cellStyle name="Calc Percent (1) 2 3 3 7" xfId="18186"/>
    <cellStyle name="Calc Percent (1) 2 3 3 8" xfId="18187"/>
    <cellStyle name="Calc Percent (1) 2 3 4" xfId="18188"/>
    <cellStyle name="Calc Percent (1) 2 3 4 2" xfId="18189"/>
    <cellStyle name="Calc Percent (1) 2 3 4 3" xfId="18190"/>
    <cellStyle name="Calc Percent (1) 2 3 4 4" xfId="18191"/>
    <cellStyle name="Calc Percent (1) 2 3 4 5" xfId="18192"/>
    <cellStyle name="Calc Percent (1) 2 3 4 6" xfId="18193"/>
    <cellStyle name="Calc Percent (1) 2 3 4 7" xfId="18194"/>
    <cellStyle name="Calc Percent (1) 2 3 4 8" xfId="18195"/>
    <cellStyle name="Calc Percent (1) 2 3 5" xfId="18196"/>
    <cellStyle name="Calc Percent (1) 2 3 5 2" xfId="18197"/>
    <cellStyle name="Calc Percent (1) 2 3 5 3" xfId="18198"/>
    <cellStyle name="Calc Percent (1) 2 3 5 4" xfId="18199"/>
    <cellStyle name="Calc Percent (1) 2 3 5 5" xfId="18200"/>
    <cellStyle name="Calc Percent (1) 2 3 5 6" xfId="18201"/>
    <cellStyle name="Calc Percent (1) 2 3 5 7" xfId="18202"/>
    <cellStyle name="Calc Percent (1) 2 3 5 8" xfId="18203"/>
    <cellStyle name="Calc Percent (1) 2 3 6" xfId="18204"/>
    <cellStyle name="Calc Percent (1) 2 3 6 2" xfId="18205"/>
    <cellStyle name="Calc Percent (1) 2 3 6 3" xfId="18206"/>
    <cellStyle name="Calc Percent (1) 2 3 6 4" xfId="18207"/>
    <cellStyle name="Calc Percent (1) 2 3 6 5" xfId="18208"/>
    <cellStyle name="Calc Percent (1) 2 3 6 6" xfId="18209"/>
    <cellStyle name="Calc Percent (1) 2 3 6 7" xfId="18210"/>
    <cellStyle name="Calc Percent (1) 2 3 6 8" xfId="18211"/>
    <cellStyle name="Calc Percent (1) 2 3 7" xfId="18212"/>
    <cellStyle name="Calc Percent (1) 2 3 8" xfId="18213"/>
    <cellStyle name="Calc Percent (1) 2 3 9" xfId="18214"/>
    <cellStyle name="Calc Percent (1) 2 4" xfId="18215"/>
    <cellStyle name="Calc Percent (1) 2 4 2" xfId="18216"/>
    <cellStyle name="Calc Percent (1) 2 4 3" xfId="18217"/>
    <cellStyle name="Calc Percent (1) 2 5" xfId="18218"/>
    <cellStyle name="Calc Percent (1) 2 5 2" xfId="18219"/>
    <cellStyle name="Calc Percent (1) 2 5 3" xfId="18220"/>
    <cellStyle name="Calc Percent (1) 2 6" xfId="18221"/>
    <cellStyle name="Calc Percent (1) 2 6 2" xfId="18222"/>
    <cellStyle name="Calc Percent (1) 2 6 3" xfId="18223"/>
    <cellStyle name="Calc Percent (1) 2 7" xfId="18224"/>
    <cellStyle name="Calc Percent (1) 2 7 2" xfId="18225"/>
    <cellStyle name="Calc Percent (1) 2 7 3" xfId="18226"/>
    <cellStyle name="Calc Percent (1) 2 8" xfId="18227"/>
    <cellStyle name="Calc Percent (1) 2 8 2" xfId="18228"/>
    <cellStyle name="Calc Percent (1) 2 8 3" xfId="18229"/>
    <cellStyle name="Calc Percent (1) 2 9" xfId="18230"/>
    <cellStyle name="Calc Percent (1) 2 9 2" xfId="18231"/>
    <cellStyle name="Calc Percent (1) 2 9 3" xfId="18232"/>
    <cellStyle name="Calc Percent (1) 2_You Plus DCF Workpapers" xfId="18233"/>
    <cellStyle name="Calc Percent (1) 20" xfId="18234"/>
    <cellStyle name="Calc Percent (1) 20 2" xfId="18235"/>
    <cellStyle name="Calc Percent (1) 20 3" xfId="18236"/>
    <cellStyle name="Calc Percent (1) 20 4" xfId="18237"/>
    <cellStyle name="Calc Percent (1) 20 5" xfId="18238"/>
    <cellStyle name="Calc Percent (1) 20 6" xfId="18239"/>
    <cellStyle name="Calc Percent (1) 20 7" xfId="18240"/>
    <cellStyle name="Calc Percent (1) 20 8" xfId="18241"/>
    <cellStyle name="Calc Percent (1) 20 9" xfId="18242"/>
    <cellStyle name="Calc Percent (1) 21" xfId="18243"/>
    <cellStyle name="Calc Percent (1) 21 2" xfId="18244"/>
    <cellStyle name="Calc Percent (1) 21 3" xfId="18245"/>
    <cellStyle name="Calc Percent (1) 21 4" xfId="18246"/>
    <cellStyle name="Calc Percent (1) 21 5" xfId="18247"/>
    <cellStyle name="Calc Percent (1) 21 6" xfId="18248"/>
    <cellStyle name="Calc Percent (1) 21 7" xfId="18249"/>
    <cellStyle name="Calc Percent (1) 21 8" xfId="18250"/>
    <cellStyle name="Calc Percent (1) 21 9" xfId="18251"/>
    <cellStyle name="Calc Percent (1) 22" xfId="18252"/>
    <cellStyle name="Calc Percent (1) 22 2" xfId="18253"/>
    <cellStyle name="Calc Percent (1) 22 3" xfId="18254"/>
    <cellStyle name="Calc Percent (1) 22 4" xfId="18255"/>
    <cellStyle name="Calc Percent (1) 22 5" xfId="18256"/>
    <cellStyle name="Calc Percent (1) 22 6" xfId="18257"/>
    <cellStyle name="Calc Percent (1) 22 7" xfId="18258"/>
    <cellStyle name="Calc Percent (1) 22 8" xfId="18259"/>
    <cellStyle name="Calc Percent (1) 22 9" xfId="18260"/>
    <cellStyle name="Calc Percent (1) 23" xfId="18261"/>
    <cellStyle name="Calc Percent (1) 24" xfId="18262"/>
    <cellStyle name="Calc Percent (1) 25" xfId="18263"/>
    <cellStyle name="Calc Percent (1) 26" xfId="18264"/>
    <cellStyle name="Calc Percent (1) 27" xfId="18265"/>
    <cellStyle name="Calc Percent (1) 28" xfId="18266"/>
    <cellStyle name="Calc Percent (1) 29" xfId="18267"/>
    <cellStyle name="Calc Percent (1) 3" xfId="18268"/>
    <cellStyle name="Calc Percent (1) 3 10" xfId="18269"/>
    <cellStyle name="Calc Percent (1) 3 11" xfId="18270"/>
    <cellStyle name="Calc Percent (1) 3 2" xfId="18271"/>
    <cellStyle name="Calc Percent (1) 3 2 10" xfId="18272"/>
    <cellStyle name="Calc Percent (1) 3 2 11" xfId="18273"/>
    <cellStyle name="Calc Percent (1) 3 2 12" xfId="18274"/>
    <cellStyle name="Calc Percent (1) 3 2 13" xfId="18275"/>
    <cellStyle name="Calc Percent (1) 3 2 14" xfId="18276"/>
    <cellStyle name="Calc Percent (1) 3 2 15" xfId="18277"/>
    <cellStyle name="Calc Percent (1) 3 2 16" xfId="18278"/>
    <cellStyle name="Calc Percent (1) 3 2 2" xfId="18279"/>
    <cellStyle name="Calc Percent (1) 3 2 2 2" xfId="18280"/>
    <cellStyle name="Calc Percent (1) 3 2 2 3" xfId="18281"/>
    <cellStyle name="Calc Percent (1) 3 2 3" xfId="18282"/>
    <cellStyle name="Calc Percent (1) 3 2 3 2" xfId="18283"/>
    <cellStyle name="Calc Percent (1) 3 2 3 3" xfId="18284"/>
    <cellStyle name="Calc Percent (1) 3 2 3 4" xfId="18285"/>
    <cellStyle name="Calc Percent (1) 3 2 3 5" xfId="18286"/>
    <cellStyle name="Calc Percent (1) 3 2 3 6" xfId="18287"/>
    <cellStyle name="Calc Percent (1) 3 2 3 7" xfId="18288"/>
    <cellStyle name="Calc Percent (1) 3 2 3 8" xfId="18289"/>
    <cellStyle name="Calc Percent (1) 3 2 4" xfId="18290"/>
    <cellStyle name="Calc Percent (1) 3 2 5" xfId="18291"/>
    <cellStyle name="Calc Percent (1) 3 2 6" xfId="18292"/>
    <cellStyle name="Calc Percent (1) 3 2 7" xfId="18293"/>
    <cellStyle name="Calc Percent (1) 3 2 8" xfId="18294"/>
    <cellStyle name="Calc Percent (1) 3 2 9" xfId="18295"/>
    <cellStyle name="Calc Percent (1) 3 3" xfId="18296"/>
    <cellStyle name="Calc Percent (1) 3 3 2" xfId="18297"/>
    <cellStyle name="Calc Percent (1) 3 3 2 2" xfId="18298"/>
    <cellStyle name="Calc Percent (1) 3 3 2 2 2" xfId="18299"/>
    <cellStyle name="Calc Percent (1) 3 3 2 2 2 2" xfId="18300"/>
    <cellStyle name="Calc Percent (1) 3 3 2 2 2 3" xfId="18301"/>
    <cellStyle name="Calc Percent (1) 3 3 2 2 2 4" xfId="18302"/>
    <cellStyle name="Calc Percent (1) 3 3 2 2 2 5" xfId="18303"/>
    <cellStyle name="Calc Percent (1) 3 3 2 2 2 6" xfId="18304"/>
    <cellStyle name="Calc Percent (1) 3 3 2 2 2 7" xfId="18305"/>
    <cellStyle name="Calc Percent (1) 3 3 2 2 2 8" xfId="18306"/>
    <cellStyle name="Calc Percent (1) 3 3 2 2 3" xfId="18307"/>
    <cellStyle name="Calc Percent (1) 3 3 2 2 4" xfId="18308"/>
    <cellStyle name="Calc Percent (1) 3 3 2 2 5" xfId="18309"/>
    <cellStyle name="Calc Percent (1) 3 3 2 2 6" xfId="18310"/>
    <cellStyle name="Calc Percent (1) 3 3 2 2 7" xfId="18311"/>
    <cellStyle name="Calc Percent (1) 3 3 2 2 8" xfId="18312"/>
    <cellStyle name="Calc Percent (1) 3 3 2 2 9" xfId="18313"/>
    <cellStyle name="Calc Percent (1) 3 3 2 3" xfId="18314"/>
    <cellStyle name="Calc Percent (1) 3 3 2 4" xfId="18315"/>
    <cellStyle name="Calc Percent (1) 3 3 2 5" xfId="18316"/>
    <cellStyle name="Calc Percent (1) 3 3 2 6" xfId="18317"/>
    <cellStyle name="Calc Percent (1) 3 3 2 7" xfId="18318"/>
    <cellStyle name="Calc Percent (1) 3 3 2 8" xfId="18319"/>
    <cellStyle name="Calc Percent (1) 3 3 2 9" xfId="18320"/>
    <cellStyle name="Calc Percent (1) 3 3 3" xfId="18321"/>
    <cellStyle name="Calc Percent (1) 3 3 3 2" xfId="18322"/>
    <cellStyle name="Calc Percent (1) 3 3 3 3" xfId="18323"/>
    <cellStyle name="Calc Percent (1) 3 3 3 4" xfId="18324"/>
    <cellStyle name="Calc Percent (1) 3 3 3 5" xfId="18325"/>
    <cellStyle name="Calc Percent (1) 3 3 3 6" xfId="18326"/>
    <cellStyle name="Calc Percent (1) 3 3 3 7" xfId="18327"/>
    <cellStyle name="Calc Percent (1) 3 3 3 8" xfId="18328"/>
    <cellStyle name="Calc Percent (1) 3 3 4" xfId="18329"/>
    <cellStyle name="Calc Percent (1) 3 3 5" xfId="18330"/>
    <cellStyle name="Calc Percent (1) 3 3 6" xfId="18331"/>
    <cellStyle name="Calc Percent (1) 3 3 7" xfId="18332"/>
    <cellStyle name="Calc Percent (1) 3 3 8" xfId="18333"/>
    <cellStyle name="Calc Percent (1) 3 3 9" xfId="18334"/>
    <cellStyle name="Calc Percent (1) 3 4" xfId="18335"/>
    <cellStyle name="Calc Percent (1) 3 4 2" xfId="18336"/>
    <cellStyle name="Calc Percent (1) 3 4 3" xfId="18337"/>
    <cellStyle name="Calc Percent (1) 3 4 4" xfId="18338"/>
    <cellStyle name="Calc Percent (1) 3 4 5" xfId="18339"/>
    <cellStyle name="Calc Percent (1) 3 4 6" xfId="18340"/>
    <cellStyle name="Calc Percent (1) 3 4 7" xfId="18341"/>
    <cellStyle name="Calc Percent (1) 3 4 8" xfId="18342"/>
    <cellStyle name="Calc Percent (1) 3 5" xfId="18343"/>
    <cellStyle name="Calc Percent (1) 3 6" xfId="18344"/>
    <cellStyle name="Calc Percent (1) 3 7" xfId="18345"/>
    <cellStyle name="Calc Percent (1) 3 8" xfId="18346"/>
    <cellStyle name="Calc Percent (1) 3 9" xfId="18347"/>
    <cellStyle name="Calc Percent (1) 30" xfId="18348"/>
    <cellStyle name="Calc Percent (1) 31" xfId="18349"/>
    <cellStyle name="Calc Percent (1) 32" xfId="18350"/>
    <cellStyle name="Calc Percent (1) 33" xfId="18351"/>
    <cellStyle name="Calc Percent (1) 34" xfId="18352"/>
    <cellStyle name="Calc Percent (1) 35" xfId="18353"/>
    <cellStyle name="Calc Percent (1) 36" xfId="18354"/>
    <cellStyle name="Calc Percent (1) 4" xfId="18355"/>
    <cellStyle name="Calc Percent (1) 4 10" xfId="18356"/>
    <cellStyle name="Calc Percent (1) 4 11" xfId="18357"/>
    <cellStyle name="Calc Percent (1) 4 2" xfId="18358"/>
    <cellStyle name="Calc Percent (1) 4 2 2" xfId="18359"/>
    <cellStyle name="Calc Percent (1) 4 2 3" xfId="18360"/>
    <cellStyle name="Calc Percent (1) 4 2 4" xfId="18361"/>
    <cellStyle name="Calc Percent (1) 4 2 5" xfId="18362"/>
    <cellStyle name="Calc Percent (1) 4 2 6" xfId="18363"/>
    <cellStyle name="Calc Percent (1) 4 2 7" xfId="18364"/>
    <cellStyle name="Calc Percent (1) 4 2 8" xfId="18365"/>
    <cellStyle name="Calc Percent (1) 4 2 9" xfId="18366"/>
    <cellStyle name="Calc Percent (1) 4 3" xfId="18367"/>
    <cellStyle name="Calc Percent (1) 4 3 2" xfId="18368"/>
    <cellStyle name="Calc Percent (1) 4 3 3" xfId="18369"/>
    <cellStyle name="Calc Percent (1) 4 3 4" xfId="18370"/>
    <cellStyle name="Calc Percent (1) 4 3 5" xfId="18371"/>
    <cellStyle name="Calc Percent (1) 4 3 6" xfId="18372"/>
    <cellStyle name="Calc Percent (1) 4 3 7" xfId="18373"/>
    <cellStyle name="Calc Percent (1) 4 3 8" xfId="18374"/>
    <cellStyle name="Calc Percent (1) 4 3 9" xfId="18375"/>
    <cellStyle name="Calc Percent (1) 4 4" xfId="18376"/>
    <cellStyle name="Calc Percent (1) 4 5" xfId="18377"/>
    <cellStyle name="Calc Percent (1) 4 6" xfId="18378"/>
    <cellStyle name="Calc Percent (1) 4 7" xfId="18379"/>
    <cellStyle name="Calc Percent (1) 4 8" xfId="18380"/>
    <cellStyle name="Calc Percent (1) 4 9" xfId="18381"/>
    <cellStyle name="Calc Percent (1) 5" xfId="18382"/>
    <cellStyle name="Calc Percent (1) 5 10" xfId="18383"/>
    <cellStyle name="Calc Percent (1) 5 11" xfId="18384"/>
    <cellStyle name="Calc Percent (1) 5 2" xfId="18385"/>
    <cellStyle name="Calc Percent (1) 5 2 10" xfId="18386"/>
    <cellStyle name="Calc Percent (1) 5 2 11" xfId="18387"/>
    <cellStyle name="Calc Percent (1) 5 2 12" xfId="18388"/>
    <cellStyle name="Calc Percent (1) 5 2 13" xfId="18389"/>
    <cellStyle name="Calc Percent (1) 5 2 14" xfId="18390"/>
    <cellStyle name="Calc Percent (1) 5 2 15" xfId="18391"/>
    <cellStyle name="Calc Percent (1) 5 2 16" xfId="18392"/>
    <cellStyle name="Calc Percent (1) 5 2 2" xfId="18393"/>
    <cellStyle name="Calc Percent (1) 5 2 2 2" xfId="18394"/>
    <cellStyle name="Calc Percent (1) 5 2 2 2 2" xfId="18395"/>
    <cellStyle name="Calc Percent (1) 5 2 2 2 3" xfId="18396"/>
    <cellStyle name="Calc Percent (1) 5 2 2 3" xfId="18397"/>
    <cellStyle name="Calc Percent (1) 5 2 3" xfId="18398"/>
    <cellStyle name="Calc Percent (1) 5 2 4" xfId="18399"/>
    <cellStyle name="Calc Percent (1) 5 2 5" xfId="18400"/>
    <cellStyle name="Calc Percent (1) 5 2 6" xfId="18401"/>
    <cellStyle name="Calc Percent (1) 5 2 7" xfId="18402"/>
    <cellStyle name="Calc Percent (1) 5 2 8" xfId="18403"/>
    <cellStyle name="Calc Percent (1) 5 2 9" xfId="18404"/>
    <cellStyle name="Calc Percent (1) 5 3" xfId="18405"/>
    <cellStyle name="Calc Percent (1) 5 3 2" xfId="18406"/>
    <cellStyle name="Calc Percent (1) 5 3 3" xfId="18407"/>
    <cellStyle name="Calc Percent (1) 5 3 4" xfId="18408"/>
    <cellStyle name="Calc Percent (1) 5 3 5" xfId="18409"/>
    <cellStyle name="Calc Percent (1) 5 3 6" xfId="18410"/>
    <cellStyle name="Calc Percent (1) 5 3 7" xfId="18411"/>
    <cellStyle name="Calc Percent (1) 5 3 8" xfId="18412"/>
    <cellStyle name="Calc Percent (1) 5 3 9" xfId="18413"/>
    <cellStyle name="Calc Percent (1) 5 4" xfId="18414"/>
    <cellStyle name="Calc Percent (1) 5 5" xfId="18415"/>
    <cellStyle name="Calc Percent (1) 5 6" xfId="18416"/>
    <cellStyle name="Calc Percent (1) 5 6 2" xfId="18417"/>
    <cellStyle name="Calc Percent (1) 5 6 3" xfId="18418"/>
    <cellStyle name="Calc Percent (1) 5 6 4" xfId="18419"/>
    <cellStyle name="Calc Percent (1) 5 6 5" xfId="18420"/>
    <cellStyle name="Calc Percent (1) 5 6 6" xfId="18421"/>
    <cellStyle name="Calc Percent (1) 5 6 7" xfId="18422"/>
    <cellStyle name="Calc Percent (1) 5 6 8" xfId="18423"/>
    <cellStyle name="Calc Percent (1) 5 7" xfId="18424"/>
    <cellStyle name="Calc Percent (1) 5 8" xfId="18425"/>
    <cellStyle name="Calc Percent (1) 5 9" xfId="18426"/>
    <cellStyle name="Calc Percent (1) 6" xfId="18427"/>
    <cellStyle name="Calc Percent (1) 6 10" xfId="18428"/>
    <cellStyle name="Calc Percent (1) 6 11" xfId="18429"/>
    <cellStyle name="Calc Percent (1) 6 2" xfId="18430"/>
    <cellStyle name="Calc Percent (1) 6 2 2" xfId="18431"/>
    <cellStyle name="Calc Percent (1) 6 2 3" xfId="18432"/>
    <cellStyle name="Calc Percent (1) 6 2 4" xfId="18433"/>
    <cellStyle name="Calc Percent (1) 6 2 5" xfId="18434"/>
    <cellStyle name="Calc Percent (1) 6 2 6" xfId="18435"/>
    <cellStyle name="Calc Percent (1) 6 2 7" xfId="18436"/>
    <cellStyle name="Calc Percent (1) 6 2 8" xfId="18437"/>
    <cellStyle name="Calc Percent (1) 6 2 9" xfId="18438"/>
    <cellStyle name="Calc Percent (1) 6 3" xfId="18439"/>
    <cellStyle name="Calc Percent (1) 6 3 2" xfId="18440"/>
    <cellStyle name="Calc Percent (1) 6 3 3" xfId="18441"/>
    <cellStyle name="Calc Percent (1) 6 3 4" xfId="18442"/>
    <cellStyle name="Calc Percent (1) 6 3 5" xfId="18443"/>
    <cellStyle name="Calc Percent (1) 6 3 6" xfId="18444"/>
    <cellStyle name="Calc Percent (1) 6 3 7" xfId="18445"/>
    <cellStyle name="Calc Percent (1) 6 3 8" xfId="18446"/>
    <cellStyle name="Calc Percent (1) 6 3 9" xfId="18447"/>
    <cellStyle name="Calc Percent (1) 6 4" xfId="18448"/>
    <cellStyle name="Calc Percent (1) 6 5" xfId="18449"/>
    <cellStyle name="Calc Percent (1) 6 6" xfId="18450"/>
    <cellStyle name="Calc Percent (1) 6 7" xfId="18451"/>
    <cellStyle name="Calc Percent (1) 6 8" xfId="18452"/>
    <cellStyle name="Calc Percent (1) 6 9" xfId="18453"/>
    <cellStyle name="Calc Percent (1) 7" xfId="18454"/>
    <cellStyle name="Calc Percent (1) 7 10" xfId="18455"/>
    <cellStyle name="Calc Percent (1) 7 11" xfId="18456"/>
    <cellStyle name="Calc Percent (1) 7 2" xfId="18457"/>
    <cellStyle name="Calc Percent (1) 7 2 2" xfId="18458"/>
    <cellStyle name="Calc Percent (1) 7 2 3" xfId="18459"/>
    <cellStyle name="Calc Percent (1) 7 2 4" xfId="18460"/>
    <cellStyle name="Calc Percent (1) 7 2 5" xfId="18461"/>
    <cellStyle name="Calc Percent (1) 7 2 6" xfId="18462"/>
    <cellStyle name="Calc Percent (1) 7 2 7" xfId="18463"/>
    <cellStyle name="Calc Percent (1) 7 2 8" xfId="18464"/>
    <cellStyle name="Calc Percent (1) 7 2 9" xfId="18465"/>
    <cellStyle name="Calc Percent (1) 7 3" xfId="18466"/>
    <cellStyle name="Calc Percent (1) 7 3 2" xfId="18467"/>
    <cellStyle name="Calc Percent (1) 7 3 3" xfId="18468"/>
    <cellStyle name="Calc Percent (1) 7 3 4" xfId="18469"/>
    <cellStyle name="Calc Percent (1) 7 3 5" xfId="18470"/>
    <cellStyle name="Calc Percent (1) 7 3 6" xfId="18471"/>
    <cellStyle name="Calc Percent (1) 7 3 7" xfId="18472"/>
    <cellStyle name="Calc Percent (1) 7 3 8" xfId="18473"/>
    <cellStyle name="Calc Percent (1) 7 3 9" xfId="18474"/>
    <cellStyle name="Calc Percent (1) 7 4" xfId="18475"/>
    <cellStyle name="Calc Percent (1) 7 5" xfId="18476"/>
    <cellStyle name="Calc Percent (1) 7 6" xfId="18477"/>
    <cellStyle name="Calc Percent (1) 7 7" xfId="18478"/>
    <cellStyle name="Calc Percent (1) 7 8" xfId="18479"/>
    <cellStyle name="Calc Percent (1) 7 9" xfId="18480"/>
    <cellStyle name="Calc Percent (1) 8" xfId="18481"/>
    <cellStyle name="Calc Percent (1) 8 10" xfId="18482"/>
    <cellStyle name="Calc Percent (1) 8 11" xfId="18483"/>
    <cellStyle name="Calc Percent (1) 8 2" xfId="18484"/>
    <cellStyle name="Calc Percent (1) 8 2 2" xfId="18485"/>
    <cellStyle name="Calc Percent (1) 8 2 3" xfId="18486"/>
    <cellStyle name="Calc Percent (1) 8 2 4" xfId="18487"/>
    <cellStyle name="Calc Percent (1) 8 2 5" xfId="18488"/>
    <cellStyle name="Calc Percent (1) 8 2 6" xfId="18489"/>
    <cellStyle name="Calc Percent (1) 8 2 7" xfId="18490"/>
    <cellStyle name="Calc Percent (1) 8 2 8" xfId="18491"/>
    <cellStyle name="Calc Percent (1) 8 2 9" xfId="18492"/>
    <cellStyle name="Calc Percent (1) 8 3" xfId="18493"/>
    <cellStyle name="Calc Percent (1) 8 3 2" xfId="18494"/>
    <cellStyle name="Calc Percent (1) 8 3 3" xfId="18495"/>
    <cellStyle name="Calc Percent (1) 8 3 4" xfId="18496"/>
    <cellStyle name="Calc Percent (1) 8 3 5" xfId="18497"/>
    <cellStyle name="Calc Percent (1) 8 3 6" xfId="18498"/>
    <cellStyle name="Calc Percent (1) 8 3 7" xfId="18499"/>
    <cellStyle name="Calc Percent (1) 8 3 8" xfId="18500"/>
    <cellStyle name="Calc Percent (1) 8 3 9" xfId="18501"/>
    <cellStyle name="Calc Percent (1) 8 4" xfId="18502"/>
    <cellStyle name="Calc Percent (1) 8 5" xfId="18503"/>
    <cellStyle name="Calc Percent (1) 8 6" xfId="18504"/>
    <cellStyle name="Calc Percent (1) 8 7" xfId="18505"/>
    <cellStyle name="Calc Percent (1) 8 8" xfId="18506"/>
    <cellStyle name="Calc Percent (1) 8 9" xfId="18507"/>
    <cellStyle name="Calc Percent (1) 9" xfId="18508"/>
    <cellStyle name="Calc Percent (1) 9 10" xfId="18509"/>
    <cellStyle name="Calc Percent (1) 9 11" xfId="18510"/>
    <cellStyle name="Calc Percent (1) 9 2" xfId="18511"/>
    <cellStyle name="Calc Percent (1) 9 2 10" xfId="18512"/>
    <cellStyle name="Calc Percent (1) 9 2 11" xfId="18513"/>
    <cellStyle name="Calc Percent (1) 9 2 12" xfId="18514"/>
    <cellStyle name="Calc Percent (1) 9 2 13" xfId="18515"/>
    <cellStyle name="Calc Percent (1) 9 2 14" xfId="18516"/>
    <cellStyle name="Calc Percent (1) 9 2 15" xfId="18517"/>
    <cellStyle name="Calc Percent (1) 9 2 16" xfId="18518"/>
    <cellStyle name="Calc Percent (1) 9 2 2" xfId="18519"/>
    <cellStyle name="Calc Percent (1) 9 2 3" xfId="18520"/>
    <cellStyle name="Calc Percent (1) 9 2 4" xfId="18521"/>
    <cellStyle name="Calc Percent (1) 9 2 5" xfId="18522"/>
    <cellStyle name="Calc Percent (1) 9 2 6" xfId="18523"/>
    <cellStyle name="Calc Percent (1) 9 2 7" xfId="18524"/>
    <cellStyle name="Calc Percent (1) 9 2 8" xfId="18525"/>
    <cellStyle name="Calc Percent (1) 9 2 9" xfId="18526"/>
    <cellStyle name="Calc Percent (1) 9 3" xfId="18527"/>
    <cellStyle name="Calc Percent (1) 9 3 2" xfId="18528"/>
    <cellStyle name="Calc Percent (1) 9 3 3" xfId="18529"/>
    <cellStyle name="Calc Percent (1) 9 3 4" xfId="18530"/>
    <cellStyle name="Calc Percent (1) 9 3 5" xfId="18531"/>
    <cellStyle name="Calc Percent (1) 9 3 6" xfId="18532"/>
    <cellStyle name="Calc Percent (1) 9 3 7" xfId="18533"/>
    <cellStyle name="Calc Percent (1) 9 3 8" xfId="18534"/>
    <cellStyle name="Calc Percent (1) 9 3 9" xfId="18535"/>
    <cellStyle name="Calc Percent (1) 9 4" xfId="18536"/>
    <cellStyle name="Calc Percent (1) 9 4 2" xfId="18537"/>
    <cellStyle name="Calc Percent (1) 9 4 3" xfId="18538"/>
    <cellStyle name="Calc Percent (1) 9 4 4" xfId="18539"/>
    <cellStyle name="Calc Percent (1) 9 4 5" xfId="18540"/>
    <cellStyle name="Calc Percent (1) 9 4 6" xfId="18541"/>
    <cellStyle name="Calc Percent (1) 9 4 7" xfId="18542"/>
    <cellStyle name="Calc Percent (1) 9 4 8" xfId="18543"/>
    <cellStyle name="Calc Percent (1) 9 5" xfId="18544"/>
    <cellStyle name="Calc Percent (1) 9 6" xfId="18545"/>
    <cellStyle name="Calc Percent (1) 9 7" xfId="18546"/>
    <cellStyle name="Calc Percent (1) 9 8" xfId="18547"/>
    <cellStyle name="Calc Percent (1) 9 9" xfId="18548"/>
    <cellStyle name="Calc Percent (2)" xfId="18549"/>
    <cellStyle name="Calc Units (0)" xfId="18550"/>
    <cellStyle name="Calc Units (1)" xfId="18551"/>
    <cellStyle name="Calc Units (2)" xfId="18552"/>
    <cellStyle name="Calc x [1]" xfId="18553"/>
    <cellStyle name="Calc$" xfId="18554"/>
    <cellStyle name="Calc$ 2" xfId="18555"/>
    <cellStyle name="Calc%" xfId="18556"/>
    <cellStyle name="Calc% 2" xfId="18557"/>
    <cellStyle name="Calculation" xfId="12" builtinId="22" customBuiltin="1"/>
    <cellStyle name="Calculation 10" xfId="18558"/>
    <cellStyle name="Calculation 11" xfId="18559"/>
    <cellStyle name="Calculation 12" xfId="18560"/>
    <cellStyle name="Calculation 13" xfId="18561"/>
    <cellStyle name="Calculation 14" xfId="18562"/>
    <cellStyle name="Calculation 2" xfId="18563"/>
    <cellStyle name="Calculation 2 2" xfId="18564"/>
    <cellStyle name="Calculation 2 2 2" xfId="18565"/>
    <cellStyle name="Calculation 2 2 2 2" xfId="18566"/>
    <cellStyle name="Calculation 2 2 3" xfId="18567"/>
    <cellStyle name="Calculation 3" xfId="18568"/>
    <cellStyle name="Calculation 3 2" xfId="18569"/>
    <cellStyle name="Calculation 3 2 2" xfId="18570"/>
    <cellStyle name="Calculation 3 2 2 2" xfId="18571"/>
    <cellStyle name="Calculation 3 2 3" xfId="18572"/>
    <cellStyle name="Calculation 4" xfId="18573"/>
    <cellStyle name="Calculation 5" xfId="18574"/>
    <cellStyle name="Calculation 6" xfId="18575"/>
    <cellStyle name="Calculation 7" xfId="18576"/>
    <cellStyle name="Calculation 8" xfId="18577"/>
    <cellStyle name="Calculation 9" xfId="18578"/>
    <cellStyle name="Cálculo" xfId="18579"/>
    <cellStyle name="Cancel" xfId="18580"/>
    <cellStyle name="Caption" xfId="18581"/>
    <cellStyle name="Case" xfId="18582"/>
    <cellStyle name="Case %" xfId="18583"/>
    <cellStyle name="Case 2" xfId="18584"/>
    <cellStyle name="Cash Flow Statement" xfId="18585"/>
    <cellStyle name="Cash Flow Statement 2" xfId="18586"/>
    <cellStyle name="Cash Flow Statement 2 2" xfId="18587"/>
    <cellStyle name="Cash Flow Statement 3" xfId="18588"/>
    <cellStyle name="Cash Flow Statement 4" xfId="18589"/>
    <cellStyle name="Cash Flow Statement 5" xfId="18590"/>
    <cellStyle name="category" xfId="18591"/>
    <cellStyle name="Category Name" xfId="18592"/>
    <cellStyle name="Category Name 2" xfId="18593"/>
    <cellStyle name="Category Name 2 2" xfId="18594"/>
    <cellStyle name="Category Name 2 2 2" xfId="18595"/>
    <cellStyle name="Category Name 2 2 2 2" xfId="18596"/>
    <cellStyle name="Category Name 2 2 2 2 2" xfId="18597"/>
    <cellStyle name="Category Name 2 2 2 2 3" xfId="18598"/>
    <cellStyle name="Category Name 2 2 2 3" xfId="18599"/>
    <cellStyle name="Category Name 2 2 2 4" xfId="18600"/>
    <cellStyle name="Category Name 2 2 3" xfId="18601"/>
    <cellStyle name="Category Name 2 2 3 2" xfId="18602"/>
    <cellStyle name="Category Name 2 2 3 3" xfId="18603"/>
    <cellStyle name="Category Name 2 2 4" xfId="18604"/>
    <cellStyle name="Category Name 2 2 5" xfId="18605"/>
    <cellStyle name="Category Name 2 3" xfId="18606"/>
    <cellStyle name="Category Name 2 3 2" xfId="18607"/>
    <cellStyle name="Category Name 2 3 2 2" xfId="18608"/>
    <cellStyle name="Category Name 2 3 2 2 2" xfId="18609"/>
    <cellStyle name="Category Name 2 3 2 2 3" xfId="18610"/>
    <cellStyle name="Category Name 2 3 2 3" xfId="18611"/>
    <cellStyle name="Category Name 2 3 2 4" xfId="18612"/>
    <cellStyle name="Category Name 2 3 3" xfId="18613"/>
    <cellStyle name="Category Name 2 3 3 2" xfId="18614"/>
    <cellStyle name="Category Name 2 3 3 3" xfId="18615"/>
    <cellStyle name="Category Name 2 3 4" xfId="18616"/>
    <cellStyle name="Category Name 2 3 5" xfId="18617"/>
    <cellStyle name="Category Name 2 4" xfId="18618"/>
    <cellStyle name="Category Name 2 4 2" xfId="18619"/>
    <cellStyle name="Category Name 2 4 2 2" xfId="18620"/>
    <cellStyle name="Category Name 2 4 2 2 2" xfId="18621"/>
    <cellStyle name="Category Name 2 4 2 2 3" xfId="18622"/>
    <cellStyle name="Category Name 2 4 2 3" xfId="18623"/>
    <cellStyle name="Category Name 2 4 2 4" xfId="18624"/>
    <cellStyle name="Category Name 2 4 3" xfId="18625"/>
    <cellStyle name="Category Name 2 4 3 2" xfId="18626"/>
    <cellStyle name="Category Name 2 4 3 3" xfId="18627"/>
    <cellStyle name="Category Name 2 4 4" xfId="18628"/>
    <cellStyle name="Category Name 2 4 5" xfId="18629"/>
    <cellStyle name="Category Name 2 5" xfId="18630"/>
    <cellStyle name="Category Name 2 5 2" xfId="18631"/>
    <cellStyle name="Category Name 2 5 3" xfId="18632"/>
    <cellStyle name="Category Name 2 6" xfId="18633"/>
    <cellStyle name="Category Name 2 7" xfId="18634"/>
    <cellStyle name="Category Name 3" xfId="18635"/>
    <cellStyle name="Category Name 3 2" xfId="18636"/>
    <cellStyle name="Category Name 3 2 2" xfId="18637"/>
    <cellStyle name="Category Name 3 2 2 2" xfId="18638"/>
    <cellStyle name="Category Name 3 2 2 3" xfId="18639"/>
    <cellStyle name="Category Name 3 2 3" xfId="18640"/>
    <cellStyle name="Category Name 3 2 4" xfId="18641"/>
    <cellStyle name="Category Name 3 3" xfId="18642"/>
    <cellStyle name="Category Name 3 3 2" xfId="18643"/>
    <cellStyle name="Category Name 3 3 2 2" xfId="18644"/>
    <cellStyle name="Category Name 3 3 2 3" xfId="18645"/>
    <cellStyle name="Category Name 3 3 3" xfId="18646"/>
    <cellStyle name="Category Name 3 3 4" xfId="18647"/>
    <cellStyle name="Category Name 3 4" xfId="18648"/>
    <cellStyle name="Category Name 3 4 2" xfId="18649"/>
    <cellStyle name="Category Name 3 4 3" xfId="18650"/>
    <cellStyle name="Category Name 3 5" xfId="18651"/>
    <cellStyle name="Category Name 3 6" xfId="18652"/>
    <cellStyle name="Category Name 4" xfId="18653"/>
    <cellStyle name="Category Name 4 2" xfId="18654"/>
    <cellStyle name="Category Name 4 2 2" xfId="18655"/>
    <cellStyle name="Category Name 4 2 2 2" xfId="18656"/>
    <cellStyle name="Category Name 4 2 2 3" xfId="18657"/>
    <cellStyle name="Category Name 4 2 3" xfId="18658"/>
    <cellStyle name="Category Name 4 2 4" xfId="18659"/>
    <cellStyle name="Category Name 4 3" xfId="18660"/>
    <cellStyle name="Category Name 4 3 2" xfId="18661"/>
    <cellStyle name="Category Name 4 3 3" xfId="18662"/>
    <cellStyle name="Category Name 4 4" xfId="18663"/>
    <cellStyle name="Category Name 4 5" xfId="18664"/>
    <cellStyle name="Category Name 5" xfId="18665"/>
    <cellStyle name="Category Name 5 2" xfId="18666"/>
    <cellStyle name="Category Name 5 2 2" xfId="18667"/>
    <cellStyle name="Category Name 5 2 2 2" xfId="18668"/>
    <cellStyle name="Category Name 5 2 2 3" xfId="18669"/>
    <cellStyle name="Category Name 5 2 3" xfId="18670"/>
    <cellStyle name="Category Name 5 2 4" xfId="18671"/>
    <cellStyle name="Category Name 5 3" xfId="18672"/>
    <cellStyle name="Category Name 5 3 2" xfId="18673"/>
    <cellStyle name="Category Name 5 3 3" xfId="18674"/>
    <cellStyle name="Category Name 5 4" xfId="18675"/>
    <cellStyle name="Category Name 5 5" xfId="18676"/>
    <cellStyle name="Category Name 6" xfId="18677"/>
    <cellStyle name="Category Name 6 2" xfId="18678"/>
    <cellStyle name="Category Name 6 3" xfId="18679"/>
    <cellStyle name="Category Name 7" xfId="18680"/>
    <cellStyle name="Category Name 8" xfId="18681"/>
    <cellStyle name="Celda de comprobación" xfId="18682"/>
    <cellStyle name="Celda vinculada" xfId="18683"/>
    <cellStyle name="Célula de Verificação" xfId="18684"/>
    <cellStyle name="Célula Vinculada" xfId="18685"/>
    <cellStyle name="Center" xfId="18686"/>
    <cellStyle name="Center 2" xfId="18687"/>
    <cellStyle name="Center 2 2" xfId="18688"/>
    <cellStyle name="Center 3" xfId="18689"/>
    <cellStyle name="Center 3 2" xfId="18690"/>
    <cellStyle name="Center 4" xfId="18691"/>
    <cellStyle name="CenterBold" xfId="18692"/>
    <cellStyle name="Centered Heading" xfId="18693"/>
    <cellStyle name="Centered Heading 2" xfId="18694"/>
    <cellStyle name="CenterItalic" xfId="18695"/>
    <cellStyle name="Cents" xfId="18696"/>
    <cellStyle name="Cents 2" xfId="18697"/>
    <cellStyle name="Changeable" xfId="18698"/>
    <cellStyle name="ChartingText" xfId="18699"/>
    <cellStyle name="ChartingText 2" xfId="18700"/>
    <cellStyle name="ChartingText 3" xfId="18701"/>
    <cellStyle name="ChartingText 4" xfId="18702"/>
    <cellStyle name="Check Cell" xfId="14" builtinId="23" customBuiltin="1"/>
    <cellStyle name="Check Cell 10" xfId="18703"/>
    <cellStyle name="Check Cell 11" xfId="18704"/>
    <cellStyle name="Check Cell 12" xfId="18705"/>
    <cellStyle name="Check Cell 13" xfId="18706"/>
    <cellStyle name="Check Cell 2" xfId="18707"/>
    <cellStyle name="Check Cell 3" xfId="18708"/>
    <cellStyle name="Check Cell 4" xfId="18709"/>
    <cellStyle name="Check Cell 5" xfId="18710"/>
    <cellStyle name="Check Cell 6" xfId="18711"/>
    <cellStyle name="Check Cell 7" xfId="18712"/>
    <cellStyle name="Check Cell 8" xfId="18713"/>
    <cellStyle name="Check Cell 9" xfId="18714"/>
    <cellStyle name="CHPTop" xfId="18715"/>
    <cellStyle name="Co. Names" xfId="18716"/>
    <cellStyle name="Code" xfId="18717"/>
    <cellStyle name="Code 2" xfId="18718"/>
    <cellStyle name="Colhead_left" xfId="18719"/>
    <cellStyle name="ColHeading" xfId="18720"/>
    <cellStyle name="colheadleft" xfId="18721"/>
    <cellStyle name="colheadright" xfId="18722"/>
    <cellStyle name="Color" xfId="18723"/>
    <cellStyle name="Color 2" xfId="18724"/>
    <cellStyle name="Column Header" xfId="18725"/>
    <cellStyle name="Column Header 2" xfId="18726"/>
    <cellStyle name="Column Headings" xfId="18727"/>
    <cellStyle name="Column_Title" xfId="18728"/>
    <cellStyle name="column1" xfId="18729"/>
    <cellStyle name="column1 2" xfId="18730"/>
    <cellStyle name="column1BigNoWrap" xfId="18731"/>
    <cellStyle name="column1BigNoWrap 2" xfId="18732"/>
    <cellStyle name="column1Date" xfId="18733"/>
    <cellStyle name="column1Date 2" xfId="18734"/>
    <cellStyle name="column1Date 2 2" xfId="18735"/>
    <cellStyle name="column1Date 3" xfId="18736"/>
    <cellStyle name="column1Date 4" xfId="18737"/>
    <cellStyle name="column1Date 5" xfId="18738"/>
    <cellStyle name="column2Date" xfId="18739"/>
    <cellStyle name="column2Date 2" xfId="18740"/>
    <cellStyle name="column2Date 3" xfId="18741"/>
    <cellStyle name="column2Date 3 2" xfId="18742"/>
    <cellStyle name="column3Date" xfId="18743"/>
    <cellStyle name="column3Date 2" xfId="18744"/>
    <cellStyle name="column3Date 3" xfId="18745"/>
    <cellStyle name="column3Date 3 2" xfId="18746"/>
    <cellStyle name="ColumnHeaderNormal" xfId="18747"/>
    <cellStyle name="ColumnHeaderNormal 2" xfId="18748"/>
    <cellStyle name="ColumnHeaderNormal 3" xfId="18749"/>
    <cellStyle name="ColumnHeaderNormal 4" xfId="18750"/>
    <cellStyle name="Comma" xfId="1" builtinId="3"/>
    <cellStyle name="Comma  - Style1" xfId="18751"/>
    <cellStyle name="Comma  - Style2" xfId="18752"/>
    <cellStyle name="Comma  - Style3" xfId="18753"/>
    <cellStyle name="Comma  - Style4" xfId="18754"/>
    <cellStyle name="Comma  - Style5" xfId="18755"/>
    <cellStyle name="Comma  - Style6" xfId="18756"/>
    <cellStyle name="Comma  - Style7" xfId="18757"/>
    <cellStyle name="Comma  - Style8" xfId="18758"/>
    <cellStyle name="Comma %" xfId="18759"/>
    <cellStyle name="Comma (1)" xfId="18760"/>
    <cellStyle name="Comma (1) 2" xfId="18761"/>
    <cellStyle name="Comma (1) 2 2" xfId="18762"/>
    <cellStyle name="Comma (1) 3" xfId="18763"/>
    <cellStyle name="Comma (1) 4" xfId="18764"/>
    <cellStyle name="Comma (1) 5" xfId="18765"/>
    <cellStyle name="Comma ," xfId="18766"/>
    <cellStyle name="Comma [0] 2" xfId="18767"/>
    <cellStyle name="Comma [0] 2 2" xfId="18768"/>
    <cellStyle name="Comma [0] 3" xfId="18769"/>
    <cellStyle name="Comma [0] 3 2" xfId="18770"/>
    <cellStyle name="Comma [0] 4" xfId="18771"/>
    <cellStyle name="Comma [0] 5" xfId="18772"/>
    <cellStyle name="Comma [00]" xfId="18773"/>
    <cellStyle name="Comma [1]" xfId="18774"/>
    <cellStyle name="Comma [1] 2" xfId="18775"/>
    <cellStyle name="Comma [2]" xfId="18776"/>
    <cellStyle name="Comma [2] 2" xfId="18777"/>
    <cellStyle name="Comma [3]" xfId="18778"/>
    <cellStyle name="Comma [3] 2" xfId="18779"/>
    <cellStyle name="Comma [4]" xfId="18780"/>
    <cellStyle name="Comma 0" xfId="18781"/>
    <cellStyle name="Comma 0*" xfId="18782"/>
    <cellStyle name="Comma 0* 2" xfId="18783"/>
    <cellStyle name="Comma 0.0" xfId="18784"/>
    <cellStyle name="Comma 0.0 2" xfId="18785"/>
    <cellStyle name="Comma 0.0%" xfId="18786"/>
    <cellStyle name="Comma 0.0% 2" xfId="18787"/>
    <cellStyle name="Comma 0.00" xfId="18788"/>
    <cellStyle name="Comma 0.00 2" xfId="18789"/>
    <cellStyle name="Comma 0.00%" xfId="18790"/>
    <cellStyle name="Comma 0.00% 2" xfId="18791"/>
    <cellStyle name="Comma 0.00_Aprio - Public Comps1" xfId="18792"/>
    <cellStyle name="Comma 0.000" xfId="18793"/>
    <cellStyle name="Comma 0.000 2" xfId="18794"/>
    <cellStyle name="Comma 0.000%" xfId="18795"/>
    <cellStyle name="Comma 0.000% 2" xfId="18796"/>
    <cellStyle name="Comma 0.000_Aprio - Public Comps1" xfId="18797"/>
    <cellStyle name="Comma 0_comps" xfId="18798"/>
    <cellStyle name="Comma 10" xfId="18799"/>
    <cellStyle name="Comma 11" xfId="18800"/>
    <cellStyle name="Comma 12" xfId="18801"/>
    <cellStyle name="Comma 13" xfId="18802"/>
    <cellStyle name="Comma 13 2" xfId="18803"/>
    <cellStyle name="Comma 13 3" xfId="18804"/>
    <cellStyle name="Comma 14" xfId="18805"/>
    <cellStyle name="Comma 15" xfId="18806"/>
    <cellStyle name="Comma 16" xfId="18807"/>
    <cellStyle name="Comma 2" xfId="45"/>
    <cellStyle name="Comma 2 2" xfId="47"/>
    <cellStyle name="Comma 2 2 2" xfId="18808"/>
    <cellStyle name="Comma 2 3" xfId="18809"/>
    <cellStyle name="Comma 2 3 2" xfId="18810"/>
    <cellStyle name="Comma 2 3 3" xfId="18811"/>
    <cellStyle name="Comma 2 3 3 2" xfId="18812"/>
    <cellStyle name="Comma 2 3 3 3" xfId="18813"/>
    <cellStyle name="Comma 2 4" xfId="18814"/>
    <cellStyle name="Comma 2 4 2" xfId="18815"/>
    <cellStyle name="Comma 2 5" xfId="18816"/>
    <cellStyle name="Comma 2 5 2" xfId="18817"/>
    <cellStyle name="Comma 2 6" xfId="18818"/>
    <cellStyle name="Comma 2*" xfId="18819"/>
    <cellStyle name="Comma 2* 2" xfId="18820"/>
    <cellStyle name="Comma 2_2008 SVB Financial Information v.2" xfId="18821"/>
    <cellStyle name="Comma 24 2" xfId="18822"/>
    <cellStyle name="Comma 24 2 2" xfId="18823"/>
    <cellStyle name="Comma 3" xfId="51"/>
    <cellStyle name="Comma 3 2" xfId="18824"/>
    <cellStyle name="Comma 3 2 2" xfId="18825"/>
    <cellStyle name="Comma 3 2 3" xfId="18826"/>
    <cellStyle name="Comma 3 3" xfId="18827"/>
    <cellStyle name="Comma 3 3 2" xfId="18828"/>
    <cellStyle name="Comma 3 4" xfId="18829"/>
    <cellStyle name="Comma 3 5" xfId="18830"/>
    <cellStyle name="Comma 3 6" xfId="18831"/>
    <cellStyle name="Comma 3 7" xfId="18832"/>
    <cellStyle name="Comma 3*" xfId="18833"/>
    <cellStyle name="Comma 39" xfId="18834"/>
    <cellStyle name="Comma 4" xfId="75"/>
    <cellStyle name="Comma 4 2" xfId="18835"/>
    <cellStyle name="Comma 4 5" xfId="76"/>
    <cellStyle name="Comma 5" xfId="18836"/>
    <cellStyle name="Comma 5 2" xfId="18837"/>
    <cellStyle name="Comma 6" xfId="18838"/>
    <cellStyle name="Comma 6 2" xfId="18839"/>
    <cellStyle name="Comma 6 2 2" xfId="18840"/>
    <cellStyle name="Comma 6 2 3" xfId="18841"/>
    <cellStyle name="Comma 6 3" xfId="18842"/>
    <cellStyle name="Comma 7" xfId="18843"/>
    <cellStyle name="Comma 7 2" xfId="18844"/>
    <cellStyle name="Comma 7 2 2" xfId="18845"/>
    <cellStyle name="Comma 7 2 3" xfId="18846"/>
    <cellStyle name="Comma 7 3" xfId="18847"/>
    <cellStyle name="Comma 7 3 2" xfId="18848"/>
    <cellStyle name="Comma 7 3 3" xfId="18849"/>
    <cellStyle name="Comma 8" xfId="18850"/>
    <cellStyle name="Comma 9" xfId="18851"/>
    <cellStyle name="Comma Input" xfId="18852"/>
    <cellStyle name="Comma Input 2" xfId="18853"/>
    <cellStyle name="Comma Input 2 2" xfId="18854"/>
    <cellStyle name="Comma Input 3" xfId="18855"/>
    <cellStyle name="Comma Input 4" xfId="18856"/>
    <cellStyle name="Comma Input 5" xfId="18857"/>
    <cellStyle name="comma zerodec" xfId="18858"/>
    <cellStyle name="Comma*" xfId="18859"/>
    <cellStyle name="Comma0" xfId="18860"/>
    <cellStyle name="Comma0 - Modelo1" xfId="18861"/>
    <cellStyle name="Comma0 - Modelo1 2" xfId="18862"/>
    <cellStyle name="Comma0 - Style1" xfId="18863"/>
    <cellStyle name="Comma0 - Style1 2" xfId="18864"/>
    <cellStyle name="Comma0 - Style2" xfId="18865"/>
    <cellStyle name="Comma0 - Style3" xfId="18866"/>
    <cellStyle name="Comma0 - Style4" xfId="18867"/>
    <cellStyle name="Comma0 2" xfId="18868"/>
    <cellStyle name="Comma0_~8944579" xfId="18869"/>
    <cellStyle name="Comma1" xfId="18870"/>
    <cellStyle name="Comma1 - Modelo2" xfId="18871"/>
    <cellStyle name="Comma1 - Modelo2 2" xfId="18872"/>
    <cellStyle name="Comma1 - Style2" xfId="18873"/>
    <cellStyle name="Comma1 - Style2 2" xfId="18874"/>
    <cellStyle name="Comma1 2" xfId="18875"/>
    <cellStyle name="Comma2" xfId="18876"/>
    <cellStyle name="Comma2 2" xfId="18877"/>
    <cellStyle name="Comments" xfId="18878"/>
    <cellStyle name="Company" xfId="18879"/>
    <cellStyle name="Company 2" xfId="18880"/>
    <cellStyle name="Company Name" xfId="18881"/>
    <cellStyle name="Company Name 2" xfId="18882"/>
    <cellStyle name="Company_Boston Power VD 01 31 2008 Model 02 26 2008" xfId="18883"/>
    <cellStyle name="CompanyName" xfId="18884"/>
    <cellStyle name="CompanyName 2" xfId="18885"/>
    <cellStyle name="Compressed" xfId="18886"/>
    <cellStyle name="Copied" xfId="18887"/>
    <cellStyle name="Copied 2" xfId="18888"/>
    <cellStyle name="COST1" xfId="18889"/>
    <cellStyle name="Coverage" xfId="18890"/>
    <cellStyle name="CR Comma" xfId="18891"/>
    <cellStyle name="CR Comma 2" xfId="18892"/>
    <cellStyle name="CR Currency" xfId="18893"/>
    <cellStyle name="CR Currency 2" xfId="18894"/>
    <cellStyle name="Curr $ [0]" xfId="18895"/>
    <cellStyle name="Curr $ [0] 2" xfId="18896"/>
    <cellStyle name="Curr $ [0] 3" xfId="18897"/>
    <cellStyle name="Curr $ [2]" xfId="18898"/>
    <cellStyle name="Curr $ [2] 2" xfId="18899"/>
    <cellStyle name="Curr $ [2] 3" xfId="18900"/>
    <cellStyle name="Curr $k [0]" xfId="18901"/>
    <cellStyle name="Curr $k [0] 2" xfId="18902"/>
    <cellStyle name="Curr $k [0] 3" xfId="18903"/>
    <cellStyle name="Curr £ [0]" xfId="18904"/>
    <cellStyle name="Curr £ [0] 2" xfId="18905"/>
    <cellStyle name="Curr £ [0] 3" xfId="18906"/>
    <cellStyle name="Curr £ [2]" xfId="18907"/>
    <cellStyle name="Curr £ [2] 2" xfId="18908"/>
    <cellStyle name="Curr £ [2] 3" xfId="18909"/>
    <cellStyle name="CurRatio" xfId="18910"/>
    <cellStyle name="Curren - Style2" xfId="18911"/>
    <cellStyle name="Curren - Style2 2" xfId="18912"/>
    <cellStyle name="Curren - Style4" xfId="18913"/>
    <cellStyle name="Currency" xfId="73" builtinId="4"/>
    <cellStyle name="Currency %" xfId="18914"/>
    <cellStyle name="Currency % 2" xfId="18915"/>
    <cellStyle name="Currency ($)" xfId="18916"/>
    <cellStyle name="Currency (£)" xfId="18917"/>
    <cellStyle name="Currency (0.00)" xfId="18918"/>
    <cellStyle name="Currency (0.00) 2" xfId="18919"/>
    <cellStyle name="Currency (0.00) 2 2" xfId="18920"/>
    <cellStyle name="Currency (0.00) 2 2 2" xfId="18921"/>
    <cellStyle name="Currency (0.00) 2 2 2 2" xfId="18922"/>
    <cellStyle name="Currency (0.00) 2 2 2 2 2" xfId="18923"/>
    <cellStyle name="Currency (0.00) 2 2 2 2 3" xfId="18924"/>
    <cellStyle name="Currency (0.00) 2 2 2 3" xfId="18925"/>
    <cellStyle name="Currency (0.00) 2 2 2 4" xfId="18926"/>
    <cellStyle name="Currency (0.00) 2 2 3" xfId="18927"/>
    <cellStyle name="Currency (0.00) 2 2 3 2" xfId="18928"/>
    <cellStyle name="Currency (0.00) 2 2 3 3" xfId="18929"/>
    <cellStyle name="Currency (0.00) 2 2 4" xfId="18930"/>
    <cellStyle name="Currency (0.00) 2 2 5" xfId="18931"/>
    <cellStyle name="Currency (0.00) 2 3" xfId="18932"/>
    <cellStyle name="Currency (0.00) 2 3 2" xfId="18933"/>
    <cellStyle name="Currency (0.00) 2 3 2 2" xfId="18934"/>
    <cellStyle name="Currency (0.00) 2 3 2 2 2" xfId="18935"/>
    <cellStyle name="Currency (0.00) 2 3 2 2 3" xfId="18936"/>
    <cellStyle name="Currency (0.00) 2 3 2 3" xfId="18937"/>
    <cellStyle name="Currency (0.00) 2 3 2 4" xfId="18938"/>
    <cellStyle name="Currency (0.00) 2 3 3" xfId="18939"/>
    <cellStyle name="Currency (0.00) 2 3 3 2" xfId="18940"/>
    <cellStyle name="Currency (0.00) 2 3 3 3" xfId="18941"/>
    <cellStyle name="Currency (0.00) 2 3 4" xfId="18942"/>
    <cellStyle name="Currency (0.00) 2 3 5" xfId="18943"/>
    <cellStyle name="Currency (0.00) 2 4" xfId="18944"/>
    <cellStyle name="Currency (0.00) 2 4 2" xfId="18945"/>
    <cellStyle name="Currency (0.00) 2 4 2 2" xfId="18946"/>
    <cellStyle name="Currency (0.00) 2 4 2 2 2" xfId="18947"/>
    <cellStyle name="Currency (0.00) 2 4 2 2 3" xfId="18948"/>
    <cellStyle name="Currency (0.00) 2 4 2 3" xfId="18949"/>
    <cellStyle name="Currency (0.00) 2 4 2 4" xfId="18950"/>
    <cellStyle name="Currency (0.00) 2 4 3" xfId="18951"/>
    <cellStyle name="Currency (0.00) 2 4 3 2" xfId="18952"/>
    <cellStyle name="Currency (0.00) 2 4 3 3" xfId="18953"/>
    <cellStyle name="Currency (0.00) 2 4 4" xfId="18954"/>
    <cellStyle name="Currency (0.00) 2 4 5" xfId="18955"/>
    <cellStyle name="Currency (0.00) 2 5" xfId="18956"/>
    <cellStyle name="Currency (0.00) 2 5 2" xfId="18957"/>
    <cellStyle name="Currency (0.00) 2 5 3" xfId="18958"/>
    <cellStyle name="Currency (0.00) 2 6" xfId="18959"/>
    <cellStyle name="Currency (0.00) 2 7" xfId="18960"/>
    <cellStyle name="Currency (0.00) 3" xfId="18961"/>
    <cellStyle name="Currency (0.00) 3 2" xfId="18962"/>
    <cellStyle name="Currency (0.00) 3 2 2" xfId="18963"/>
    <cellStyle name="Currency (0.00) 3 2 2 2" xfId="18964"/>
    <cellStyle name="Currency (0.00) 3 2 2 3" xfId="18965"/>
    <cellStyle name="Currency (0.00) 3 2 3" xfId="18966"/>
    <cellStyle name="Currency (0.00) 3 2 4" xfId="18967"/>
    <cellStyle name="Currency (0.00) 3 3" xfId="18968"/>
    <cellStyle name="Currency (0.00) 3 3 2" xfId="18969"/>
    <cellStyle name="Currency (0.00) 3 3 2 2" xfId="18970"/>
    <cellStyle name="Currency (0.00) 3 3 2 3" xfId="18971"/>
    <cellStyle name="Currency (0.00) 3 3 3" xfId="18972"/>
    <cellStyle name="Currency (0.00) 3 3 4" xfId="18973"/>
    <cellStyle name="Currency (0.00) 3 4" xfId="18974"/>
    <cellStyle name="Currency (0.00) 3 4 2" xfId="18975"/>
    <cellStyle name="Currency (0.00) 3 4 3" xfId="18976"/>
    <cellStyle name="Currency (0.00) 3 5" xfId="18977"/>
    <cellStyle name="Currency (0.00) 3 6" xfId="18978"/>
    <cellStyle name="Currency (0.00) 4" xfId="18979"/>
    <cellStyle name="Currency (0.00) 4 2" xfId="18980"/>
    <cellStyle name="Currency (0.00) 4 2 2" xfId="18981"/>
    <cellStyle name="Currency (0.00) 4 2 2 2" xfId="18982"/>
    <cellStyle name="Currency (0.00) 4 2 2 3" xfId="18983"/>
    <cellStyle name="Currency (0.00) 4 2 3" xfId="18984"/>
    <cellStyle name="Currency (0.00) 4 2 4" xfId="18985"/>
    <cellStyle name="Currency (0.00) 4 3" xfId="18986"/>
    <cellStyle name="Currency (0.00) 4 3 2" xfId="18987"/>
    <cellStyle name="Currency (0.00) 4 3 3" xfId="18988"/>
    <cellStyle name="Currency (0.00) 4 4" xfId="18989"/>
    <cellStyle name="Currency (0.00) 4 5" xfId="18990"/>
    <cellStyle name="Currency (0.00) 5" xfId="18991"/>
    <cellStyle name="Currency (0.00) 5 2" xfId="18992"/>
    <cellStyle name="Currency (0.00) 5 2 2" xfId="18993"/>
    <cellStyle name="Currency (0.00) 5 2 2 2" xfId="18994"/>
    <cellStyle name="Currency (0.00) 5 2 2 3" xfId="18995"/>
    <cellStyle name="Currency (0.00) 5 2 3" xfId="18996"/>
    <cellStyle name="Currency (0.00) 5 2 4" xfId="18997"/>
    <cellStyle name="Currency (0.00) 5 3" xfId="18998"/>
    <cellStyle name="Currency (0.00) 5 3 2" xfId="18999"/>
    <cellStyle name="Currency (0.00) 5 3 3" xfId="19000"/>
    <cellStyle name="Currency (0.00) 5 4" xfId="19001"/>
    <cellStyle name="Currency (0.00) 5 5" xfId="19002"/>
    <cellStyle name="Currency (0.00) 6" xfId="19003"/>
    <cellStyle name="Currency (0.00) 6 2" xfId="19004"/>
    <cellStyle name="Currency (0.00) 6 3" xfId="19005"/>
    <cellStyle name="Currency (0.00) 7" xfId="19006"/>
    <cellStyle name="Currency (0.00) 8" xfId="19007"/>
    <cellStyle name="Currency [0] 2" xfId="19008"/>
    <cellStyle name="Currency [0] 2 2" xfId="19009"/>
    <cellStyle name="Currency [00]" xfId="19010"/>
    <cellStyle name="Currency [1]" xfId="19011"/>
    <cellStyle name="Currency [1] 2" xfId="19012"/>
    <cellStyle name="Currency [1] 2 2" xfId="19013"/>
    <cellStyle name="Currency [1] 3" xfId="19014"/>
    <cellStyle name="Currency [1] 4" xfId="19015"/>
    <cellStyle name="Currency [1] 5" xfId="19016"/>
    <cellStyle name="Currency [2]" xfId="19017"/>
    <cellStyle name="Currency [3]" xfId="19018"/>
    <cellStyle name="Currency [3] 2" xfId="19019"/>
    <cellStyle name="Currency [4]" xfId="19020"/>
    <cellStyle name="Currency 0" xfId="19021"/>
    <cellStyle name="Currency 0 2" xfId="19022"/>
    <cellStyle name="Currency 0.0" xfId="19023"/>
    <cellStyle name="Currency 0.0%" xfId="19024"/>
    <cellStyle name="Currency 0.0% 2" xfId="19025"/>
    <cellStyle name="Currency 0.00" xfId="19026"/>
    <cellStyle name="Currency 0.00%" xfId="19027"/>
    <cellStyle name="Currency 0.00% 2" xfId="19028"/>
    <cellStyle name="Currency 0.000" xfId="19029"/>
    <cellStyle name="Currency 0.000%" xfId="19030"/>
    <cellStyle name="Currency 0.000% 2" xfId="19031"/>
    <cellStyle name="Currency 12" xfId="68"/>
    <cellStyle name="Currency 14" xfId="19032"/>
    <cellStyle name="Currency 2" xfId="63"/>
    <cellStyle name="Currency 2 2" xfId="19033"/>
    <cellStyle name="Currency 2 2 2" xfId="19034"/>
    <cellStyle name="Currency 2 2 2 2" xfId="19035"/>
    <cellStyle name="Currency 2 2 2 2 2" xfId="19036"/>
    <cellStyle name="Currency 2 2 2 2 3" xfId="19037"/>
    <cellStyle name="Currency 2 2 3" xfId="19038"/>
    <cellStyle name="Currency 2 2 3 2" xfId="19039"/>
    <cellStyle name="Currency 2 2 3 3" xfId="19040"/>
    <cellStyle name="Currency 2 3" xfId="19041"/>
    <cellStyle name="Currency 2 3 2" xfId="19042"/>
    <cellStyle name="Currency 2 4" xfId="19043"/>
    <cellStyle name="Currency 2 4 2" xfId="19044"/>
    <cellStyle name="Currency 2 5" xfId="19045"/>
    <cellStyle name="Currency 2 5 2" xfId="19046"/>
    <cellStyle name="Currency 2 6" xfId="19047"/>
    <cellStyle name="Currency 2 7" xfId="19048"/>
    <cellStyle name="Currency 2 8" xfId="19049"/>
    <cellStyle name="Currency 2*" xfId="19050"/>
    <cellStyle name="Currency 2_ Budgeted Income Statement for Y2008 (071508)" xfId="19051"/>
    <cellStyle name="Currency 3" xfId="77"/>
    <cellStyle name="Currency 3 2" xfId="19052"/>
    <cellStyle name="Currency 3*" xfId="19053"/>
    <cellStyle name="Currency 3_ Budgeted Income Statement for Y2009 (071508)" xfId="19054"/>
    <cellStyle name="Currency 4" xfId="19055"/>
    <cellStyle name="Currency 4 2" xfId="19056"/>
    <cellStyle name="Currency 4 2 2" xfId="19057"/>
    <cellStyle name="Currency 4 2 2 2" xfId="19058"/>
    <cellStyle name="Currency 4 2 2 3" xfId="19059"/>
    <cellStyle name="Currency 4 3" xfId="19060"/>
    <cellStyle name="Currency 4 3 2" xfId="19061"/>
    <cellStyle name="Currency 4 3 3" xfId="19062"/>
    <cellStyle name="Currency 5" xfId="19063"/>
    <cellStyle name="Currency 5 4" xfId="19064"/>
    <cellStyle name="Currency 6" xfId="19065"/>
    <cellStyle name="Currency 6 2" xfId="19066"/>
    <cellStyle name="Currency 6 3" xfId="19067"/>
    <cellStyle name="Currency 7" xfId="19068"/>
    <cellStyle name="Currency 7 2 2" xfId="19069"/>
    <cellStyle name="Currency 9 3" xfId="19070"/>
    <cellStyle name="Currency 9 3 2" xfId="19071"/>
    <cellStyle name="Currency Input" xfId="19072"/>
    <cellStyle name="Currency Input 2" xfId="19073"/>
    <cellStyle name="Currency*" xfId="19074"/>
    <cellStyle name="Currency0" xfId="19075"/>
    <cellStyle name="Currency0 2" xfId="19076"/>
    <cellStyle name="Currency1" xfId="19077"/>
    <cellStyle name="Currency2" xfId="19078"/>
    <cellStyle name="Currsmall" xfId="19079"/>
    <cellStyle name="custom" xfId="19080"/>
    <cellStyle name="d" xfId="19081"/>
    <cellStyle name="d/m/yr" xfId="19082"/>
    <cellStyle name="DARK" xfId="19083"/>
    <cellStyle name="darren" xfId="19084"/>
    <cellStyle name="Dash" xfId="19085"/>
    <cellStyle name="Data entry" xfId="19086"/>
    <cellStyle name="Data Link" xfId="19087"/>
    <cellStyle name="DataBases" xfId="19088"/>
    <cellStyle name="DATASTYLE" xfId="19089"/>
    <cellStyle name="DataToHide" xfId="19090"/>
    <cellStyle name="Date" xfId="19091"/>
    <cellStyle name="Date - Style1" xfId="19092"/>
    <cellStyle name="Date - Style3" xfId="19093"/>
    <cellStyle name="Date [d-mmm-yy]" xfId="19094"/>
    <cellStyle name="Date [d-mmm-yy] 2" xfId="19095"/>
    <cellStyle name="Date [mm-d-yy]" xfId="19096"/>
    <cellStyle name="Date [mm-d-yy] 2" xfId="19097"/>
    <cellStyle name="Date [mm-d-yyyy]" xfId="19098"/>
    <cellStyle name="Date [mm-d-yyyy] 2" xfId="19099"/>
    <cellStyle name="Date [mmm-d-yyyy]" xfId="19100"/>
    <cellStyle name="Date [mmm-yy]" xfId="19101"/>
    <cellStyle name="Date [mmm-yy] 2" xfId="19102"/>
    <cellStyle name="Date 2" xfId="19103"/>
    <cellStyle name="Date Aligned" xfId="19104"/>
    <cellStyle name="Date Aligned*" xfId="19105"/>
    <cellStyle name="Date Aligned_comps" xfId="19106"/>
    <cellStyle name="Date Short" xfId="19107"/>
    <cellStyle name="Date Short 2" xfId="19108"/>
    <cellStyle name="Date Year" xfId="19109"/>
    <cellStyle name="Date_ACC_DIL Template" xfId="19110"/>
    <cellStyle name="Date1" xfId="19111"/>
    <cellStyle name="DateL" xfId="19112"/>
    <cellStyle name="DateLong" xfId="19113"/>
    <cellStyle name="DateLong 2" xfId="19114"/>
    <cellStyle name="DateLong 3" xfId="19115"/>
    <cellStyle name="DATES" xfId="19116"/>
    <cellStyle name="DATES 2" xfId="19117"/>
    <cellStyle name="DateShort" xfId="19118"/>
    <cellStyle name="DateShort 2" xfId="19119"/>
    <cellStyle name="DateShort 3" xfId="19120"/>
    <cellStyle name="DateYear" xfId="19121"/>
    <cellStyle name="DateYearEstimate" xfId="19122"/>
    <cellStyle name="DateYearEstimate 2" xfId="19123"/>
    <cellStyle name="DateYearEstimate 2 2" xfId="19124"/>
    <cellStyle name="DateYearEstimate 2 2 2" xfId="19125"/>
    <cellStyle name="DateYearEstimate 2 2 3" xfId="19126"/>
    <cellStyle name="DateYearEstimate 2 3" xfId="19127"/>
    <cellStyle name="DateYearEstimate 2 4" xfId="19128"/>
    <cellStyle name="DateYearEstimate 3" xfId="19129"/>
    <cellStyle name="DateYearEstimate 3 2" xfId="19130"/>
    <cellStyle name="DateYearEstimate 3 2 2" xfId="19131"/>
    <cellStyle name="DateYearEstimate 3 2 3" xfId="19132"/>
    <cellStyle name="DateYearEstimate 3 3" xfId="19133"/>
    <cellStyle name="DateYearEstimate 3 4" xfId="19134"/>
    <cellStyle name="DateYearEstimate 4" xfId="19135"/>
    <cellStyle name="DateYearEstimate 4 2" xfId="19136"/>
    <cellStyle name="DateYearEstimate 4 3" xfId="19137"/>
    <cellStyle name="DateYearEstimate 5" xfId="19138"/>
    <cellStyle name="DateYearEstimate 6" xfId="19139"/>
    <cellStyle name="DateYearWholeEstimate" xfId="19140"/>
    <cellStyle name="DateYearWholeEstimate 2" xfId="19141"/>
    <cellStyle name="DateYearWholeEstimate 2 2" xfId="19142"/>
    <cellStyle name="DateYearWholeEstimate 2 2 2" xfId="19143"/>
    <cellStyle name="DateYearWholeEstimate 2 2 3" xfId="19144"/>
    <cellStyle name="DateYearWholeEstimate 2 3" xfId="19145"/>
    <cellStyle name="DateYearWholeEstimate 2 4" xfId="19146"/>
    <cellStyle name="DateYearWholeEstimate 3" xfId="19147"/>
    <cellStyle name="DateYearWholeEstimate 3 2" xfId="19148"/>
    <cellStyle name="DateYearWholeEstimate 3 2 2" xfId="19149"/>
    <cellStyle name="DateYearWholeEstimate 3 2 3" xfId="19150"/>
    <cellStyle name="DateYearWholeEstimate 3 3" xfId="19151"/>
    <cellStyle name="DateYearWholeEstimate 3 4" xfId="19152"/>
    <cellStyle name="DateYearWholeEstimate 4" xfId="19153"/>
    <cellStyle name="DateYearWholeEstimate 4 2" xfId="19154"/>
    <cellStyle name="DateYearWholeEstimate 4 3" xfId="19155"/>
    <cellStyle name="DateYearWholeEstimate 5" xfId="19156"/>
    <cellStyle name="DateYearWholeEstimate 6" xfId="19157"/>
    <cellStyle name="Daydate" xfId="19158"/>
    <cellStyle name="Day-Mon-Yr" xfId="19159"/>
    <cellStyle name="Decimal" xfId="19160"/>
    <cellStyle name="Decimal Number" xfId="19161"/>
    <cellStyle name="default" xfId="19162"/>
    <cellStyle name="Default SS" xfId="19163"/>
    <cellStyle name="Default TB" xfId="19164"/>
    <cellStyle name="Default_affinityfin12-11-06" xfId="19165"/>
    <cellStyle name="DELTA" xfId="19166"/>
    <cellStyle name="Dezimal [0]_!!!GO" xfId="19167"/>
    <cellStyle name="Dezimal_!!!GO" xfId="19168"/>
    <cellStyle name="Dollar" xfId="19169"/>
    <cellStyle name="Dollar (zero dec)" xfId="19170"/>
    <cellStyle name="Dollar 2" xfId="19171"/>
    <cellStyle name="Dollar1" xfId="19172"/>
    <cellStyle name="Dollar1Blue" xfId="19173"/>
    <cellStyle name="Dollar2" xfId="19174"/>
    <cellStyle name="DOLLARLIN" xfId="19175"/>
    <cellStyle name="dollars" xfId="19176"/>
    <cellStyle name="Dollars []" xfId="19177"/>
    <cellStyle name="dollars 2" xfId="19178"/>
    <cellStyle name="dollars 3" xfId="19179"/>
    <cellStyle name="dollars_Book2" xfId="19180"/>
    <cellStyle name="DOLLARSIN" xfId="19181"/>
    <cellStyle name="DollarWhole" xfId="19182"/>
    <cellStyle name="DollarWhole 2" xfId="19183"/>
    <cellStyle name="Dotted Line" xfId="19184"/>
    <cellStyle name="Double Accounting" xfId="19185"/>
    <cellStyle name="Double Underline" xfId="19186"/>
    <cellStyle name="Download" xfId="19187"/>
    <cellStyle name="Download 2" xfId="19188"/>
    <cellStyle name="Enter Currency (0)" xfId="19189"/>
    <cellStyle name="Enter Currency (2)" xfId="19190"/>
    <cellStyle name="Enter Units (0)" xfId="19191"/>
    <cellStyle name="Enter Units (1)" xfId="19192"/>
    <cellStyle name="Enter Units (2)" xfId="19193"/>
    <cellStyle name="ENTER_DATA" xfId="19194"/>
    <cellStyle name="Entered" xfId="19195"/>
    <cellStyle name="Entities" xfId="19196"/>
    <cellStyle name="Euro" xfId="19197"/>
    <cellStyle name="Euro 10" xfId="19198"/>
    <cellStyle name="Euro 11" xfId="19199"/>
    <cellStyle name="Euro 2" xfId="19200"/>
    <cellStyle name="Euro 3" xfId="19201"/>
    <cellStyle name="Euro 4" xfId="19202"/>
    <cellStyle name="Euro 5" xfId="19203"/>
    <cellStyle name="Euro 6" xfId="19204"/>
    <cellStyle name="Euro 7" xfId="19205"/>
    <cellStyle name="Euro 8" xfId="19206"/>
    <cellStyle name="Euro 8 2" xfId="19207"/>
    <cellStyle name="Euro 9" xfId="19208"/>
    <cellStyle name="Euro 9 2" xfId="19209"/>
    <cellStyle name="Excel Built-in Comma" xfId="19210"/>
    <cellStyle name="Excel Built-in Normal" xfId="19211"/>
    <cellStyle name="Explanatory Text" xfId="17" builtinId="53" customBuiltin="1"/>
    <cellStyle name="Explanatory Text 10" xfId="19212"/>
    <cellStyle name="Explanatory Text 11" xfId="19213"/>
    <cellStyle name="Explanatory Text 12" xfId="19214"/>
    <cellStyle name="Explanatory Text 13" xfId="19215"/>
    <cellStyle name="Explanatory Text 2" xfId="19216"/>
    <cellStyle name="Explanatory Text 3" xfId="19217"/>
    <cellStyle name="Explanatory Text 4" xfId="19218"/>
    <cellStyle name="Explanatory Text 5" xfId="19219"/>
    <cellStyle name="Explanatory Text 6" xfId="19220"/>
    <cellStyle name="Explanatory Text 7" xfId="19221"/>
    <cellStyle name="Explanatory Text 8" xfId="19222"/>
    <cellStyle name="Explanatory Text 9" xfId="19223"/>
    <cellStyle name="F2" xfId="19224"/>
    <cellStyle name="F3" xfId="19225"/>
    <cellStyle name="F4" xfId="19226"/>
    <cellStyle name="F5" xfId="19227"/>
    <cellStyle name="F6" xfId="19228"/>
    <cellStyle name="F7" xfId="19229"/>
    <cellStyle name="F8" xfId="19230"/>
    <cellStyle name="factsheet" xfId="19231"/>
    <cellStyle name="Final_Data" xfId="19232"/>
    <cellStyle name="First_nums" xfId="19233"/>
    <cellStyle name="Fixed" xfId="19234"/>
    <cellStyle name="Fixed [0]" xfId="19235"/>
    <cellStyle name="Fixed_Burdick DCF Model -10" xfId="19236"/>
    <cellStyle name="Fixed0" xfId="19237"/>
    <cellStyle name="Fixed2 - Style2" xfId="19238"/>
    <cellStyle name="Fixlong" xfId="19239"/>
    <cellStyle name="Följd hyperlänk_Analysis of building cost to 300904.xls" xfId="19240"/>
    <cellStyle name="Följde hyperlänken_2001 EPS SUMMARY" xfId="19241"/>
    <cellStyle name="Followed Hyperlink" xfId="49" builtinId="9" hidden="1"/>
    <cellStyle name="Footer" xfId="19242"/>
    <cellStyle name="Footnote" xfId="19243"/>
    <cellStyle name="Footnote 2" xfId="19244"/>
    <cellStyle name="ForecastInput" xfId="19245"/>
    <cellStyle name="Format Number Column" xfId="19246"/>
    <cellStyle name="Formula" xfId="19247"/>
    <cellStyle name="FRxAmtStyle" xfId="19248"/>
    <cellStyle name="FRxAmtStyle 2" xfId="19249"/>
    <cellStyle name="FRxAmtStyle 5" xfId="54"/>
    <cellStyle name="FRxCurrStyle" xfId="19250"/>
    <cellStyle name="FRxPcntStyle" xfId="19251"/>
    <cellStyle name="FRxPcntStyle 5" xfId="55"/>
    <cellStyle name="Global" xfId="19252"/>
    <cellStyle name="Global 2" xfId="19253"/>
    <cellStyle name="Global 2 2" xfId="19254"/>
    <cellStyle name="Global 2 2 2" xfId="19255"/>
    <cellStyle name="Global 2 2 3" xfId="19256"/>
    <cellStyle name="Global 2 3" xfId="19257"/>
    <cellStyle name="Global 2 4" xfId="19258"/>
    <cellStyle name="Global 3" xfId="19259"/>
    <cellStyle name="Global 3 2" xfId="19260"/>
    <cellStyle name="Global 3 2 2" xfId="19261"/>
    <cellStyle name="Global 3 2 3" xfId="19262"/>
    <cellStyle name="Global 3 3" xfId="19263"/>
    <cellStyle name="Global 3 4" xfId="19264"/>
    <cellStyle name="Global 4" xfId="19265"/>
    <cellStyle name="Global 4 2" xfId="19266"/>
    <cellStyle name="Global 4 3" xfId="19267"/>
    <cellStyle name="Global 5" xfId="19268"/>
    <cellStyle name="Global 6" xfId="19269"/>
    <cellStyle name="Good" xfId="7" builtinId="26" customBuiltin="1"/>
    <cellStyle name="Good 10" xfId="19270"/>
    <cellStyle name="Good 11" xfId="19271"/>
    <cellStyle name="Good 12" xfId="19272"/>
    <cellStyle name="Good 13" xfId="19273"/>
    <cellStyle name="Good 2" xfId="19274"/>
    <cellStyle name="Good 3" xfId="19275"/>
    <cellStyle name="Good 4" xfId="19276"/>
    <cellStyle name="Good 5" xfId="19277"/>
    <cellStyle name="Good 6" xfId="19278"/>
    <cellStyle name="Good 7" xfId="19279"/>
    <cellStyle name="Good 8" xfId="19280"/>
    <cellStyle name="Good 9" xfId="19281"/>
    <cellStyle name="grayText2" xfId="19282"/>
    <cellStyle name="grayText2Big" xfId="19283"/>
    <cellStyle name="grayText2Big 2" xfId="19284"/>
    <cellStyle name="Grey" xfId="19285"/>
    <cellStyle name="Grey 2" xfId="19286"/>
    <cellStyle name="Grey 3" xfId="19287"/>
    <cellStyle name="Grey 4" xfId="19288"/>
    <cellStyle name="Growth" xfId="19289"/>
    <cellStyle name="Growth 2" xfId="19290"/>
    <cellStyle name="GrowthRate" xfId="19291"/>
    <cellStyle name="GrowthRate 2" xfId="19292"/>
    <cellStyle name="H 2" xfId="19293"/>
    <cellStyle name="hard no" xfId="19294"/>
    <cellStyle name="Hard Percent" xfId="19295"/>
    <cellStyle name="hardno" xfId="19296"/>
    <cellStyle name="Head" xfId="19297"/>
    <cellStyle name="header" xfId="19298"/>
    <cellStyle name="header 2" xfId="19299"/>
    <cellStyle name="Header Total" xfId="19300"/>
    <cellStyle name="Header_affinityfin12-11-06" xfId="19301"/>
    <cellStyle name="Header1" xfId="19302"/>
    <cellStyle name="Header1 2" xfId="19303"/>
    <cellStyle name="Header2" xfId="19304"/>
    <cellStyle name="Header2 2" xfId="19305"/>
    <cellStyle name="Header2 2 2" xfId="19306"/>
    <cellStyle name="Header2 2 2 2" xfId="19307"/>
    <cellStyle name="Header2 2 2 3" xfId="19308"/>
    <cellStyle name="Header2 2 3" xfId="19309"/>
    <cellStyle name="Header2 2 4" xfId="19310"/>
    <cellStyle name="Header2 3" xfId="19311"/>
    <cellStyle name="Header2 3 2" xfId="19312"/>
    <cellStyle name="Header2 3 2 2" xfId="19313"/>
    <cellStyle name="Header2 3 2 3" xfId="19314"/>
    <cellStyle name="Header2 3 3" xfId="19315"/>
    <cellStyle name="Header2 3 4" xfId="19316"/>
    <cellStyle name="Header3" xfId="19317"/>
    <cellStyle name="Header4" xfId="19318"/>
    <cellStyle name="Heading" xfId="19319"/>
    <cellStyle name="Heading 1" xfId="3" builtinId="16" customBuiltin="1"/>
    <cellStyle name="Heading 1 10" xfId="19320"/>
    <cellStyle name="Heading 1 11" xfId="19321"/>
    <cellStyle name="Heading 1 12" xfId="19322"/>
    <cellStyle name="Heading 1 13" xfId="19323"/>
    <cellStyle name="Heading 1 2" xfId="19324"/>
    <cellStyle name="Heading 1 3" xfId="19325"/>
    <cellStyle name="Heading 1 4" xfId="19326"/>
    <cellStyle name="Heading 1 5" xfId="19327"/>
    <cellStyle name="Heading 1 6" xfId="19328"/>
    <cellStyle name="Heading 1 7" xfId="19329"/>
    <cellStyle name="Heading 1 8" xfId="19330"/>
    <cellStyle name="Heading 1 9" xfId="19331"/>
    <cellStyle name="Heading 2" xfId="4" builtinId="17" customBuiltin="1"/>
    <cellStyle name="Heading 2 10" xfId="19332"/>
    <cellStyle name="Heading 2 11" xfId="19333"/>
    <cellStyle name="Heading 2 12" xfId="19334"/>
    <cellStyle name="Heading 2 13" xfId="19335"/>
    <cellStyle name="Heading 2 2" xfId="19336"/>
    <cellStyle name="Heading 2 3" xfId="19337"/>
    <cellStyle name="Heading 2 4" xfId="19338"/>
    <cellStyle name="Heading 2 5" xfId="19339"/>
    <cellStyle name="Heading 2 6" xfId="19340"/>
    <cellStyle name="Heading 2 7" xfId="19341"/>
    <cellStyle name="Heading 2 8" xfId="19342"/>
    <cellStyle name="Heading 2 9" xfId="19343"/>
    <cellStyle name="Heading 3" xfId="5" builtinId="18" customBuiltin="1"/>
    <cellStyle name="Heading 3 10" xfId="19344"/>
    <cellStyle name="Heading 3 11" xfId="19345"/>
    <cellStyle name="Heading 3 12" xfId="19346"/>
    <cellStyle name="Heading 3 13" xfId="19347"/>
    <cellStyle name="Heading 3 2" xfId="19348"/>
    <cellStyle name="Heading 3 3" xfId="19349"/>
    <cellStyle name="Heading 3 4" xfId="19350"/>
    <cellStyle name="Heading 3 5" xfId="19351"/>
    <cellStyle name="Heading 3 6" xfId="19352"/>
    <cellStyle name="Heading 3 7" xfId="19353"/>
    <cellStyle name="Heading 3 8" xfId="19354"/>
    <cellStyle name="Heading 3 9" xfId="19355"/>
    <cellStyle name="Heading 4" xfId="6" builtinId="19" customBuiltin="1"/>
    <cellStyle name="Heading 4 10" xfId="19356"/>
    <cellStyle name="Heading 4 11" xfId="19357"/>
    <cellStyle name="Heading 4 12" xfId="19358"/>
    <cellStyle name="Heading 4 13" xfId="19359"/>
    <cellStyle name="Heading 4 2" xfId="19360"/>
    <cellStyle name="Heading 4 3" xfId="19361"/>
    <cellStyle name="Heading 4 4" xfId="19362"/>
    <cellStyle name="Heading 4 5" xfId="19363"/>
    <cellStyle name="Heading 4 6" xfId="19364"/>
    <cellStyle name="Heading 4 7" xfId="19365"/>
    <cellStyle name="Heading 4 8" xfId="19366"/>
    <cellStyle name="Heading 4 9" xfId="19367"/>
    <cellStyle name="Heading 5" xfId="19368"/>
    <cellStyle name="Heading No Underline" xfId="19369"/>
    <cellStyle name="Heading With Underline" xfId="19370"/>
    <cellStyle name="Heading With Underline 2" xfId="19371"/>
    <cellStyle name="Heading With Underline 2 2" xfId="19372"/>
    <cellStyle name="Heading With Underline 3" xfId="19373"/>
    <cellStyle name="Heading With Underline 3 2" xfId="19374"/>
    <cellStyle name="Heading With Underline 4" xfId="19375"/>
    <cellStyle name="Heading1" xfId="19376"/>
    <cellStyle name="Heading2" xfId="19377"/>
    <cellStyle name="Heading3" xfId="19378"/>
    <cellStyle name="HEADINGS" xfId="19379"/>
    <cellStyle name="Headings2" xfId="19380"/>
    <cellStyle name="Headings2 2" xfId="19381"/>
    <cellStyle name="Headings2 2 2" xfId="19382"/>
    <cellStyle name="Headings2 2 2 2" xfId="19383"/>
    <cellStyle name="Headings2 2 3" xfId="19384"/>
    <cellStyle name="Headings2 3" xfId="19385"/>
    <cellStyle name="Headings2 3 2" xfId="19386"/>
    <cellStyle name="Headings2 3 2 2" xfId="19387"/>
    <cellStyle name="Headings2 3 3" xfId="19388"/>
    <cellStyle name="Headings2 4" xfId="19389"/>
    <cellStyle name="Headings2 4 2" xfId="19390"/>
    <cellStyle name="Headings2 5" xfId="19391"/>
    <cellStyle name="Headings2b" xfId="19392"/>
    <cellStyle name="Headings2b 2" xfId="19393"/>
    <cellStyle name="Headings2b 2 2" xfId="19394"/>
    <cellStyle name="Headings2b 2 2 2" xfId="19395"/>
    <cellStyle name="Headings2b 2 3" xfId="19396"/>
    <cellStyle name="Headings2b 3" xfId="19397"/>
    <cellStyle name="Headings2b 3 2" xfId="19398"/>
    <cellStyle name="Headings2b 3 2 2" xfId="19399"/>
    <cellStyle name="Headings2b 3 3" xfId="19400"/>
    <cellStyle name="Headings2b 4" xfId="19401"/>
    <cellStyle name="Headings2b 4 2" xfId="19402"/>
    <cellStyle name="Headings2b 5" xfId="19403"/>
    <cellStyle name="HEADINGSTOP" xfId="19404"/>
    <cellStyle name="Hidden" xfId="19405"/>
    <cellStyle name="HIDDEN 2" xfId="19406"/>
    <cellStyle name="HIGHLIGHT" xfId="19407"/>
    <cellStyle name="Hyperlänk_2000 DVD COSTS.xls" xfId="19408"/>
    <cellStyle name="Hyperlink" xfId="48" builtinId="8" hidden="1"/>
    <cellStyle name="Hyperlink 2" xfId="19409"/>
    <cellStyle name="Hyperlink 3" xfId="19410"/>
    <cellStyle name="IDEO" xfId="19411"/>
    <cellStyle name="iemens" xfId="19412"/>
    <cellStyle name="IncomeStatement" xfId="19413"/>
    <cellStyle name="IncomeStatement 2" xfId="19414"/>
    <cellStyle name="Input" xfId="10" builtinId="20" customBuiltin="1"/>
    <cellStyle name="Input [yellow]" xfId="19415"/>
    <cellStyle name="Input [yellow] 2" xfId="19416"/>
    <cellStyle name="Input [yellow] 3" xfId="19417"/>
    <cellStyle name="Input [yellow] 4" xfId="19418"/>
    <cellStyle name="Input 10" xfId="19419"/>
    <cellStyle name="Input 11" xfId="19420"/>
    <cellStyle name="Input 12" xfId="19421"/>
    <cellStyle name="Input 13" xfId="19422"/>
    <cellStyle name="Input 14" xfId="19423"/>
    <cellStyle name="Input 15" xfId="19424"/>
    <cellStyle name="Input 16" xfId="19425"/>
    <cellStyle name="Input 2" xfId="19426"/>
    <cellStyle name="Input 3" xfId="19427"/>
    <cellStyle name="Input 4" xfId="19428"/>
    <cellStyle name="Input 5" xfId="19429"/>
    <cellStyle name="Input 6" xfId="19430"/>
    <cellStyle name="Input 7" xfId="19431"/>
    <cellStyle name="Input 8" xfId="19432"/>
    <cellStyle name="Input 9" xfId="19433"/>
    <cellStyle name="input cell" xfId="19434"/>
    <cellStyle name="Input Cells" xfId="19435"/>
    <cellStyle name="Input Currency" xfId="19436"/>
    <cellStyle name="Input Currency 2" xfId="19437"/>
    <cellStyle name="Input Date" xfId="19438"/>
    <cellStyle name="Input Date 2" xfId="19439"/>
    <cellStyle name="Input Fixed [0]" xfId="19440"/>
    <cellStyle name="Input Fixed [0] 2" xfId="19441"/>
    <cellStyle name="Input Normal" xfId="19442"/>
    <cellStyle name="Input Normal 2" xfId="19443"/>
    <cellStyle name="Input Percent" xfId="19444"/>
    <cellStyle name="Input Percent [2]" xfId="19445"/>
    <cellStyle name="Input Percent [2] 2" xfId="19446"/>
    <cellStyle name="Input Percent 2" xfId="19447"/>
    <cellStyle name="Input Percent 3" xfId="19448"/>
    <cellStyle name="Input Titles" xfId="19449"/>
    <cellStyle name="Input$" xfId="19450"/>
    <cellStyle name="Input$ 2" xfId="19451"/>
    <cellStyle name="Input$ 3" xfId="19452"/>
    <cellStyle name="Input%" xfId="19453"/>
    <cellStyle name="Input% 2" xfId="19454"/>
    <cellStyle name="Input% 3" xfId="19455"/>
    <cellStyle name="Input1" xfId="19456"/>
    <cellStyle name="Input2" xfId="19457"/>
    <cellStyle name="InputBlueFont" xfId="19458"/>
    <cellStyle name="InputCell" xfId="19459"/>
    <cellStyle name="InputCell 2" xfId="19460"/>
    <cellStyle name="InputCell 2 2" xfId="19461"/>
    <cellStyle name="InputCell 2 2 2" xfId="19462"/>
    <cellStyle name="InputCell 2 3" xfId="19463"/>
    <cellStyle name="InputCell 3" xfId="19464"/>
    <cellStyle name="InputCell 3 2" xfId="19465"/>
    <cellStyle name="InputCell 3 2 2" xfId="19466"/>
    <cellStyle name="InputCell 3 3" xfId="19467"/>
    <cellStyle name="InputCell 4" xfId="19468"/>
    <cellStyle name="InputCell 4 2" xfId="19469"/>
    <cellStyle name="InputCell 5" xfId="19470"/>
    <cellStyle name="InputPop" xfId="19471"/>
    <cellStyle name="InputPop 2" xfId="19472"/>
    <cellStyle name="Inputs" xfId="19473"/>
    <cellStyle name="Input-Text Only" xfId="19474"/>
    <cellStyle name="Integer" xfId="19475"/>
    <cellStyle name="Invisible" xfId="19476"/>
    <cellStyle name="Invisible 2" xfId="19477"/>
    <cellStyle name="Invisible 3" xfId="19478"/>
    <cellStyle name="Item" xfId="19479"/>
    <cellStyle name="ItemTypeClass" xfId="19480"/>
    <cellStyle name="ItemTypeClass 2" xfId="19481"/>
    <cellStyle name="ItemTypeClass 2 2" xfId="19482"/>
    <cellStyle name="ItemTypeClass 2 2 2" xfId="19483"/>
    <cellStyle name="ItemTypeClass 2 3" xfId="19484"/>
    <cellStyle name="ItemTypeClass 3" xfId="19485"/>
    <cellStyle name="ItemTypeClass 3 2" xfId="19486"/>
    <cellStyle name="ItemTypeClass 3 2 2" xfId="19487"/>
    <cellStyle name="ItemTypeClass 3 3" xfId="19488"/>
    <cellStyle name="ItemTypeClass 4" xfId="19489"/>
    <cellStyle name="ItemTypeClass 4 2" xfId="19490"/>
    <cellStyle name="ItemTypeClass 5" xfId="19491"/>
    <cellStyle name="Ivan" xfId="19492"/>
    <cellStyle name="îÿî_x0002_" xfId="19493"/>
    <cellStyle name="îÿî_x0002__x0010_" xfId="19494"/>
    <cellStyle name="îÿî_x0002__CardioSolutions 05 31 2007 Final Model 09 27 2007" xfId="19495"/>
    <cellStyle name="Jason" xfId="19496"/>
    <cellStyle name="JustOneDec" xfId="19497"/>
    <cellStyle name="JustOneDec 2" xfId="19498"/>
    <cellStyle name="Komma [0]_laroux" xfId="19499"/>
    <cellStyle name="Komma_laroux" xfId="19500"/>
    <cellStyle name="Kommatecken [0]_2000 DVD COSTS.xls" xfId="19501"/>
    <cellStyle name="KPMG Heading 1" xfId="19502"/>
    <cellStyle name="KPMG Heading 2" xfId="19503"/>
    <cellStyle name="KPMG Heading 3" xfId="19504"/>
    <cellStyle name="KPMG Heading 4" xfId="19505"/>
    <cellStyle name="KPMG Normal" xfId="19506"/>
    <cellStyle name="KPMG Normal Text" xfId="19507"/>
    <cellStyle name="KPMG Normal_2006 Model (3-2-06) v1 3" xfId="19508"/>
    <cellStyle name="LABEL_NUMBER" xfId="19509"/>
    <cellStyle name="Lable8Left" xfId="19510"/>
    <cellStyle name="Large Page Heading" xfId="19511"/>
    <cellStyle name="Last_nums" xfId="19512"/>
    <cellStyle name="left" xfId="19513"/>
    <cellStyle name="left 2" xfId="19514"/>
    <cellStyle name="Left Heading 1" xfId="19515"/>
    <cellStyle name="Left Heading 2" xfId="19516"/>
    <cellStyle name="leftStyle" xfId="19517"/>
    <cellStyle name="leftStyle2" xfId="19518"/>
    <cellStyle name="Lien hypertexte_NEGS" xfId="19519"/>
    <cellStyle name="LineBottom" xfId="19520"/>
    <cellStyle name="LineBottom 2" xfId="19521"/>
    <cellStyle name="LineBottom 2 2" xfId="19522"/>
    <cellStyle name="LineBottom 3" xfId="19523"/>
    <cellStyle name="LineBottom 3 2" xfId="19524"/>
    <cellStyle name="LineBottom 4" xfId="19525"/>
    <cellStyle name="LineItem" xfId="19526"/>
    <cellStyle name="LineItems" xfId="19527"/>
    <cellStyle name="LineItems 2" xfId="19528"/>
    <cellStyle name="LineTop" xfId="19529"/>
    <cellStyle name="LineTop 2" xfId="19530"/>
    <cellStyle name="LineTop 2 2" xfId="19531"/>
    <cellStyle name="LineTop 2 2 2" xfId="19532"/>
    <cellStyle name="LineTop 2 2 3" xfId="19533"/>
    <cellStyle name="LineTop 2 3" xfId="19534"/>
    <cellStyle name="LineTop 2 4" xfId="19535"/>
    <cellStyle name="LineTop 3" xfId="19536"/>
    <cellStyle name="LineTop 3 2" xfId="19537"/>
    <cellStyle name="LineTop 3 2 2" xfId="19538"/>
    <cellStyle name="LineTop 3 2 3" xfId="19539"/>
    <cellStyle name="LineTop 3 3" xfId="19540"/>
    <cellStyle name="LineTop 3 4" xfId="19541"/>
    <cellStyle name="LineTop 4" xfId="19542"/>
    <cellStyle name="LineTop 4 2" xfId="19543"/>
    <cellStyle name="LineTop 4 3" xfId="19544"/>
    <cellStyle name="LineTop 5" xfId="19545"/>
    <cellStyle name="LineTop 6" xfId="19546"/>
    <cellStyle name="Link Currency (0)" xfId="19547"/>
    <cellStyle name="Link Currency (2)" xfId="19548"/>
    <cellStyle name="Link Units (0)" xfId="19549"/>
    <cellStyle name="Link Units (1)" xfId="19550"/>
    <cellStyle name="Link Units (2)" xfId="19551"/>
    <cellStyle name="Linked Cell" xfId="13" builtinId="24" customBuiltin="1"/>
    <cellStyle name="Linked Cell 10" xfId="19552"/>
    <cellStyle name="Linked Cell 11" xfId="19553"/>
    <cellStyle name="Linked Cell 12" xfId="19554"/>
    <cellStyle name="Linked Cell 13" xfId="19555"/>
    <cellStyle name="Linked Cell 2" xfId="19556"/>
    <cellStyle name="Linked Cell 3" xfId="19557"/>
    <cellStyle name="Linked Cell 4" xfId="19558"/>
    <cellStyle name="Linked Cell 5" xfId="19559"/>
    <cellStyle name="Linked Cell 6" xfId="19560"/>
    <cellStyle name="Linked Cell 7" xfId="19561"/>
    <cellStyle name="Linked Cell 8" xfId="19562"/>
    <cellStyle name="Linked Cell 9" xfId="19563"/>
    <cellStyle name="Linked Cells" xfId="19564"/>
    <cellStyle name="locked" xfId="19565"/>
    <cellStyle name="LookUpText" xfId="19566"/>
    <cellStyle name="lou" xfId="19567"/>
    <cellStyle name="m&amp;a" xfId="19568"/>
    <cellStyle name="ManualInput" xfId="19569"/>
    <cellStyle name="ManualInput 2" xfId="19570"/>
    <cellStyle name="Map Labels" xfId="19571"/>
    <cellStyle name="Map Legend" xfId="19572"/>
    <cellStyle name="Map Title" xfId="19573"/>
    <cellStyle name="Margins" xfId="19574"/>
    <cellStyle name="Margins 2" xfId="19575"/>
    <cellStyle name="Migliaia (0)_ACTUAL 31-12-95" xfId="19576"/>
    <cellStyle name="Migliaia_ACTUAL 30-06-95.XLS" xfId="19577"/>
    <cellStyle name="mil" xfId="19578"/>
    <cellStyle name="Miles" xfId="19579"/>
    <cellStyle name="Millares [0]_laroux" xfId="19580"/>
    <cellStyle name="Millares_laroux" xfId="19581"/>
    <cellStyle name="Milliers [0]_!!!GO" xfId="19582"/>
    <cellStyle name="Milliers 2" xfId="19583"/>
    <cellStyle name="Milliers_!!!GO" xfId="19584"/>
    <cellStyle name="Mills" xfId="19585"/>
    <cellStyle name="Mills 2" xfId="19586"/>
    <cellStyle name="Mills 2 2" xfId="19587"/>
    <cellStyle name="Mills 3" xfId="19588"/>
    <cellStyle name="Mills 3 2" xfId="19589"/>
    <cellStyle name="Mills 4" xfId="19590"/>
    <cellStyle name="mm/d/yy" xfId="19591"/>
    <cellStyle name="mm/dd/yy" xfId="19592"/>
    <cellStyle name="MMM-YY" xfId="19593"/>
    <cellStyle name="MMs1Place" xfId="19594"/>
    <cellStyle name="MMs2Places" xfId="19595"/>
    <cellStyle name="mo" xfId="19596"/>
    <cellStyle name="mo end" xfId="19597"/>
    <cellStyle name="mo_~8080122" xfId="19598"/>
    <cellStyle name="Model" xfId="19599"/>
    <cellStyle name="Moneda [0]_laroux" xfId="19600"/>
    <cellStyle name="Moneda_laroux" xfId="19601"/>
    <cellStyle name="Monétaire [0]_!!!GO" xfId="19602"/>
    <cellStyle name="Monétaire 2" xfId="19603"/>
    <cellStyle name="Monétaire 2 10" xfId="19604"/>
    <cellStyle name="Monétaire 2 2" xfId="19605"/>
    <cellStyle name="Monétaire 2 2 2" xfId="19606"/>
    <cellStyle name="Monétaire 2 2 2 2" xfId="19607"/>
    <cellStyle name="Monétaire 2 2 2 3" xfId="19608"/>
    <cellStyle name="Monétaire 2 2 2 4" xfId="19609"/>
    <cellStyle name="Monétaire 2 2 2 5" xfId="19610"/>
    <cellStyle name="Monétaire 2 2 3" xfId="19611"/>
    <cellStyle name="Monétaire 2 2 4" xfId="19612"/>
    <cellStyle name="Monétaire 2 2 5" xfId="19613"/>
    <cellStyle name="Monétaire 2 3" xfId="19614"/>
    <cellStyle name="Monétaire 2 4" xfId="19615"/>
    <cellStyle name="Monétaire 2 5" xfId="19616"/>
    <cellStyle name="Monétaire 2 6" xfId="19617"/>
    <cellStyle name="Monétaire 2 7" xfId="19618"/>
    <cellStyle name="Monétaire 2 8" xfId="19619"/>
    <cellStyle name="Monétaire 2 9" xfId="19620"/>
    <cellStyle name="Monétaire_!!!GO" xfId="19621"/>
    <cellStyle name="MonthYear" xfId="19622"/>
    <cellStyle name="Mon-Yr" xfId="19623"/>
    <cellStyle name="Mult No x" xfId="19624"/>
    <cellStyle name="Mult No x 2" xfId="19625"/>
    <cellStyle name="Mult No x 2 2" xfId="19626"/>
    <cellStyle name="Mult No x 3" xfId="19627"/>
    <cellStyle name="Mult No x 3 2" xfId="19628"/>
    <cellStyle name="Mult No x 4" xfId="19629"/>
    <cellStyle name="Mult With x" xfId="19630"/>
    <cellStyle name="Mult With x 2" xfId="19631"/>
    <cellStyle name="Mult With x 2 2" xfId="19632"/>
    <cellStyle name="Mult With x 3" xfId="19633"/>
    <cellStyle name="Mult With x 3 2" xfId="19634"/>
    <cellStyle name="Mult With x 4" xfId="19635"/>
    <cellStyle name="Multiple" xfId="19636"/>
    <cellStyle name="Multiple (no x)" xfId="19637"/>
    <cellStyle name="Multiple (x)" xfId="19638"/>
    <cellStyle name="Multiple []" xfId="19639"/>
    <cellStyle name="Multiple [0]" xfId="19640"/>
    <cellStyle name="Multiple [0] []" xfId="19641"/>
    <cellStyle name="Multiple [1]" xfId="19642"/>
    <cellStyle name="Multiple [1] []" xfId="19643"/>
    <cellStyle name="Multiple[,]" xfId="19644"/>
    <cellStyle name="Multiple[1]" xfId="19645"/>
    <cellStyle name="Multiple[2]" xfId="19646"/>
    <cellStyle name="Multiple_Abacus1" xfId="19647"/>
    <cellStyle name="MultipleBelow" xfId="19648"/>
    <cellStyle name="NA is zero" xfId="19649"/>
    <cellStyle name="NA is zero 2" xfId="19650"/>
    <cellStyle name="Neutral" xfId="9" builtinId="28" customBuiltin="1"/>
    <cellStyle name="Neutral 10" xfId="19651"/>
    <cellStyle name="Neutral 11" xfId="19652"/>
    <cellStyle name="Neutral 12" xfId="19653"/>
    <cellStyle name="Neutral 13" xfId="19654"/>
    <cellStyle name="Neutral 2" xfId="19655"/>
    <cellStyle name="Neutral 3" xfId="19656"/>
    <cellStyle name="Neutral 4" xfId="19657"/>
    <cellStyle name="Neutral 5" xfId="19658"/>
    <cellStyle name="Neutral 6" xfId="19659"/>
    <cellStyle name="Neutral 7" xfId="19660"/>
    <cellStyle name="Neutral 8" xfId="19661"/>
    <cellStyle name="Neutral 9" xfId="19662"/>
    <cellStyle name="new" xfId="19663"/>
    <cellStyle name="NewColumnHeaderNormal" xfId="19664"/>
    <cellStyle name="NewPeso" xfId="19665"/>
    <cellStyle name="NewPeso 2" xfId="19666"/>
    <cellStyle name="NewSectionHeaderNormal" xfId="19667"/>
    <cellStyle name="NewSectionHeaderNormal 2" xfId="19668"/>
    <cellStyle name="NewTitleNormal" xfId="19669"/>
    <cellStyle name="No Border" xfId="19670"/>
    <cellStyle name="No Border 2" xfId="19671"/>
    <cellStyle name="no dec" xfId="19672"/>
    <cellStyle name="nobuild" xfId="19673"/>
    <cellStyle name="nonmultiple" xfId="19674"/>
    <cellStyle name="NonPrint_Heading" xfId="19675"/>
    <cellStyle name="Norm੎੎" xfId="19676"/>
    <cellStyle name="Norm੎੎ 2" xfId="19677"/>
    <cellStyle name="Normal" xfId="0" builtinId="0"/>
    <cellStyle name="Normal - Style1" xfId="19678"/>
    <cellStyle name="Normal - Style2" xfId="19679"/>
    <cellStyle name="Normal - Style2 2" xfId="19680"/>
    <cellStyle name="Normal - Style3" xfId="19681"/>
    <cellStyle name="Normal - Style4" xfId="19682"/>
    <cellStyle name="Normal - Style5" xfId="19683"/>
    <cellStyle name="Normal - Style6" xfId="19684"/>
    <cellStyle name="Normal - Style7" xfId="19685"/>
    <cellStyle name="Normal - Style8" xfId="19686"/>
    <cellStyle name="Normal - Style8 2" xfId="19687"/>
    <cellStyle name="Normal [0]" xfId="19688"/>
    <cellStyle name="Normal [0] 2" xfId="19689"/>
    <cellStyle name="Normal [1]" xfId="19690"/>
    <cellStyle name="Normal [2]" xfId="19691"/>
    <cellStyle name="Normal [2] 2" xfId="19692"/>
    <cellStyle name="Normal [3]" xfId="19693"/>
    <cellStyle name="Normal [3] 2" xfId="19694"/>
    <cellStyle name="Normal 10" xfId="19695"/>
    <cellStyle name="Normal 10 11 2" xfId="19696"/>
    <cellStyle name="Normal 10 11 2 2" xfId="78"/>
    <cellStyle name="Normal 10 11 2 2 2" xfId="19697"/>
    <cellStyle name="Normal 10 11 2 3" xfId="19698"/>
    <cellStyle name="Normal 10 2" xfId="19699"/>
    <cellStyle name="Normal 10 2 2" xfId="19700"/>
    <cellStyle name="Normal 10 3" xfId="19701"/>
    <cellStyle name="Normal 10 4" xfId="19702"/>
    <cellStyle name="Normal 11" xfId="79"/>
    <cellStyle name="Normal 11 2" xfId="19703"/>
    <cellStyle name="Normal 11 3" xfId="19704"/>
    <cellStyle name="Normal 12" xfId="80"/>
    <cellStyle name="Normal 12 2" xfId="19705"/>
    <cellStyle name="Normal 12 2 2" xfId="19706"/>
    <cellStyle name="Normal 12 2 3" xfId="19707"/>
    <cellStyle name="Normal 13" xfId="19708"/>
    <cellStyle name="Normal 13 2" xfId="19709"/>
    <cellStyle name="Normal 14" xfId="19710"/>
    <cellStyle name="Normal 14 2" xfId="19711"/>
    <cellStyle name="Normal 14 2 2" xfId="19712"/>
    <cellStyle name="Normal 14 2 3" xfId="19713"/>
    <cellStyle name="Normal 15" xfId="19714"/>
    <cellStyle name="Normal 15 2" xfId="19715"/>
    <cellStyle name="Normal 15 2 2" xfId="19716"/>
    <cellStyle name="Normal 15 2 3" xfId="19717"/>
    <cellStyle name="Normal 16" xfId="19718"/>
    <cellStyle name="Normal 16 2" xfId="19719"/>
    <cellStyle name="Normal 16 2 2" xfId="19720"/>
    <cellStyle name="Normal 16 2 3" xfId="19721"/>
    <cellStyle name="Normal 17" xfId="19722"/>
    <cellStyle name="Normal 17 2" xfId="19723"/>
    <cellStyle name="Normal 17 2 2" xfId="19724"/>
    <cellStyle name="Normal 17 2 3" xfId="19725"/>
    <cellStyle name="Normal 17 3" xfId="19726"/>
    <cellStyle name="Normal 18" xfId="19727"/>
    <cellStyle name="Normal 18 2" xfId="19728"/>
    <cellStyle name="Normal 18 2 2" xfId="19729"/>
    <cellStyle name="Normal 18 2 3" xfId="19730"/>
    <cellStyle name="Normal 19" xfId="19731"/>
    <cellStyle name="Normal 19 2" xfId="19732"/>
    <cellStyle name="Normal 19 2 2" xfId="19733"/>
    <cellStyle name="Normal 19 2 3" xfId="19734"/>
    <cellStyle name="Normal 2" xfId="44"/>
    <cellStyle name="Normal 2 10" xfId="19735"/>
    <cellStyle name="Normal 2 11" xfId="19736"/>
    <cellStyle name="Normal 2 12" xfId="19737"/>
    <cellStyle name="Normal 2 13" xfId="19738"/>
    <cellStyle name="Normal 2 14" xfId="19739"/>
    <cellStyle name="Normal 2 15" xfId="19740"/>
    <cellStyle name="Normal 2 16" xfId="19741"/>
    <cellStyle name="Normal 2 17" xfId="19742"/>
    <cellStyle name="Normal 2 2" xfId="60"/>
    <cellStyle name="Normal 2 2 2" xfId="74"/>
    <cellStyle name="Normal 2 2 3" xfId="19743"/>
    <cellStyle name="Normal 2 2 4" xfId="19744"/>
    <cellStyle name="Normal 2 2 5" xfId="19745"/>
    <cellStyle name="Normal 2 3" xfId="71"/>
    <cellStyle name="Normal 2 3 2" xfId="19746"/>
    <cellStyle name="Normal 2 4" xfId="19747"/>
    <cellStyle name="Normal 2 5" xfId="19748"/>
    <cellStyle name="Normal 2 6" xfId="19749"/>
    <cellStyle name="Normal 2 7" xfId="19750"/>
    <cellStyle name="Normal 2 8" xfId="19751"/>
    <cellStyle name="Normal 2 9" xfId="19752"/>
    <cellStyle name="Normal 20" xfId="19753"/>
    <cellStyle name="Normal 20 2" xfId="19754"/>
    <cellStyle name="Normal 20 2 2" xfId="19755"/>
    <cellStyle name="Normal 20 2 3" xfId="19756"/>
    <cellStyle name="Normal 21" xfId="19757"/>
    <cellStyle name="Normal 21 2" xfId="19758"/>
    <cellStyle name="Normal 22" xfId="19759"/>
    <cellStyle name="Normal 23" xfId="19760"/>
    <cellStyle name="Normal 24" xfId="19761"/>
    <cellStyle name="Normal 25" xfId="19762"/>
    <cellStyle name="Normal 26" xfId="19763"/>
    <cellStyle name="Normal 27" xfId="19764"/>
    <cellStyle name="Normal 28" xfId="19765"/>
    <cellStyle name="Normal 28 2" xfId="19766"/>
    <cellStyle name="Normal 28 3" xfId="19767"/>
    <cellStyle name="Normal 29" xfId="19768"/>
    <cellStyle name="Normal 3" xfId="50"/>
    <cellStyle name="Normal 3 10" xfId="19769"/>
    <cellStyle name="Normal 3 2" xfId="19770"/>
    <cellStyle name="Normal 3 2 2" xfId="19771"/>
    <cellStyle name="Normal 3 2 3" xfId="19772"/>
    <cellStyle name="Normal 3 2 4" xfId="19773"/>
    <cellStyle name="Normal 3 2 5" xfId="19774"/>
    <cellStyle name="Normal 3 3" xfId="19775"/>
    <cellStyle name="Normal 3 3 2" xfId="19776"/>
    <cellStyle name="Normal 3 3 3" xfId="19777"/>
    <cellStyle name="Normal 3 3 4" xfId="19778"/>
    <cellStyle name="Normal 3 4" xfId="19779"/>
    <cellStyle name="Normal 3 4 2" xfId="19780"/>
    <cellStyle name="Normal 3 5" xfId="19781"/>
    <cellStyle name="Normal 3 6" xfId="19782"/>
    <cellStyle name="Normal 3 7" xfId="19783"/>
    <cellStyle name="Normal 3 8" xfId="20040"/>
    <cellStyle name="Normal 30" xfId="19784"/>
    <cellStyle name="Normal 30 2" xfId="19785"/>
    <cellStyle name="Normal 31" xfId="19786"/>
    <cellStyle name="Normal 32" xfId="19787"/>
    <cellStyle name="Normal 33" xfId="19788"/>
    <cellStyle name="Normal 33 2" xfId="19789"/>
    <cellStyle name="Normal 33 3" xfId="19790"/>
    <cellStyle name="Normal 33 4" xfId="19791"/>
    <cellStyle name="Normal 34" xfId="19792"/>
    <cellStyle name="Normal 35" xfId="19793"/>
    <cellStyle name="Normal 36" xfId="19794"/>
    <cellStyle name="Normal 36 2" xfId="19795"/>
    <cellStyle name="Normal 37" xfId="19796"/>
    <cellStyle name="Normal 38" xfId="67"/>
    <cellStyle name="Normal 38 2" xfId="87"/>
    <cellStyle name="Normal 39" xfId="19797"/>
    <cellStyle name="Normal 4" xfId="72"/>
    <cellStyle name="Normal 4 2" xfId="19798"/>
    <cellStyle name="Normal 4 2 2" xfId="19799"/>
    <cellStyle name="Normal 4 2 3" xfId="19800"/>
    <cellStyle name="Normal 4 3" xfId="19801"/>
    <cellStyle name="Normal 4 3 2" xfId="19802"/>
    <cellStyle name="Normal 4 3 3" xfId="19803"/>
    <cellStyle name="Normal 4 4" xfId="19804"/>
    <cellStyle name="Normal 4 5" xfId="19805"/>
    <cellStyle name="Normal 4 6" xfId="19806"/>
    <cellStyle name="Normal 40" xfId="19807"/>
    <cellStyle name="Normal 5" xfId="81"/>
    <cellStyle name="Normal 5 2" xfId="19808"/>
    <cellStyle name="Normal 5 2 2" xfId="19809"/>
    <cellStyle name="Normal 5 3" xfId="19810"/>
    <cellStyle name="Normal 5 4" xfId="19811"/>
    <cellStyle name="Normal 5 5" xfId="20041"/>
    <cellStyle name="Normal 6" xfId="19812"/>
    <cellStyle name="Normal 6 2" xfId="19813"/>
    <cellStyle name="Normal 6 2 2" xfId="19814"/>
    <cellStyle name="Normal 6 3" xfId="19815"/>
    <cellStyle name="Normal 60" xfId="66"/>
    <cellStyle name="Normal 60 2" xfId="82"/>
    <cellStyle name="Normal 66" xfId="19816"/>
    <cellStyle name="Normal 7" xfId="19817"/>
    <cellStyle name="Normal 7 2" xfId="19818"/>
    <cellStyle name="Normal 7 3" xfId="19819"/>
    <cellStyle name="Normal 72" xfId="46"/>
    <cellStyle name="Normal 8" xfId="19820"/>
    <cellStyle name="Normal 8 2" xfId="19821"/>
    <cellStyle name="Normal 8 2 2" xfId="19822"/>
    <cellStyle name="Normal 8 2 3" xfId="19823"/>
    <cellStyle name="Normal 9" xfId="19824"/>
    <cellStyle name="Normal 9 2" xfId="19825"/>
    <cellStyle name="Normal 9 2 2" xfId="19826"/>
    <cellStyle name="Normal 9 2 3" xfId="19827"/>
    <cellStyle name="Normal Bold" xfId="19828"/>
    <cellStyle name="Normal Bold 2" xfId="19829"/>
    <cellStyle name="Normal Currency" xfId="19830"/>
    <cellStyle name="Normal Dollar" xfId="19831"/>
    <cellStyle name="Normal- Enter (1)" xfId="19832"/>
    <cellStyle name="Normal Number" xfId="19833"/>
    <cellStyle name="Normal Pct" xfId="19834"/>
    <cellStyle name="Normal Pct 2" xfId="19835"/>
    <cellStyle name="Normal/DBL" xfId="19836"/>
    <cellStyle name="Normal_411 Model" xfId="59"/>
    <cellStyle name="Normal_Endeavor Agency Model DRAFT - 062707" xfId="62"/>
    <cellStyle name="Normal_NEW-WACC" xfId="88"/>
    <cellStyle name="Normal_PCS" xfId="61"/>
    <cellStyle name="Normal_Sheet" xfId="64"/>
    <cellStyle name="Normal_Template- DCF_Final_060606" xfId="20039"/>
    <cellStyle name="Normal1" xfId="19837"/>
    <cellStyle name="Normal1 2" xfId="19838"/>
    <cellStyle name="Normal1Places" xfId="19839"/>
    <cellStyle name="Normal1Places 2" xfId="19840"/>
    <cellStyle name="Normal2" xfId="19841"/>
    <cellStyle name="Normal2Places" xfId="19842"/>
    <cellStyle name="Normal2Places 2" xfId="19843"/>
    <cellStyle name="Normal3Places" xfId="19844"/>
    <cellStyle name="Normal8" xfId="19845"/>
    <cellStyle name="NormalBlue" xfId="19846"/>
    <cellStyle name="NormalBold" xfId="19847"/>
    <cellStyle name="NormalBold 2" xfId="19848"/>
    <cellStyle name="Normale_ACTUAL 30-06-95.XLS" xfId="19849"/>
    <cellStyle name="Normal-Entry" xfId="19850"/>
    <cellStyle name="NormalEPS" xfId="19851"/>
    <cellStyle name="NormalGB" xfId="19852"/>
    <cellStyle name="NormalGB 2" xfId="19853"/>
    <cellStyle name="NormalHelv" xfId="19854"/>
    <cellStyle name="Normal-Input(1)" xfId="19855"/>
    <cellStyle name="NormalJEM" xfId="19856"/>
    <cellStyle name="normální_M Schedules 2008 v02 - pracovní" xfId="19857"/>
    <cellStyle name="NormalPop" xfId="19858"/>
    <cellStyle name="NormalPop 2" xfId="19859"/>
    <cellStyle name="Note" xfId="16" builtinId="10" customBuiltin="1"/>
    <cellStyle name="Note 10" xfId="19860"/>
    <cellStyle name="Note 10 2" xfId="19861"/>
    <cellStyle name="Note 10 2 2" xfId="19862"/>
    <cellStyle name="Note 10 2 3" xfId="19863"/>
    <cellStyle name="Note 11" xfId="19864"/>
    <cellStyle name="Note 11 2" xfId="19865"/>
    <cellStyle name="Note 11 2 2" xfId="19866"/>
    <cellStyle name="Note 11 2 3" xfId="19867"/>
    <cellStyle name="Note 12" xfId="19868"/>
    <cellStyle name="Note 12 2" xfId="19869"/>
    <cellStyle name="Note 12 2 2" xfId="19870"/>
    <cellStyle name="Note 12 2 3" xfId="19871"/>
    <cellStyle name="Note 13" xfId="19872"/>
    <cellStyle name="Note 13 2" xfId="19873"/>
    <cellStyle name="Note 13 2 2" xfId="19874"/>
    <cellStyle name="Note 13 2 3" xfId="19875"/>
    <cellStyle name="Note 14" xfId="19876"/>
    <cellStyle name="Note 15" xfId="19877"/>
    <cellStyle name="Note 2" xfId="58"/>
    <cellStyle name="Note 2 2" xfId="19878"/>
    <cellStyle name="Note 2 2 2" xfId="19879"/>
    <cellStyle name="Note 2 2 3" xfId="19880"/>
    <cellStyle name="Note 3" xfId="19881"/>
    <cellStyle name="Note 3 2" xfId="19882"/>
    <cellStyle name="Note 3 2 2" xfId="19883"/>
    <cellStyle name="Note 3 2 3" xfId="19884"/>
    <cellStyle name="Note 4" xfId="19885"/>
    <cellStyle name="Note 4 2" xfId="19886"/>
    <cellStyle name="Note 4 2 2" xfId="19887"/>
    <cellStyle name="Note 4 2 3" xfId="19888"/>
    <cellStyle name="Note 5" xfId="19889"/>
    <cellStyle name="Note 5 2" xfId="19890"/>
    <cellStyle name="Note 5 2 2" xfId="19891"/>
    <cellStyle name="Note 5 2 3" xfId="19892"/>
    <cellStyle name="Note 6" xfId="19893"/>
    <cellStyle name="Note 6 2" xfId="19894"/>
    <cellStyle name="Note 6 2 2" xfId="19895"/>
    <cellStyle name="Note 6 2 3" xfId="19896"/>
    <cellStyle name="Note 7" xfId="19897"/>
    <cellStyle name="Note 7 2" xfId="19898"/>
    <cellStyle name="Note 7 2 2" xfId="19899"/>
    <cellStyle name="Note 7 2 3" xfId="19900"/>
    <cellStyle name="Note 8" xfId="19901"/>
    <cellStyle name="Note 8 2" xfId="19902"/>
    <cellStyle name="Note 8 2 2" xfId="19903"/>
    <cellStyle name="Note 8 2 3" xfId="19904"/>
    <cellStyle name="Note 9" xfId="19905"/>
    <cellStyle name="Note 9 2" xfId="19906"/>
    <cellStyle name="Note 9 2 2" xfId="19907"/>
    <cellStyle name="Note 9 2 3" xfId="19908"/>
    <cellStyle name="NPPESalesPct" xfId="19909"/>
    <cellStyle name="NPPESalesPct 2" xfId="19910"/>
    <cellStyle name="Num1" xfId="19911"/>
    <cellStyle name="Num1Blue" xfId="19912"/>
    <cellStyle name="num1Style" xfId="19913"/>
    <cellStyle name="num1Styleb" xfId="19914"/>
    <cellStyle name="Num2" xfId="19915"/>
    <cellStyle name="num4Style" xfId="19916"/>
    <cellStyle name="num4Styleb" xfId="19917"/>
    <cellStyle name="Number" xfId="19918"/>
    <cellStyle name="Number 2" xfId="19919"/>
    <cellStyle name="numbers" xfId="19920"/>
    <cellStyle name="numbers 2" xfId="19921"/>
    <cellStyle name="numPStyle" xfId="19922"/>
    <cellStyle name="numPStyleb" xfId="19923"/>
    <cellStyle name="numXStyle" xfId="19924"/>
    <cellStyle name="numXStyleb" xfId="19925"/>
    <cellStyle name="Œ…‹æ_Ø‚è [0.00]_Affiliate Fcst Inputs" xfId="19926"/>
    <cellStyle name="Œ…‹æØ‚è [0.00]_!!!GO" xfId="19927"/>
    <cellStyle name="Œ…‹æØ‚è_!!!GO" xfId="19928"/>
    <cellStyle name="OScommands" xfId="19929"/>
    <cellStyle name="OSW_ColumnLabels" xfId="19930"/>
    <cellStyle name="Output" xfId="11" builtinId="21" customBuiltin="1"/>
    <cellStyle name="Output 10" xfId="19931"/>
    <cellStyle name="Output 11" xfId="19932"/>
    <cellStyle name="Output 12" xfId="19933"/>
    <cellStyle name="Output 13" xfId="19934"/>
    <cellStyle name="Output 2" xfId="19935"/>
    <cellStyle name="Output 3" xfId="19936"/>
    <cellStyle name="Output 4" xfId="19937"/>
    <cellStyle name="Output 5" xfId="19938"/>
    <cellStyle name="Output 6" xfId="19939"/>
    <cellStyle name="Output 7" xfId="19940"/>
    <cellStyle name="Output 8" xfId="19941"/>
    <cellStyle name="Output 9" xfId="19942"/>
    <cellStyle name="Output Amounts" xfId="19943"/>
    <cellStyle name="Output Column Headings" xfId="19944"/>
    <cellStyle name="Output Line Items" xfId="19945"/>
    <cellStyle name="Output Report Heading" xfId="19946"/>
    <cellStyle name="Output Report Title" xfId="19947"/>
    <cellStyle name="Outputs" xfId="19948"/>
    <cellStyle name="Outputs 2" xfId="19949"/>
    <cellStyle name="Outputs 2 2" xfId="19950"/>
    <cellStyle name="Outputs 3" xfId="19951"/>
    <cellStyle name="Outputs 3 2" xfId="19952"/>
    <cellStyle name="Outputs 4" xfId="19953"/>
    <cellStyle name="OVER" xfId="19954"/>
    <cellStyle name="p" xfId="19955"/>
    <cellStyle name="P&amp;L Numbers" xfId="19956"/>
    <cellStyle name="p_DCF" xfId="19957"/>
    <cellStyle name="Page Heading" xfId="19958"/>
    <cellStyle name="Page Heading Large" xfId="19959"/>
    <cellStyle name="Page Heading Small" xfId="19960"/>
    <cellStyle name="Page Number" xfId="19961"/>
    <cellStyle name="paint" xfId="19962"/>
    <cellStyle name="Palatino" xfId="19963"/>
    <cellStyle name="pc1" xfId="19964"/>
    <cellStyle name="pc1 2" xfId="19965"/>
    <cellStyle name="pct_sub" xfId="19966"/>
    <cellStyle name="per.style" xfId="19967"/>
    <cellStyle name="per.style 2" xfId="19968"/>
    <cellStyle name="Percen" xfId="19969"/>
    <cellStyle name="Percen - Style1" xfId="19970"/>
    <cellStyle name="Percen - Style5" xfId="19971"/>
    <cellStyle name="Percent" xfId="43" builtinId="5"/>
    <cellStyle name="Percent %" xfId="19972"/>
    <cellStyle name="Percent % Long Underline" xfId="19973"/>
    <cellStyle name="Percent (0)" xfId="19974"/>
    <cellStyle name="Percent (1)" xfId="19975"/>
    <cellStyle name="Percent (2)" xfId="19976"/>
    <cellStyle name="Percent [0]" xfId="19977"/>
    <cellStyle name="Percent [00]" xfId="19978"/>
    <cellStyle name="Percent [1]" xfId="19979"/>
    <cellStyle name="Percent [1] 2" xfId="19980"/>
    <cellStyle name="Percent [1][]" xfId="19981"/>
    <cellStyle name="Percent [1]_Aprio - Public Comps1" xfId="19982"/>
    <cellStyle name="Percent [2]" xfId="19983"/>
    <cellStyle name="Percent [2] 2" xfId="19984"/>
    <cellStyle name="Percent [2] 3" xfId="19985"/>
    <cellStyle name="Percent 0.0%" xfId="19986"/>
    <cellStyle name="Percent 0.0% Long Underline" xfId="19987"/>
    <cellStyle name="Percent 0.00%" xfId="19988"/>
    <cellStyle name="Percent 0.00% Long Underline" xfId="19989"/>
    <cellStyle name="Percent 0.000%" xfId="19990"/>
    <cellStyle name="Percent 0.000% Long Underline" xfId="19991"/>
    <cellStyle name="Percent 0.000%_Aprio - Public Comps1" xfId="19992"/>
    <cellStyle name="Percent 1" xfId="19993"/>
    <cellStyle name="Percent 10" xfId="69"/>
    <cellStyle name="Percent 10 2" xfId="19994"/>
    <cellStyle name="Percent 10 3" xfId="19995"/>
    <cellStyle name="Percent 11" xfId="19996"/>
    <cellStyle name="Percent 12" xfId="19997"/>
    <cellStyle name="Percent 13" xfId="19998"/>
    <cellStyle name="Percent 13 2" xfId="19999"/>
    <cellStyle name="Percent 13 3" xfId="20000"/>
    <cellStyle name="Percent 14" xfId="20001"/>
    <cellStyle name="Percent 15" xfId="20002"/>
    <cellStyle name="Percent 16" xfId="20003"/>
    <cellStyle name="Percent 2" xfId="57"/>
    <cellStyle name="Percent 2 2" xfId="65"/>
    <cellStyle name="Percent 2 2 2" xfId="20004"/>
    <cellStyle name="Percent 2 3" xfId="20005"/>
    <cellStyle name="Percent 2 3 2" xfId="20006"/>
    <cellStyle name="Percent 2 4" xfId="20007"/>
    <cellStyle name="Percent 2 4 2" xfId="20008"/>
    <cellStyle name="Percent 2 5" xfId="20009"/>
    <cellStyle name="Percent 2 6" xfId="20010"/>
    <cellStyle name="Percent 2 7" xfId="20011"/>
    <cellStyle name="Percent 2 8" xfId="20012"/>
    <cellStyle name="Percent 3" xfId="70"/>
    <cellStyle name="Percent 3 2" xfId="20013"/>
    <cellStyle name="Percent 3 2 2" xfId="20014"/>
    <cellStyle name="Percent 3 2 3" xfId="20015"/>
    <cellStyle name="Percent 3 3" xfId="20016"/>
    <cellStyle name="Percent 3 4" xfId="20017"/>
    <cellStyle name="Percent 3 5" xfId="20018"/>
    <cellStyle name="Percent 4" xfId="83"/>
    <cellStyle name="Percent 4 2" xfId="20019"/>
    <cellStyle name="Percent 5" xfId="20020"/>
    <cellStyle name="Percent 6" xfId="20021"/>
    <cellStyle name="Percent 7" xfId="20022"/>
    <cellStyle name="Percent 7 3" xfId="84"/>
    <cellStyle name="Percent 8" xfId="85"/>
    <cellStyle name="Percent 8 2" xfId="86"/>
    <cellStyle name="Percent 8 3" xfId="20023"/>
    <cellStyle name="Percent 9" xfId="20024"/>
    <cellStyle name="Percent Decimal" xfId="20025"/>
    <cellStyle name="Percent Hard" xfId="20026"/>
    <cellStyle name="Percent Hard 2" xfId="20027"/>
    <cellStyle name="Percent Input" xfId="20028"/>
    <cellStyle name="Percent Input 2" xfId="20029"/>
    <cellStyle name="Percent*" xfId="20030"/>
    <cellStyle name="Percent1" xfId="20031"/>
    <cellStyle name="Percent1Blue" xfId="20032"/>
    <cellStyle name="Percent2" xfId="20033"/>
    <cellStyle name="Percent2 [0]" xfId="20034"/>
    <cellStyle name="Percent2 [1]" xfId="20035"/>
    <cellStyle name="Percent2Blue" xfId="20036"/>
    <cellStyle name="Percentage" xfId="20037"/>
    <cellStyle name="PercentChange" xfId="20038"/>
    <cellStyle name="Title" xfId="2" builtinId="15" customBuiltin="1"/>
    <cellStyle name="Title 2" xfId="20042"/>
    <cellStyle name="Total" xfId="18" builtinId="25" customBuiltin="1"/>
    <cellStyle name="Warning Text" xfId="15" builtinId="11" customBuiltin="1"/>
  </cellStyles>
  <dxfs count="249">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ill>
        <patternFill>
          <bgColor rgb="FFFF0000"/>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ill>
        <patternFill>
          <bgColor rgb="FFFF0000"/>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ill>
        <patternFill>
          <bgColor rgb="FFFF0000"/>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color theme="0" tint="-0.24994659260841701"/>
      </font>
      <fill>
        <patternFill>
          <bgColor theme="0" tint="-0.24994659260841701"/>
        </patternFill>
      </fill>
    </dxf>
    <dxf>
      <font>
        <color rgb="FF9C0006"/>
      </font>
    </dxf>
    <dxf>
      <font>
        <color rgb="FF9C0006"/>
      </font>
    </dxf>
    <dxf>
      <font>
        <color rgb="FFFF0000"/>
      </font>
    </dxf>
    <dxf>
      <font>
        <color rgb="FFFF0000"/>
      </font>
    </dxf>
    <dxf>
      <font>
        <color rgb="FFFF0000"/>
      </font>
    </dxf>
    <dxf>
      <font>
        <color rgb="FFFF0000"/>
      </font>
    </dxf>
    <dxf>
      <font>
        <color theme="0"/>
      </font>
    </dxf>
    <dxf>
      <font>
        <color theme="0"/>
      </font>
    </dxf>
    <dxf>
      <font>
        <color theme="0"/>
      </font>
    </dxf>
    <dxf>
      <font>
        <color theme="0"/>
      </font>
    </dxf>
    <dxf>
      <font>
        <color theme="0"/>
      </font>
    </dxf>
  </dxfs>
  <tableStyles count="0" defaultTableStyle="TableStyleMedium2" defaultPivotStyle="PivotStyleLight16"/>
  <colors>
    <mruColors>
      <color rgb="FF0000FF"/>
      <color rgb="FF008000"/>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7.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41"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793618808205944E-2"/>
          <c:y val="5.0925925925925923E-2"/>
          <c:w val="0.93449933929354567"/>
          <c:h val="0.8599307225516325"/>
        </c:manualLayout>
      </c:layout>
      <c:barChart>
        <c:barDir val="col"/>
        <c:grouping val="stacked"/>
        <c:varyColors val="0"/>
        <c:ser>
          <c:idx val="1"/>
          <c:order val="0"/>
          <c:tx>
            <c:strRef>
              <c:f>'A1'!$N$45</c:f>
              <c:strCache>
                <c:ptCount val="1"/>
                <c:pt idx="0">
                  <c:v>Bottom</c:v>
                </c:pt>
              </c:strCache>
            </c:strRef>
          </c:tx>
          <c:spPr>
            <a:noFill/>
            <a:ln>
              <a:noFill/>
            </a:ln>
            <a:effectLst/>
          </c:spPr>
          <c:invertIfNegative val="0"/>
          <c:cat>
            <c:strRef>
              <c:f>'A1'!$O$43:$Q$43</c:f>
              <c:strCache>
                <c:ptCount val="3"/>
                <c:pt idx="0">
                  <c:v> Discounted Cash Flow </c:v>
                </c:pt>
                <c:pt idx="1">
                  <c:v>GTM</c:v>
                </c:pt>
                <c:pt idx="2">
                  <c:v>GCM</c:v>
                </c:pt>
              </c:strCache>
            </c:strRef>
          </c:cat>
          <c:val>
            <c:numRef>
              <c:f>'A1'!$O$45:$Q$45</c:f>
              <c:numCache>
                <c:formatCode>"$"#,##0.00</c:formatCode>
                <c:ptCount val="3"/>
                <c:pt idx="0">
                  <c:v>2.008234881864889</c:v>
                </c:pt>
                <c:pt idx="1">
                  <c:v>1.9</c:v>
                </c:pt>
                <c:pt idx="2">
                  <c:v>1.9</c:v>
                </c:pt>
              </c:numCache>
            </c:numRef>
          </c:val>
          <c:extLst xmlns:c16r2="http://schemas.microsoft.com/office/drawing/2015/06/chart">
            <c:ext xmlns:c16="http://schemas.microsoft.com/office/drawing/2014/chart" uri="{C3380CC4-5D6E-409C-BE32-E72D297353CC}">
              <c16:uniqueId val="{00000000-03C1-4041-8D52-F7B4CBC10363}"/>
            </c:ext>
          </c:extLst>
        </c:ser>
        <c:ser>
          <c:idx val="0"/>
          <c:order val="1"/>
          <c:tx>
            <c:strRef>
              <c:f>'A1'!$N$44</c:f>
              <c:strCache>
                <c:ptCount val="1"/>
              </c:strCache>
            </c:strRef>
          </c:tx>
          <c:spPr>
            <a:solidFill>
              <a:schemeClr val="accent1">
                <a:lumMod val="20000"/>
                <a:lumOff val="80000"/>
              </a:schemeClr>
            </a:solidFill>
            <a:ln>
              <a:solidFill>
                <a:schemeClr val="tx1"/>
              </a:solidFill>
            </a:ln>
            <a:effectLst/>
          </c:spPr>
          <c:invertIfNegative val="0"/>
          <c:cat>
            <c:strRef>
              <c:f>'A1'!$O$43:$Q$43</c:f>
              <c:strCache>
                <c:ptCount val="3"/>
                <c:pt idx="0">
                  <c:v> Discounted Cash Flow </c:v>
                </c:pt>
                <c:pt idx="1">
                  <c:v>GTM</c:v>
                </c:pt>
                <c:pt idx="2">
                  <c:v>GCM</c:v>
                </c:pt>
              </c:strCache>
            </c:strRef>
          </c:cat>
          <c:val>
            <c:numRef>
              <c:f>'A1'!$O$44:$Q$44</c:f>
              <c:numCache>
                <c:formatCode>"$"#,##0.00</c:formatCode>
                <c:ptCount val="3"/>
                <c:pt idx="0">
                  <c:v>0.40398623345634022</c:v>
                </c:pt>
                <c:pt idx="1">
                  <c:v>0.30000000000000027</c:v>
                </c:pt>
                <c:pt idx="2">
                  <c:v>0.30000000000000027</c:v>
                </c:pt>
              </c:numCache>
            </c:numRef>
          </c:val>
          <c:extLst xmlns:c16r2="http://schemas.microsoft.com/office/drawing/2015/06/chart">
            <c:ext xmlns:c16="http://schemas.microsoft.com/office/drawing/2014/chart" uri="{C3380CC4-5D6E-409C-BE32-E72D297353CC}">
              <c16:uniqueId val="{00000001-03C1-4041-8D52-F7B4CBC10363}"/>
            </c:ext>
          </c:extLst>
        </c:ser>
        <c:dLbls>
          <c:showLegendKey val="0"/>
          <c:showVal val="0"/>
          <c:showCatName val="0"/>
          <c:showSerName val="0"/>
          <c:showPercent val="0"/>
          <c:showBubbleSize val="0"/>
        </c:dLbls>
        <c:gapWidth val="150"/>
        <c:overlap val="100"/>
        <c:axId val="1010055232"/>
        <c:axId val="1010051704"/>
      </c:barChart>
      <c:lineChart>
        <c:grouping val="standard"/>
        <c:varyColors val="0"/>
        <c:ser>
          <c:idx val="2"/>
          <c:order val="2"/>
          <c:spPr>
            <a:ln w="22225" cap="rnd">
              <a:solidFill>
                <a:schemeClr val="accent1">
                  <a:lumMod val="50000"/>
                </a:schemeClr>
              </a:solidFill>
              <a:prstDash val="lgDash"/>
              <a:round/>
            </a:ln>
            <a:effectLst/>
          </c:spPr>
          <c:marker>
            <c:symbol val="none"/>
          </c:marker>
          <c:cat>
            <c:strRef>
              <c:f>'A1'!$O$43:$P$43</c:f>
              <c:strCache>
                <c:ptCount val="2"/>
                <c:pt idx="0">
                  <c:v> Discounted Cash Flow </c:v>
                </c:pt>
                <c:pt idx="1">
                  <c:v>GTM</c:v>
                </c:pt>
              </c:strCache>
            </c:strRef>
          </c:cat>
          <c:val>
            <c:numRef>
              <c:f>'A1'!$O$47:$Q$47</c:f>
              <c:numCache>
                <c:formatCode>"$"#,##0.00</c:formatCode>
                <c:ptCount val="3"/>
                <c:pt idx="0">
                  <c:v>2.1452070000000001</c:v>
                </c:pt>
                <c:pt idx="1">
                  <c:v>2.1452070000000001</c:v>
                </c:pt>
                <c:pt idx="2">
                  <c:v>2.1452070000000001</c:v>
                </c:pt>
              </c:numCache>
            </c:numRef>
          </c:val>
          <c:smooth val="0"/>
          <c:extLst xmlns:c16r2="http://schemas.microsoft.com/office/drawing/2015/06/chart">
            <c:ext xmlns:c16="http://schemas.microsoft.com/office/drawing/2014/chart" uri="{C3380CC4-5D6E-409C-BE32-E72D297353CC}">
              <c16:uniqueId val="{00000000-D55C-4761-981F-DA8C5B8A6764}"/>
            </c:ext>
          </c:extLst>
        </c:ser>
        <c:dLbls>
          <c:showLegendKey val="0"/>
          <c:showVal val="0"/>
          <c:showCatName val="0"/>
          <c:showSerName val="0"/>
          <c:showPercent val="0"/>
          <c:showBubbleSize val="0"/>
        </c:dLbls>
        <c:marker val="1"/>
        <c:smooth val="0"/>
        <c:axId val="1010055232"/>
        <c:axId val="1010051704"/>
      </c:lineChart>
      <c:catAx>
        <c:axId val="101005523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1100" b="1" i="0" u="none" strike="noStrike" kern="1200" cap="none" spc="0" normalizeH="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1010051704"/>
        <c:crosses val="autoZero"/>
        <c:auto val="1"/>
        <c:lblAlgn val="ctr"/>
        <c:lblOffset val="100"/>
        <c:noMultiLvlLbl val="0"/>
      </c:catAx>
      <c:valAx>
        <c:axId val="1010051704"/>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0"/>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101005523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2457450</xdr:colOff>
      <xdr:row>1</xdr:row>
      <xdr:rowOff>11941</xdr:rowOff>
    </xdr:from>
    <xdr:to>
      <xdr:col>3</xdr:col>
      <xdr:colOff>3688981</xdr:colOff>
      <xdr:row>4</xdr:row>
      <xdr:rowOff>142717</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3505200" y="202441"/>
          <a:ext cx="1231531" cy="7022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128814</xdr:colOff>
      <xdr:row>38</xdr:row>
      <xdr:rowOff>41274</xdr:rowOff>
    </xdr:from>
    <xdr:to>
      <xdr:col>11</xdr:col>
      <xdr:colOff>74930</xdr:colOff>
      <xdr:row>48</xdr:row>
      <xdr:rowOff>63499</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Ink 52">
          <a:extLst>
            <a:ext uri="{FF2B5EF4-FFF2-40B4-BE49-F238E27FC236}">
              <a16:creationId xmlns:a16="http://schemas.microsoft.com/office/drawing/2014/main" xmlns="" id="{00000000-0008-0000-0400-000002000000}"/>
            </a:ext>
          </a:extLst>
        </xdr:cNvPr>
        <xdr:cNvPicPr/>
      </xdr:nvPicPr>
      <xdr:blipFill>
        <a:stretch>
          <a:fillRect/>
        </a:stretch>
      </xdr:blipFill>
      <xdr:spPr>
        <a:xfrm>
          <a:off x="0" y="0"/>
          <a:ext cx="0" cy="0"/>
        </a:xfrm>
        <a:prstGeom prst="rect">
          <a:avLst/>
        </a:prstGeom>
      </xdr:spPr>
    </xdr:pic>
    <xdr:clientData/>
  </xdr:twoCellAnchor>
  <xdr:twoCellAnchor>
    <xdr:from>
      <xdr:col>0</xdr:col>
      <xdr:colOff>0</xdr:colOff>
      <xdr:row>0</xdr:row>
      <xdr:rowOff>0</xdr:rowOff>
    </xdr:from>
    <xdr:to>
      <xdr:col>0</xdr:col>
      <xdr:colOff>0</xdr:colOff>
      <xdr:row>0</xdr:row>
      <xdr:rowOff>0</xdr:rowOff>
    </xdr:to>
    <xdr:pic>
      <xdr:nvPicPr>
        <xdr:cNvPr id="3" name="Ink 59">
          <a:extLst>
            <a:ext uri="{FF2B5EF4-FFF2-40B4-BE49-F238E27FC236}">
              <a16:creationId xmlns:a16="http://schemas.microsoft.com/office/drawing/2014/main" xmlns="" id="{00000000-0008-0000-0400-000003000000}"/>
            </a:ext>
          </a:extLst>
        </xdr:cNvPr>
        <xdr:cNvPicPr/>
      </xdr:nvPicPr>
      <xdr:blipFill>
        <a:stretch>
          <a:fillRect/>
        </a:stretch>
      </xdr:blipFill>
      <xdr:spPr>
        <a:xfrm>
          <a:off x="0" y="0"/>
          <a:ext cx="0" cy="0"/>
        </a:xfrm>
        <a:prstGeom prst="rect">
          <a:avLst/>
        </a:prstGeom>
      </xdr:spPr>
    </xdr:pic>
    <xdr:clientData/>
  </xdr:twoCellAnchor>
  <xdr:twoCellAnchor>
    <xdr:from>
      <xdr:col>0</xdr:col>
      <xdr:colOff>0</xdr:colOff>
      <xdr:row>0</xdr:row>
      <xdr:rowOff>0</xdr:rowOff>
    </xdr:from>
    <xdr:to>
      <xdr:col>0</xdr:col>
      <xdr:colOff>0</xdr:colOff>
      <xdr:row>0</xdr:row>
      <xdr:rowOff>0</xdr:rowOff>
    </xdr:to>
    <xdr:pic>
      <xdr:nvPicPr>
        <xdr:cNvPr id="4" name="Ink 70">
          <a:extLst>
            <a:ext uri="{FF2B5EF4-FFF2-40B4-BE49-F238E27FC236}">
              <a16:creationId xmlns:a16="http://schemas.microsoft.com/office/drawing/2014/main" xmlns="" id="{00000000-0008-0000-0400-000004000000}"/>
            </a:ext>
          </a:extLst>
        </xdr:cNvPr>
        <xdr:cNvPicPr/>
      </xdr:nvPicPr>
      <xdr:blipFill>
        <a:stretch>
          <a:fillRect/>
        </a:stretch>
      </xdr:blipFill>
      <xdr:spPr>
        <a:xfrm>
          <a:off x="0" y="0"/>
          <a:ext cx="0" cy="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c_oa2\netgear\finance\AUDIT\bridge\quarterly%20trends%20for%20d%20&amp;%20t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SDs/K/Kw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Users\upasak\AppData\Local\Microsoft\Windows\Temporary%20Internet%20Files\Content.Outlook\O6MXOXOL\mod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mpour\Dropbox%20(Personal)\Knowcraft%20Shared%20Engagements%20(1)\Satellite\San%20Carlos%20Valuation\6%20-%20Analysis\ARC\SH%20San%20Carlos%20Valuation%20-%2020160524-v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Groups\Finance\Operations%20Strategy\Models\SHGrowthModelFinal%20with%20TM1_WB%20Daly%20City%20Estimated%20Value%20v3.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Valuation\RNA%20Advisors\Satellite%20Health\Rohnert%20Park\BEV%20VD%20MM.DD.YYYY\6%20-%20Analysis\DDCF.4.Rohnert%20Park%202017.01.30.xlsm"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2004%2005%20SCS%20UK%20management%20account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Users\jc3\Dropbox\C:\C\HNH%20-%20Holy%20Name%20Hospital\HNH-02%20Holy%20Name%20Medical%20Center%20Dialysis%20Program%20(PHC-BV)\HNH-02%20HNMC's%20Dialysis%20Program%20Financial%20Model%20DRAFT%2008-25-201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Valuation/RNA%20Advisors/Satellite%20Health/Daly%20City/BEV%20VD%2001.15.18/6%20-%20Analysis/Summary%20of%20Compariso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Upasak\Dropbox%20(Personal)\Knowcraft%20Shared%20Engagements%20(1)\Satellite\San%20Carlos%20Valuation\6%20-%20Analysis\6.%20Analysis\SH%20Stockton%20Summary%20Analysi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pagrawal\Desktop\Aduro%20409A%202014.09.30%20VD%20Exhibits%20DRAFT%202014.11.16.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Users\pagrawal\Desktop\Aduro%20409A%202014.09.30%20VD%20Exhibits%20DRAFT%202014.11.16.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Valuation\RNA%20Advisors\Templates\Model\Cabrillo%20Template%20Company%20ABC%20Valuation%20Draft%20Model%2011%2011%202011.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DDCF.4.Santa%20Cruz%20VD%2012.31.2018%20Draft%202019.04.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Sheet2"/>
      <sheetName val="Sheet3"/>
      <sheetName val="Sheet4"/>
      <sheetName val="Sheet1"/>
      <sheetName val="Tickmarks"/>
      <sheetName val="Sheet5"/>
      <sheetName val="FAB별"/>
      <sheetName val="Credit Calc"/>
      <sheetName val="Capital IQ Sheet-GPC"/>
    </sheetNames>
    <sheetDataSet>
      <sheetData sheetId="0" refreshError="1">
        <row r="3">
          <cell r="H3" t="str">
            <v>Q1 97</v>
          </cell>
          <cell r="I3" t="str">
            <v>Q2 97</v>
          </cell>
          <cell r="J3" t="str">
            <v>Q3 97</v>
          </cell>
          <cell r="K3" t="str">
            <v>Q4 97</v>
          </cell>
          <cell r="M3" t="str">
            <v>Q1 98</v>
          </cell>
          <cell r="N3" t="str">
            <v>Q2 98</v>
          </cell>
          <cell r="O3" t="str">
            <v>Q3 98</v>
          </cell>
          <cell r="P3" t="str">
            <v>Q4 98</v>
          </cell>
        </row>
        <row r="15">
          <cell r="H15">
            <v>-2123303.52</v>
          </cell>
          <cell r="I15">
            <v>-1253290.3699999999</v>
          </cell>
          <cell r="J15">
            <v>-162269.43</v>
          </cell>
          <cell r="K15">
            <v>146899.29000000033</v>
          </cell>
          <cell r="M15">
            <v>-246014.77000000002</v>
          </cell>
          <cell r="N15">
            <v>-1799602.0100000002</v>
          </cell>
          <cell r="O15">
            <v>-1013013.5800000001</v>
          </cell>
        </row>
        <row r="20">
          <cell r="H20">
            <v>0.19236638472376649</v>
          </cell>
          <cell r="I20">
            <v>0.17160343737293951</v>
          </cell>
          <cell r="J20">
            <v>0.22329840583258154</v>
          </cell>
          <cell r="K20">
            <v>0.2622241607330375</v>
          </cell>
          <cell r="M20">
            <v>0.22868601654276952</v>
          </cell>
          <cell r="N20">
            <v>0.13886160439354986</v>
          </cell>
          <cell r="O20">
            <v>0.16937325540860795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Demand Data"/>
      <sheetName val="Supply Data"/>
      <sheetName val="Price Fcsts"/>
      <sheetName val="World"/>
      <sheetName val="N Amer"/>
      <sheetName val="Africa"/>
      <sheetName val="C Amer"/>
      <sheetName val="E Asia"/>
      <sheetName val="E Eur"/>
      <sheetName val="FSU"/>
      <sheetName val="Mideast"/>
      <sheetName val="Ocean"/>
      <sheetName val="S Amer"/>
      <sheetName val="S Asia"/>
      <sheetName val="Soc As"/>
      <sheetName val="W Eur"/>
      <sheetName val="Kwa"/>
    </sheetNames>
    <sheetDataSet>
      <sheetData sheetId="0"/>
      <sheetData sheetId="1"/>
      <sheetData sheetId="2"/>
      <sheetData sheetId="3"/>
      <sheetData sheetId="4" refreshError="1"/>
      <sheetData sheetId="5" refreshError="1"/>
      <sheetData sheetId="6"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503.6</v>
          </cell>
          <cell r="C19">
            <v>489.4</v>
          </cell>
          <cell r="D19">
            <v>510.8</v>
          </cell>
          <cell r="E19">
            <v>518.29999999999995</v>
          </cell>
          <cell r="F19">
            <v>568.4</v>
          </cell>
          <cell r="G19">
            <v>508.3</v>
          </cell>
          <cell r="H19">
            <v>516.29999999999995</v>
          </cell>
          <cell r="I19">
            <v>537.6</v>
          </cell>
          <cell r="J19">
            <v>582.6</v>
          </cell>
          <cell r="K19">
            <v>522.5</v>
          </cell>
          <cell r="L19">
            <v>533.9</v>
          </cell>
          <cell r="M19">
            <v>556.4</v>
          </cell>
          <cell r="N19">
            <v>555.4</v>
          </cell>
          <cell r="O19">
            <v>560</v>
          </cell>
          <cell r="P19">
            <v>568.4</v>
          </cell>
          <cell r="Q19">
            <v>576.92599999999993</v>
          </cell>
          <cell r="R19">
            <v>585.57988999999986</v>
          </cell>
          <cell r="S19">
            <v>594.36358834999976</v>
          </cell>
          <cell r="T19">
            <v>603.27904217524974</v>
          </cell>
          <cell r="U19">
            <v>612.32822780787842</v>
          </cell>
          <cell r="V19">
            <v>621.51315122499659</v>
          </cell>
        </row>
        <row r="21">
          <cell r="B21">
            <v>9.3691469287980365</v>
          </cell>
          <cell r="C21">
            <v>9.4162280691437559</v>
          </cell>
          <cell r="D21">
            <v>9.4635457981344278</v>
          </cell>
          <cell r="E21">
            <v>9.511101304657716</v>
          </cell>
          <cell r="F21">
            <v>9.5588957835755934</v>
          </cell>
          <cell r="G21">
            <v>9.6069304357543661</v>
          </cell>
          <cell r="H21">
            <v>9.6552064680948408</v>
          </cell>
          <cell r="I21">
            <v>9.7037250935626549</v>
          </cell>
          <cell r="J21">
            <v>9.7524875312187493</v>
          </cell>
          <cell r="K21">
            <v>9.8014950062499988</v>
          </cell>
          <cell r="L21">
            <v>9.8507487499999993</v>
          </cell>
          <cell r="M21">
            <v>9.9002499999999998</v>
          </cell>
          <cell r="N21">
            <v>9.9499999999999993</v>
          </cell>
          <cell r="O21">
            <v>10</v>
          </cell>
          <cell r="P21">
            <v>10.049999999999999</v>
          </cell>
          <cell r="Q21">
            <v>10.100249999999997</v>
          </cell>
          <cell r="R21">
            <v>10.150751249999995</v>
          </cell>
          <cell r="S21">
            <v>10.201505006249995</v>
          </cell>
          <cell r="T21">
            <v>10.252512531281244</v>
          </cell>
          <cell r="U21">
            <v>10.303775093937649</v>
          </cell>
          <cell r="V21">
            <v>10.355293969407336</v>
          </cell>
        </row>
        <row r="28">
          <cell r="B28">
            <v>-528.35822133666204</v>
          </cell>
          <cell r="C28">
            <v>-513.78071491121807</v>
          </cell>
          <cell r="D28">
            <v>-535.87145217207853</v>
          </cell>
          <cell r="E28">
            <v>-543.64543434379743</v>
          </cell>
          <cell r="F28">
            <v>-595.29766265708281</v>
          </cell>
          <cell r="G28">
            <v>-533.44413834882698</v>
          </cell>
          <cell r="H28">
            <v>-541.73386266213765</v>
          </cell>
          <cell r="I28">
            <v>-563.72283684636955</v>
          </cell>
          <cell r="J28">
            <v>-610.12306215715535</v>
          </cell>
          <cell r="K28">
            <v>-548.27053985643749</v>
          </cell>
          <cell r="L28">
            <v>-560.06327121250001</v>
          </cell>
          <cell r="M28">
            <v>-583.28925749999996</v>
          </cell>
          <cell r="N28">
            <v>-582.31050000000005</v>
          </cell>
          <cell r="O28">
            <v>-587.1</v>
          </cell>
          <cell r="P28">
            <v>-595.80349999999999</v>
          </cell>
          <cell r="Q28">
            <v>-604.63703749999991</v>
          </cell>
          <cell r="R28">
            <v>-613.60256048749989</v>
          </cell>
          <cell r="S28">
            <v>-622.70204615693729</v>
          </cell>
          <cell r="T28">
            <v>-631.93750134772688</v>
          </cell>
          <cell r="U28">
            <v>-641.31096298887064</v>
          </cell>
          <cell r="V28">
            <v>-650.82449855023594</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7"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414.7</v>
          </cell>
          <cell r="C19">
            <v>273</v>
          </cell>
          <cell r="D19">
            <v>269.8</v>
          </cell>
          <cell r="E19">
            <v>245</v>
          </cell>
          <cell r="F19">
            <v>253.6</v>
          </cell>
          <cell r="G19">
            <v>297</v>
          </cell>
          <cell r="H19">
            <v>378.8</v>
          </cell>
          <cell r="I19">
            <v>479.3</v>
          </cell>
          <cell r="J19">
            <v>421.5</v>
          </cell>
          <cell r="K19">
            <v>430.6</v>
          </cell>
          <cell r="L19">
            <v>421.3</v>
          </cell>
          <cell r="M19">
            <v>431.3</v>
          </cell>
          <cell r="N19">
            <v>443.1</v>
          </cell>
          <cell r="O19">
            <v>450</v>
          </cell>
          <cell r="P19">
            <v>456.74999999999994</v>
          </cell>
          <cell r="Q19">
            <v>463.60124999999988</v>
          </cell>
          <cell r="R19">
            <v>470.55526874999981</v>
          </cell>
          <cell r="S19">
            <v>477.61359778124978</v>
          </cell>
          <cell r="T19">
            <v>484.77780174796845</v>
          </cell>
          <cell r="U19">
            <v>492.04946877418791</v>
          </cell>
          <cell r="V19">
            <v>499.4302108058007</v>
          </cell>
        </row>
        <row r="21">
          <cell r="B21">
            <v>24.199576476360555</v>
          </cell>
          <cell r="C21">
            <v>24.260227043970481</v>
          </cell>
          <cell r="D21">
            <v>24.321029618015519</v>
          </cell>
          <cell r="E21">
            <v>24.381984579464177</v>
          </cell>
          <cell r="F21">
            <v>24.443092310239777</v>
          </cell>
          <cell r="G21">
            <v>24.504353193222833</v>
          </cell>
          <cell r="H21">
            <v>24.565767612253467</v>
          </cell>
          <cell r="I21">
            <v>24.627335952133802</v>
          </cell>
          <cell r="J21">
            <v>24.689058598630375</v>
          </cell>
          <cell r="K21">
            <v>24.750935938476566</v>
          </cell>
          <cell r="L21">
            <v>24.812968359375002</v>
          </cell>
          <cell r="M21">
            <v>24.87515625</v>
          </cell>
          <cell r="N21">
            <v>24.9375</v>
          </cell>
          <cell r="O21">
            <v>25</v>
          </cell>
          <cell r="P21">
            <v>25.0625</v>
          </cell>
          <cell r="Q21">
            <v>25.12515625</v>
          </cell>
          <cell r="R21">
            <v>25.187969140624997</v>
          </cell>
          <cell r="S21">
            <v>25.250939063476558</v>
          </cell>
          <cell r="T21">
            <v>25.314066411135247</v>
          </cell>
          <cell r="U21">
            <v>25.377351577163083</v>
          </cell>
          <cell r="V21">
            <v>25.440794956105989</v>
          </cell>
        </row>
        <row r="28">
          <cell r="B28">
            <v>-452.06656377065138</v>
          </cell>
          <cell r="C28">
            <v>-306.17803385528958</v>
          </cell>
          <cell r="D28">
            <v>-302.94466050655603</v>
          </cell>
          <cell r="E28">
            <v>-277.46344411684811</v>
          </cell>
          <cell r="F28">
            <v>-286.38438507954697</v>
          </cell>
          <cell r="G28">
            <v>-331.14948378901948</v>
          </cell>
          <cell r="H28">
            <v>-415.46674064062108</v>
          </cell>
          <cell r="I28">
            <v>-519.04515603069785</v>
          </cell>
          <cell r="J28">
            <v>-459.57473035658927</v>
          </cell>
          <cell r="K28">
            <v>-469.0114640166309</v>
          </cell>
          <cell r="L28">
            <v>-459.49635741015629</v>
          </cell>
          <cell r="M28">
            <v>-469.86041093749998</v>
          </cell>
          <cell r="N28">
            <v>-482.07862500000005</v>
          </cell>
          <cell r="O28">
            <v>-489.25</v>
          </cell>
          <cell r="P28">
            <v>-496.26687499999991</v>
          </cell>
          <cell r="Q28">
            <v>-503.38819843749985</v>
          </cell>
          <cell r="R28">
            <v>-510.61553502734358</v>
          </cell>
          <cell r="S28">
            <v>-517.95047295006816</v>
          </cell>
          <cell r="T28">
            <v>-525.39462420387679</v>
          </cell>
          <cell r="U28">
            <v>-532.94962496189157</v>
          </cell>
          <cell r="V28">
            <v>-540.61713593476384</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8"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e">
            <v>#DIV/0!</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1908.4</v>
          </cell>
          <cell r="C19">
            <v>1874.1</v>
          </cell>
          <cell r="D19">
            <v>1913.3</v>
          </cell>
          <cell r="E19">
            <v>1950.4</v>
          </cell>
          <cell r="F19">
            <v>2061.8000000000002</v>
          </cell>
          <cell r="G19">
            <v>2267.6999999999998</v>
          </cell>
          <cell r="H19">
            <v>2127.5</v>
          </cell>
          <cell r="I19">
            <v>2092.3000000000002</v>
          </cell>
          <cell r="J19">
            <v>2088.8000000000002</v>
          </cell>
          <cell r="K19">
            <v>2173.3000000000002</v>
          </cell>
          <cell r="L19">
            <v>2105.1</v>
          </cell>
          <cell r="M19">
            <v>2008.4</v>
          </cell>
          <cell r="N19">
            <v>2020.5</v>
          </cell>
          <cell r="O19">
            <v>2050</v>
          </cell>
          <cell r="P19">
            <v>2070.5</v>
          </cell>
          <cell r="Q19">
            <v>2091.2049999999999</v>
          </cell>
          <cell r="R19">
            <v>2112.1170499999998</v>
          </cell>
          <cell r="S19">
            <v>2133.2382204999999</v>
          </cell>
          <cell r="T19">
            <v>2154.5706027050001</v>
          </cell>
          <cell r="U19">
            <v>2176.1163087320501</v>
          </cell>
          <cell r="V19">
            <v>2197.8774718193708</v>
          </cell>
        </row>
        <row r="21">
          <cell r="B21">
            <v>145.19745885816337</v>
          </cell>
          <cell r="C21">
            <v>145.56136226382293</v>
          </cell>
          <cell r="D21">
            <v>145.92617770809315</v>
          </cell>
          <cell r="E21">
            <v>146.2919074767851</v>
          </cell>
          <cell r="F21">
            <v>146.65855386143869</v>
          </cell>
          <cell r="G21">
            <v>147.02611915933701</v>
          </cell>
          <cell r="H21">
            <v>147.3946056735208</v>
          </cell>
          <cell r="I21">
            <v>147.7640157128028</v>
          </cell>
          <cell r="J21">
            <v>148.13435159178226</v>
          </cell>
          <cell r="K21">
            <v>148.50561563085941</v>
          </cell>
          <cell r="L21">
            <v>148.87781015625004</v>
          </cell>
          <cell r="M21">
            <v>149.25093750000002</v>
          </cell>
          <cell r="N21">
            <v>149.625</v>
          </cell>
          <cell r="O21">
            <v>150</v>
          </cell>
          <cell r="P21">
            <v>150.375</v>
          </cell>
          <cell r="Q21">
            <v>150.75093749999999</v>
          </cell>
          <cell r="R21">
            <v>151.12781484374997</v>
          </cell>
          <cell r="S21">
            <v>151.50563438085933</v>
          </cell>
          <cell r="T21">
            <v>151.88439846681146</v>
          </cell>
          <cell r="U21">
            <v>152.2641094629785</v>
          </cell>
          <cell r="V21">
            <v>152.64476973663594</v>
          </cell>
        </row>
        <row r="28">
          <cell r="B28">
            <v>-2115.2053826239085</v>
          </cell>
          <cell r="C28">
            <v>-2080.2512031317374</v>
          </cell>
          <cell r="D28">
            <v>-2121.002963039336</v>
          </cell>
          <cell r="E28">
            <v>-2159.5926647010888</v>
          </cell>
          <cell r="F28">
            <v>-2274.7123104772818</v>
          </cell>
          <cell r="G28">
            <v>-2487.167902734117</v>
          </cell>
          <cell r="H28">
            <v>-2343.1414438437264</v>
          </cell>
          <cell r="I28">
            <v>-2307.265936184187</v>
          </cell>
          <cell r="J28">
            <v>-2304.0423821395361</v>
          </cell>
          <cell r="K28">
            <v>-2391.4597840997853</v>
          </cell>
          <cell r="L28">
            <v>-2321.5971444609377</v>
          </cell>
          <cell r="M28">
            <v>-2222.3804656249999</v>
          </cell>
          <cell r="N28">
            <v>-2235.2287500000002</v>
          </cell>
          <cell r="O28">
            <v>-2266</v>
          </cell>
          <cell r="P28">
            <v>-2287.5012499999998</v>
          </cell>
          <cell r="Q28">
            <v>-2309.2146156250001</v>
          </cell>
          <cell r="R28">
            <v>-2331.1422107890621</v>
          </cell>
          <cell r="S28">
            <v>-2353.2861705272849</v>
          </cell>
          <cell r="T28">
            <v>-2375.648651206966</v>
          </cell>
          <cell r="U28">
            <v>-2398.2318307408796</v>
          </cell>
          <cell r="V28">
            <v>-2421.0379088026871</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9"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1497</v>
          </cell>
          <cell r="C19">
            <v>618.79999999999995</v>
          </cell>
          <cell r="D19">
            <v>486.3</v>
          </cell>
          <cell r="E19">
            <v>491.7</v>
          </cell>
          <cell r="F19">
            <v>548.70000000000005</v>
          </cell>
          <cell r="G19">
            <v>579.5</v>
          </cell>
          <cell r="H19">
            <v>625.5</v>
          </cell>
          <cell r="I19">
            <v>694.9</v>
          </cell>
          <cell r="J19">
            <v>629.20000000000005</v>
          </cell>
          <cell r="K19">
            <v>601.29999999999995</v>
          </cell>
          <cell r="L19">
            <v>595.29999999999995</v>
          </cell>
          <cell r="M19">
            <v>594.1</v>
          </cell>
          <cell r="N19">
            <v>596.1</v>
          </cell>
          <cell r="O19">
            <v>610</v>
          </cell>
          <cell r="P19">
            <v>622.20000000000005</v>
          </cell>
          <cell r="Q19">
            <v>634.64400000000001</v>
          </cell>
          <cell r="R19">
            <v>647.33688000000006</v>
          </cell>
          <cell r="S19">
            <v>660.28361760000007</v>
          </cell>
          <cell r="T19">
            <v>673.48928995200004</v>
          </cell>
          <cell r="U19">
            <v>686.95907575104002</v>
          </cell>
          <cell r="V19">
            <v>700.69825726606086</v>
          </cell>
        </row>
        <row r="21">
          <cell r="B21">
            <v>187.38293857596076</v>
          </cell>
          <cell r="C21">
            <v>188.32456138287515</v>
          </cell>
          <cell r="D21">
            <v>189.27091596268858</v>
          </cell>
          <cell r="E21">
            <v>190.22202609315434</v>
          </cell>
          <cell r="F21">
            <v>191.1779156715119</v>
          </cell>
          <cell r="G21">
            <v>192.13860871508734</v>
          </cell>
          <cell r="H21">
            <v>193.10412936189684</v>
          </cell>
          <cell r="I21">
            <v>194.07450187125309</v>
          </cell>
          <cell r="J21">
            <v>195.04975062437498</v>
          </cell>
          <cell r="K21">
            <v>196.02990012499998</v>
          </cell>
          <cell r="L21">
            <v>197.01497499999999</v>
          </cell>
          <cell r="M21">
            <v>198.005</v>
          </cell>
          <cell r="N21">
            <v>199</v>
          </cell>
          <cell r="O21">
            <v>200</v>
          </cell>
          <cell r="P21">
            <v>200</v>
          </cell>
          <cell r="Q21">
            <v>200</v>
          </cell>
          <cell r="R21">
            <v>200</v>
          </cell>
          <cell r="S21">
            <v>200</v>
          </cell>
          <cell r="T21">
            <v>200</v>
          </cell>
          <cell r="U21">
            <v>200</v>
          </cell>
          <cell r="V21">
            <v>200</v>
          </cell>
        </row>
        <row r="28">
          <cell r="B28">
            <v>-1734.9144267332395</v>
          </cell>
          <cell r="C28">
            <v>-831.33829822436132</v>
          </cell>
          <cell r="D28">
            <v>-695.8380434415692</v>
          </cell>
          <cell r="E28">
            <v>-702.37968687594889</v>
          </cell>
          <cell r="F28">
            <v>-762.07425314165732</v>
          </cell>
          <cell r="G28">
            <v>-794.78776697653996</v>
          </cell>
          <cell r="H28">
            <v>-843.16225324275376</v>
          </cell>
          <cell r="I28">
            <v>-915.64373692739071</v>
          </cell>
          <cell r="J28">
            <v>-848.97724314310619</v>
          </cell>
          <cell r="K28">
            <v>-821.24979712874995</v>
          </cell>
          <cell r="L28">
            <v>-816.08442424999998</v>
          </cell>
          <cell r="M28">
            <v>-815.86815000000001</v>
          </cell>
          <cell r="N28">
            <v>-818.95299999999997</v>
          </cell>
          <cell r="O28">
            <v>-834.3</v>
          </cell>
          <cell r="P28">
            <v>-846.8660000000001</v>
          </cell>
          <cell r="Q28">
            <v>-859.68331999999998</v>
          </cell>
          <cell r="R28">
            <v>-872.75698640000007</v>
          </cell>
          <cell r="S28">
            <v>-886.09212612800002</v>
          </cell>
          <cell r="T28">
            <v>-899.69396865056001</v>
          </cell>
          <cell r="U28">
            <v>-913.56784802357117</v>
          </cell>
          <cell r="V28">
            <v>-927.71920498404268</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10" refreshError="1"/>
      <sheetData sheetId="11"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v>96.981981981981974</v>
          </cell>
          <cell r="C13">
            <v>94.054054054054063</v>
          </cell>
          <cell r="D13">
            <v>94.77477477477477</v>
          </cell>
          <cell r="E13">
            <v>95.990990990990994</v>
          </cell>
          <cell r="F13">
            <v>88.983739837398375</v>
          </cell>
          <cell r="G13">
            <v>97.317073170731703</v>
          </cell>
          <cell r="H13">
            <v>99.186046511627907</v>
          </cell>
          <cell r="I13">
            <v>87.201492537313428</v>
          </cell>
          <cell r="J13">
            <v>92.956834532374103</v>
          </cell>
          <cell r="K13">
            <v>100.07194244604317</v>
          </cell>
          <cell r="L13">
            <v>101.37282229965156</v>
          </cell>
          <cell r="M13">
            <v>99.057046979865774</v>
          </cell>
          <cell r="N13">
            <v>96.625</v>
          </cell>
          <cell r="O13">
            <v>96.125</v>
          </cell>
          <cell r="P13">
            <v>96.75</v>
          </cell>
          <cell r="Q13">
            <v>97.375</v>
          </cell>
          <cell r="R13">
            <v>97.375</v>
          </cell>
          <cell r="S13">
            <v>97.375</v>
          </cell>
          <cell r="T13">
            <v>96.194029850746261</v>
          </cell>
          <cell r="U13">
            <v>96.142857142857139</v>
          </cell>
          <cell r="V13">
            <v>96.571428571428569</v>
          </cell>
        </row>
        <row r="14">
          <cell r="B14">
            <v>2153</v>
          </cell>
          <cell r="C14">
            <v>2088</v>
          </cell>
          <cell r="D14">
            <v>2104</v>
          </cell>
          <cell r="E14">
            <v>2131</v>
          </cell>
          <cell r="F14">
            <v>2189</v>
          </cell>
          <cell r="G14">
            <v>2394</v>
          </cell>
          <cell r="H14">
            <v>2559</v>
          </cell>
          <cell r="I14">
            <v>2337</v>
          </cell>
          <cell r="J14">
            <v>2584.1999999999998</v>
          </cell>
          <cell r="K14">
            <v>2782</v>
          </cell>
          <cell r="L14">
            <v>2909.3999999999996</v>
          </cell>
          <cell r="M14">
            <v>2951.9</v>
          </cell>
          <cell r="N14">
            <v>3092</v>
          </cell>
          <cell r="O14">
            <v>3076</v>
          </cell>
          <cell r="P14">
            <v>3096</v>
          </cell>
          <cell r="Q14">
            <v>3116</v>
          </cell>
          <cell r="R14">
            <v>3116</v>
          </cell>
          <cell r="S14">
            <v>3116</v>
          </cell>
          <cell r="T14">
            <v>3222.5</v>
          </cell>
          <cell r="U14">
            <v>3365</v>
          </cell>
          <cell r="V14">
            <v>3380</v>
          </cell>
        </row>
        <row r="19">
          <cell r="B19">
            <v>151.5</v>
          </cell>
          <cell r="C19">
            <v>121.4</v>
          </cell>
          <cell r="D19">
            <v>168.6</v>
          </cell>
          <cell r="E19">
            <v>187.1</v>
          </cell>
          <cell r="F19">
            <v>146.69999999999999</v>
          </cell>
          <cell r="G19">
            <v>132.4</v>
          </cell>
          <cell r="H19">
            <v>160.4</v>
          </cell>
          <cell r="I19">
            <v>173.4</v>
          </cell>
          <cell r="J19">
            <v>220.7</v>
          </cell>
          <cell r="K19">
            <v>279.3</v>
          </cell>
          <cell r="L19">
            <v>263.2</v>
          </cell>
          <cell r="M19">
            <v>266.7</v>
          </cell>
          <cell r="N19">
            <v>264.7</v>
          </cell>
          <cell r="O19">
            <v>270</v>
          </cell>
          <cell r="P19">
            <v>278.10000000000002</v>
          </cell>
          <cell r="Q19">
            <v>286.44300000000004</v>
          </cell>
          <cell r="R19">
            <v>295.03629000000006</v>
          </cell>
          <cell r="S19">
            <v>303.88737870000006</v>
          </cell>
          <cell r="T19">
            <v>313.00400006100006</v>
          </cell>
          <cell r="U19">
            <v>322.39412006283004</v>
          </cell>
          <cell r="V19">
            <v>332.06594366471495</v>
          </cell>
        </row>
        <row r="21">
          <cell r="B21">
            <v>15</v>
          </cell>
          <cell r="C21">
            <v>15</v>
          </cell>
          <cell r="D21">
            <v>15</v>
          </cell>
          <cell r="E21">
            <v>15</v>
          </cell>
          <cell r="F21">
            <v>15</v>
          </cell>
          <cell r="G21">
            <v>15</v>
          </cell>
          <cell r="H21">
            <v>15</v>
          </cell>
          <cell r="I21">
            <v>15</v>
          </cell>
          <cell r="J21">
            <v>15</v>
          </cell>
          <cell r="K21">
            <v>15</v>
          </cell>
          <cell r="L21">
            <v>15</v>
          </cell>
          <cell r="M21">
            <v>15</v>
          </cell>
          <cell r="N21">
            <v>15</v>
          </cell>
          <cell r="O21">
            <v>15</v>
          </cell>
          <cell r="P21">
            <v>15</v>
          </cell>
          <cell r="Q21">
            <v>15</v>
          </cell>
          <cell r="R21">
            <v>15</v>
          </cell>
          <cell r="S21">
            <v>15</v>
          </cell>
          <cell r="T21">
            <v>15</v>
          </cell>
          <cell r="U21">
            <v>15</v>
          </cell>
          <cell r="V21">
            <v>15</v>
          </cell>
        </row>
        <row r="28">
          <cell r="B28">
            <v>1981.5050000000001</v>
          </cell>
          <cell r="C28">
            <v>1947.508</v>
          </cell>
          <cell r="D28">
            <v>1914.8920000000001</v>
          </cell>
          <cell r="E28">
            <v>1922.837</v>
          </cell>
          <cell r="F28">
            <v>2022.4490000000001</v>
          </cell>
          <cell r="G28">
            <v>2242.1779999999999</v>
          </cell>
          <cell r="H28">
            <v>2378.3380000000002</v>
          </cell>
          <cell r="I28">
            <v>2142.9479999999999</v>
          </cell>
          <cell r="J28">
            <v>2341.4289999999996</v>
          </cell>
          <cell r="K28">
            <v>2478.8710000000001</v>
          </cell>
          <cell r="L28">
            <v>2622.8539999999998</v>
          </cell>
          <cell r="M28">
            <v>2661.7490000000003</v>
          </cell>
          <cell r="N28">
            <v>2803.9090000000001</v>
          </cell>
          <cell r="O28">
            <v>2782.45</v>
          </cell>
          <cell r="P28">
            <v>2794.107</v>
          </cell>
          <cell r="Q28">
            <v>2805.5137100000002</v>
          </cell>
          <cell r="R28">
            <v>2796.6626213</v>
          </cell>
          <cell r="S28">
            <v>2787.545999939</v>
          </cell>
          <cell r="T28">
            <v>2884.6558799371701</v>
          </cell>
          <cell r="U28">
            <v>3017.484056335285</v>
          </cell>
          <cell r="V28">
            <v>3022.5220780253435</v>
          </cell>
        </row>
        <row r="51">
          <cell r="B51">
            <v>67</v>
          </cell>
          <cell r="C51">
            <v>132</v>
          </cell>
          <cell r="D51">
            <v>116</v>
          </cell>
          <cell r="E51">
            <v>89</v>
          </cell>
          <cell r="F51">
            <v>271</v>
          </cell>
          <cell r="G51">
            <v>66</v>
          </cell>
          <cell r="H51">
            <v>21</v>
          </cell>
          <cell r="I51">
            <v>343</v>
          </cell>
          <cell r="J51">
            <v>195.80000000000018</v>
          </cell>
          <cell r="K51">
            <v>-2</v>
          </cell>
          <cell r="L51">
            <v>-39.399999999999636</v>
          </cell>
          <cell r="M51">
            <v>28.099999999999909</v>
          </cell>
          <cell r="N51">
            <v>108</v>
          </cell>
          <cell r="O51">
            <v>124</v>
          </cell>
          <cell r="P51">
            <v>104</v>
          </cell>
          <cell r="Q51">
            <v>84</v>
          </cell>
          <cell r="R51">
            <v>84</v>
          </cell>
          <cell r="S51">
            <v>84</v>
          </cell>
          <cell r="T51">
            <v>127.5</v>
          </cell>
          <cell r="U51">
            <v>135</v>
          </cell>
          <cell r="V51">
            <v>120</v>
          </cell>
        </row>
      </sheetData>
      <sheetData sheetId="12"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273</v>
          </cell>
          <cell r="C19">
            <v>230.7</v>
          </cell>
          <cell r="D19">
            <v>249.5</v>
          </cell>
          <cell r="E19">
            <v>275.8</v>
          </cell>
          <cell r="F19">
            <v>318.10000000000002</v>
          </cell>
          <cell r="G19">
            <v>359.8</v>
          </cell>
          <cell r="H19">
            <v>375.4</v>
          </cell>
          <cell r="I19">
            <v>346.2</v>
          </cell>
          <cell r="J19">
            <v>390.8</v>
          </cell>
          <cell r="K19">
            <v>370.4</v>
          </cell>
          <cell r="L19">
            <v>356</v>
          </cell>
          <cell r="M19">
            <v>383.5</v>
          </cell>
          <cell r="N19">
            <v>379.3</v>
          </cell>
          <cell r="O19">
            <v>380</v>
          </cell>
          <cell r="P19">
            <v>387.6</v>
          </cell>
          <cell r="Q19">
            <v>395.35200000000003</v>
          </cell>
          <cell r="R19">
            <v>403.25904000000003</v>
          </cell>
          <cell r="S19">
            <v>411.32422080000003</v>
          </cell>
          <cell r="T19">
            <v>419.55070521600004</v>
          </cell>
          <cell r="U19">
            <v>427.94171932032003</v>
          </cell>
          <cell r="V19">
            <v>436.50055370672646</v>
          </cell>
        </row>
        <row r="21">
          <cell r="B21">
            <v>18.738293857596073</v>
          </cell>
          <cell r="C21">
            <v>18.832456138287512</v>
          </cell>
          <cell r="D21">
            <v>18.927091596268856</v>
          </cell>
          <cell r="E21">
            <v>19.022202609315432</v>
          </cell>
          <cell r="F21">
            <v>19.117791567151187</v>
          </cell>
          <cell r="G21">
            <v>19.213860871508732</v>
          </cell>
          <cell r="H21">
            <v>19.310412936189682</v>
          </cell>
          <cell r="I21">
            <v>19.40745018712531</v>
          </cell>
          <cell r="J21">
            <v>19.504975062437499</v>
          </cell>
          <cell r="K21">
            <v>19.602990012499998</v>
          </cell>
          <cell r="L21">
            <v>19.701497499999999</v>
          </cell>
          <cell r="M21">
            <v>19.8005</v>
          </cell>
          <cell r="N21">
            <v>19.899999999999999</v>
          </cell>
          <cell r="O21">
            <v>20</v>
          </cell>
          <cell r="P21">
            <v>20.099999999999998</v>
          </cell>
          <cell r="Q21">
            <v>20.200499999999995</v>
          </cell>
          <cell r="R21">
            <v>20.301502499999991</v>
          </cell>
          <cell r="S21">
            <v>20.40301001249999</v>
          </cell>
          <cell r="T21">
            <v>20.505025062562488</v>
          </cell>
          <cell r="U21">
            <v>20.607550187875297</v>
          </cell>
          <cell r="V21">
            <v>20.710587938814673</v>
          </cell>
        </row>
        <row r="28">
          <cell r="B28">
            <v>-297.57305973474803</v>
          </cell>
          <cell r="C28">
            <v>-254.52310526105325</v>
          </cell>
          <cell r="D28">
            <v>-273.79563342819421</v>
          </cell>
          <cell r="E28">
            <v>-300.71864666150179</v>
          </cell>
          <cell r="F28">
            <v>-343.96214739849421</v>
          </cell>
          <cell r="G28">
            <v>-386.59413808893896</v>
          </cell>
          <cell r="H28">
            <v>-402.60462119491342</v>
          </cell>
          <cell r="I28">
            <v>-372.91959919086781</v>
          </cell>
          <cell r="J28">
            <v>-418.51107456368624</v>
          </cell>
          <cell r="K28">
            <v>-397.80304981274998</v>
          </cell>
          <cell r="L28">
            <v>-383.21552745000002</v>
          </cell>
          <cell r="M28">
            <v>-411.36651000000001</v>
          </cell>
          <cell r="N28">
            <v>-407.18399999999997</v>
          </cell>
          <cell r="O28">
            <v>-408</v>
          </cell>
          <cell r="P28">
            <v>-415.85400000000004</v>
          </cell>
          <cell r="Q28">
            <v>-423.86355000000003</v>
          </cell>
          <cell r="R28">
            <v>-432.03175334999997</v>
          </cell>
          <cell r="S28">
            <v>-440.36177542875004</v>
          </cell>
          <cell r="T28">
            <v>-448.85684488413375</v>
          </cell>
          <cell r="U28">
            <v>-457.52025489835921</v>
          </cell>
          <cell r="V28">
            <v>-466.35536447845197</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13"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v>46.315789473684212</v>
          </cell>
          <cell r="C13">
            <v>73.15789473684211</v>
          </cell>
          <cell r="D13">
            <v>35.294117647058826</v>
          </cell>
          <cell r="E13">
            <v>62.058823529411768</v>
          </cell>
          <cell r="F13">
            <v>81.666666666666671</v>
          </cell>
          <cell r="G13">
            <v>76.388888888888886</v>
          </cell>
          <cell r="H13">
            <v>76.481481481481481</v>
          </cell>
          <cell r="I13">
            <v>95.370370370370367</v>
          </cell>
          <cell r="J13">
            <v>96.349206349206355</v>
          </cell>
          <cell r="K13">
            <v>88.904109589041099</v>
          </cell>
          <cell r="L13">
            <v>82.208588957055213</v>
          </cell>
          <cell r="M13">
            <v>84.011428571428567</v>
          </cell>
          <cell r="N13">
            <v>87.322033898305079</v>
          </cell>
          <cell r="O13">
            <v>87.52542372881355</v>
          </cell>
          <cell r="P13">
            <v>89.180790960451972</v>
          </cell>
          <cell r="Q13">
            <v>92.331606217616581</v>
          </cell>
          <cell r="R13">
            <v>95</v>
          </cell>
          <cell r="S13">
            <v>95.497560975609758</v>
          </cell>
          <cell r="T13">
            <v>95.995121951219517</v>
          </cell>
          <cell r="U13">
            <v>95.995121951219517</v>
          </cell>
          <cell r="V13">
            <v>95.995121951219517</v>
          </cell>
        </row>
        <row r="14">
          <cell r="B14">
            <v>88</v>
          </cell>
          <cell r="C14">
            <v>139</v>
          </cell>
          <cell r="D14">
            <v>120</v>
          </cell>
          <cell r="E14">
            <v>211</v>
          </cell>
          <cell r="F14">
            <v>294</v>
          </cell>
          <cell r="G14">
            <v>275</v>
          </cell>
          <cell r="H14">
            <v>413</v>
          </cell>
          <cell r="I14">
            <v>515</v>
          </cell>
          <cell r="J14">
            <v>607</v>
          </cell>
          <cell r="K14">
            <v>649</v>
          </cell>
          <cell r="L14">
            <v>670</v>
          </cell>
          <cell r="M14">
            <v>735.1</v>
          </cell>
          <cell r="N14">
            <v>772.8</v>
          </cell>
          <cell r="O14">
            <v>774.59999999999991</v>
          </cell>
          <cell r="P14">
            <v>789.25</v>
          </cell>
          <cell r="Q14">
            <v>891</v>
          </cell>
          <cell r="R14">
            <v>973.75</v>
          </cell>
          <cell r="S14">
            <v>978.84999999999991</v>
          </cell>
          <cell r="T14">
            <v>983.95</v>
          </cell>
          <cell r="U14">
            <v>983.95</v>
          </cell>
          <cell r="V14">
            <v>983.95</v>
          </cell>
        </row>
        <row r="19">
          <cell r="B19">
            <v>1540.5</v>
          </cell>
          <cell r="C19">
            <v>1564</v>
          </cell>
          <cell r="D19">
            <v>1701.7</v>
          </cell>
          <cell r="E19">
            <v>1918.4</v>
          </cell>
          <cell r="F19">
            <v>2148.1999999999998</v>
          </cell>
          <cell r="G19">
            <v>2017.8</v>
          </cell>
          <cell r="H19">
            <v>2321.1</v>
          </cell>
          <cell r="I19">
            <v>2673.7</v>
          </cell>
          <cell r="J19">
            <v>2714.6</v>
          </cell>
          <cell r="K19">
            <v>2547.4</v>
          </cell>
          <cell r="L19">
            <v>3046.8</v>
          </cell>
          <cell r="M19">
            <v>3147.4150000000009</v>
          </cell>
          <cell r="N19">
            <v>3625.7</v>
          </cell>
          <cell r="O19">
            <v>3850</v>
          </cell>
          <cell r="P19">
            <v>3965.5</v>
          </cell>
          <cell r="Q19">
            <v>4084.4650000000001</v>
          </cell>
          <cell r="R19">
            <v>4206.9989500000001</v>
          </cell>
          <cell r="S19">
            <v>4333.2089185000004</v>
          </cell>
          <cell r="T19">
            <v>4463.2051860550009</v>
          </cell>
          <cell r="U19">
            <v>4597.1013416366513</v>
          </cell>
          <cell r="V19">
            <v>4735.0143818857514</v>
          </cell>
        </row>
        <row r="21">
          <cell r="B21">
            <v>120.99788238180281</v>
          </cell>
          <cell r="C21">
            <v>121.30113521985244</v>
          </cell>
          <cell r="D21">
            <v>121.60514809007763</v>
          </cell>
          <cell r="E21">
            <v>121.90992289732093</v>
          </cell>
          <cell r="F21">
            <v>122.21546155119891</v>
          </cell>
          <cell r="G21">
            <v>122.52176596611419</v>
          </cell>
          <cell r="H21">
            <v>122.82883806126735</v>
          </cell>
          <cell r="I21">
            <v>123.13667976066901</v>
          </cell>
          <cell r="J21">
            <v>123.44529299315188</v>
          </cell>
          <cell r="K21">
            <v>123.75467969238284</v>
          </cell>
          <cell r="L21">
            <v>124.06484179687502</v>
          </cell>
          <cell r="M21">
            <v>124.37578125</v>
          </cell>
          <cell r="N21">
            <v>124.6875</v>
          </cell>
          <cell r="O21">
            <v>125</v>
          </cell>
          <cell r="P21">
            <v>125.3125</v>
          </cell>
          <cell r="Q21">
            <v>125.62578124999999</v>
          </cell>
          <cell r="R21">
            <v>125.93984570312499</v>
          </cell>
          <cell r="S21">
            <v>126.2546953173828</v>
          </cell>
          <cell r="T21">
            <v>126.57033205567625</v>
          </cell>
          <cell r="U21">
            <v>126.88675788581543</v>
          </cell>
          <cell r="V21">
            <v>127.20397478052996</v>
          </cell>
        </row>
        <row r="28">
          <cell r="B28">
            <v>-1623.3428188532569</v>
          </cell>
          <cell r="C28">
            <v>-1596.860169276448</v>
          </cell>
          <cell r="D28">
            <v>-1758.00430253278</v>
          </cell>
          <cell r="E28">
            <v>-1890.5192205842404</v>
          </cell>
          <cell r="F28">
            <v>-2044.5279253977346</v>
          </cell>
          <cell r="G28">
            <v>-1929.5314189450974</v>
          </cell>
          <cell r="H28">
            <v>-2104.2467032031054</v>
          </cell>
          <cell r="I28">
            <v>-2365.7417801534889</v>
          </cell>
          <cell r="J28">
            <v>-2316.1866517829462</v>
          </cell>
          <cell r="K28">
            <v>-2102.2893200831545</v>
          </cell>
          <cell r="L28">
            <v>-2595.9907870507814</v>
          </cell>
          <cell r="M28">
            <v>-2634.8445046875008</v>
          </cell>
          <cell r="N28">
            <v>-3090.0991249999997</v>
          </cell>
          <cell r="O28">
            <v>-3319.65</v>
          </cell>
          <cell r="P28">
            <v>-3424.2868749999998</v>
          </cell>
          <cell r="Q28">
            <v>-3445.3935046875004</v>
          </cell>
          <cell r="R28">
            <v>-3489.1769595742189</v>
          </cell>
          <cell r="S28">
            <v>-3614.3975222319045</v>
          </cell>
          <cell r="T28">
            <v>-3743.5187836539972</v>
          </cell>
          <cell r="U28">
            <v>-3881.7577425081408</v>
          </cell>
          <cell r="V28">
            <v>-4024.1349073662705</v>
          </cell>
        </row>
        <row r="51">
          <cell r="B51">
            <v>102</v>
          </cell>
          <cell r="C51">
            <v>51</v>
          </cell>
          <cell r="D51">
            <v>220</v>
          </cell>
          <cell r="E51">
            <v>129</v>
          </cell>
          <cell r="F51">
            <v>66</v>
          </cell>
          <cell r="G51">
            <v>85</v>
          </cell>
          <cell r="H51">
            <v>127</v>
          </cell>
          <cell r="I51">
            <v>25</v>
          </cell>
          <cell r="J51">
            <v>23</v>
          </cell>
          <cell r="K51">
            <v>81</v>
          </cell>
          <cell r="L51">
            <v>145</v>
          </cell>
          <cell r="M51">
            <v>139.89999999999998</v>
          </cell>
          <cell r="N51">
            <v>112.20000000000005</v>
          </cell>
          <cell r="O51">
            <v>110.40000000000009</v>
          </cell>
          <cell r="P51">
            <v>95.75</v>
          </cell>
          <cell r="Q51">
            <v>74</v>
          </cell>
          <cell r="R51">
            <v>51.25</v>
          </cell>
          <cell r="S51">
            <v>46.150000000000091</v>
          </cell>
          <cell r="T51">
            <v>41.049999999999955</v>
          </cell>
          <cell r="U51">
            <v>41.049999999999955</v>
          </cell>
          <cell r="V51">
            <v>41.049999999999955</v>
          </cell>
        </row>
      </sheetData>
      <sheetData sheetId="14" refreshError="1"/>
      <sheetData sheetId="15" refreshError="1"/>
      <sheetData sheetId="16" refreshError="1">
        <row r="2">
          <cell r="A2" t="str">
            <v>Cargill Crop Nutrition</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v>78.054968287526421</v>
          </cell>
          <cell r="C13">
            <v>74</v>
          </cell>
          <cell r="D13">
            <v>74.568527918781726</v>
          </cell>
          <cell r="E13">
            <v>63.544465770953295</v>
          </cell>
          <cell r="F13">
            <v>74.655647382920108</v>
          </cell>
          <cell r="G13">
            <v>76.874095513748188</v>
          </cell>
          <cell r="H13">
            <v>85.580286168521454</v>
          </cell>
          <cell r="I13">
            <v>84.149443561208273</v>
          </cell>
          <cell r="J13">
            <v>86.653650254668918</v>
          </cell>
          <cell r="K13">
            <v>84.633851468048363</v>
          </cell>
          <cell r="L13">
            <v>83.813471502590673</v>
          </cell>
          <cell r="M13">
            <v>82.854922279792731</v>
          </cell>
          <cell r="N13">
            <v>80.239361702127667</v>
          </cell>
          <cell r="O13">
            <v>82.288602941176464</v>
          </cell>
          <cell r="P13">
            <v>82.945772058823536</v>
          </cell>
          <cell r="Q13">
            <v>82.119856887298752</v>
          </cell>
          <cell r="R13">
            <v>83.519677996422175</v>
          </cell>
          <cell r="S13">
            <v>84.279964221824685</v>
          </cell>
          <cell r="T13">
            <v>84.279964221824685</v>
          </cell>
          <cell r="U13">
            <v>84.279964221824685</v>
          </cell>
          <cell r="V13">
            <v>84.279964221824685</v>
          </cell>
        </row>
        <row r="14">
          <cell r="B14">
            <v>7384</v>
          </cell>
          <cell r="C14">
            <v>6142</v>
          </cell>
          <cell r="D14">
            <v>5876</v>
          </cell>
          <cell r="E14">
            <v>4966</v>
          </cell>
          <cell r="F14">
            <v>5420</v>
          </cell>
          <cell r="G14">
            <v>5312</v>
          </cell>
          <cell r="H14">
            <v>5383</v>
          </cell>
          <cell r="I14">
            <v>5293</v>
          </cell>
          <cell r="J14">
            <v>5103.8999999999996</v>
          </cell>
          <cell r="K14">
            <v>4900.3</v>
          </cell>
          <cell r="L14">
            <v>4852.8</v>
          </cell>
          <cell r="M14">
            <v>4797.2999999999993</v>
          </cell>
          <cell r="N14">
            <v>4525.5</v>
          </cell>
          <cell r="O14">
            <v>4476.5</v>
          </cell>
          <cell r="P14">
            <v>4512.25</v>
          </cell>
          <cell r="Q14">
            <v>4590.5</v>
          </cell>
          <cell r="R14">
            <v>4668.75</v>
          </cell>
          <cell r="S14">
            <v>4711.25</v>
          </cell>
          <cell r="T14">
            <v>4711.25</v>
          </cell>
          <cell r="U14">
            <v>4711.25</v>
          </cell>
          <cell r="V14">
            <v>4711.25</v>
          </cell>
        </row>
        <row r="19">
          <cell r="B19">
            <v>5721.2</v>
          </cell>
          <cell r="C19">
            <v>5077.6000000000004</v>
          </cell>
          <cell r="D19">
            <v>4686.5</v>
          </cell>
          <cell r="E19">
            <v>4115.6000000000004</v>
          </cell>
          <cell r="F19">
            <v>4172.8999999999996</v>
          </cell>
          <cell r="G19">
            <v>4268.8999999999996</v>
          </cell>
          <cell r="H19">
            <v>4345.3</v>
          </cell>
          <cell r="I19">
            <v>4380.6000000000004</v>
          </cell>
          <cell r="J19">
            <v>4301.8</v>
          </cell>
          <cell r="K19">
            <v>4151.6000000000004</v>
          </cell>
          <cell r="L19">
            <v>3935.4</v>
          </cell>
          <cell r="M19">
            <v>3572.6</v>
          </cell>
          <cell r="N19">
            <v>3640.3</v>
          </cell>
          <cell r="O19">
            <v>3600</v>
          </cell>
          <cell r="P19">
            <v>3510</v>
          </cell>
          <cell r="Q19">
            <v>3422.25</v>
          </cell>
          <cell r="R19">
            <v>3336.6937499999999</v>
          </cell>
          <cell r="S19">
            <v>3253.27640625</v>
          </cell>
          <cell r="T19">
            <v>3171.9444960937499</v>
          </cell>
          <cell r="U19">
            <v>3092.6458836914062</v>
          </cell>
          <cell r="V19">
            <v>3015.3297365991211</v>
          </cell>
        </row>
        <row r="21">
          <cell r="B21">
            <v>435.59237657449012</v>
          </cell>
          <cell r="C21">
            <v>436.68408679146876</v>
          </cell>
          <cell r="D21">
            <v>437.77853312427942</v>
          </cell>
          <cell r="E21">
            <v>438.87572243035527</v>
          </cell>
          <cell r="F21">
            <v>439.97566158431601</v>
          </cell>
          <cell r="G21">
            <v>441.07835747801101</v>
          </cell>
          <cell r="H21">
            <v>442.1838170205624</v>
          </cell>
          <cell r="I21">
            <v>443.29204713840841</v>
          </cell>
          <cell r="J21">
            <v>444.40305477534673</v>
          </cell>
          <cell r="K21">
            <v>445.51684689257814</v>
          </cell>
          <cell r="L21">
            <v>446.63343046875002</v>
          </cell>
          <cell r="M21">
            <v>447.7528125</v>
          </cell>
          <cell r="N21">
            <v>448.875</v>
          </cell>
          <cell r="O21">
            <v>450</v>
          </cell>
          <cell r="P21">
            <v>450</v>
          </cell>
          <cell r="Q21">
            <v>450</v>
          </cell>
          <cell r="R21">
            <v>450</v>
          </cell>
          <cell r="S21">
            <v>450</v>
          </cell>
          <cell r="T21">
            <v>450</v>
          </cell>
          <cell r="U21">
            <v>450</v>
          </cell>
          <cell r="V21">
            <v>450</v>
          </cell>
        </row>
        <row r="28">
          <cell r="B28">
            <v>1104.07177589402</v>
          </cell>
          <cell r="C28">
            <v>517.43023147270105</v>
          </cell>
          <cell r="D28">
            <v>649.23589621323481</v>
          </cell>
          <cell r="E28">
            <v>320.43476312103758</v>
          </cell>
          <cell r="F28">
            <v>714.86682518399812</v>
          </cell>
          <cell r="G28">
            <v>507.82207537242903</v>
          </cell>
          <cell r="H28">
            <v>499.76650663902637</v>
          </cell>
          <cell r="I28">
            <v>372.63011191882288</v>
          </cell>
          <cell r="J28">
            <v>262.77288412914641</v>
          </cell>
          <cell r="K28">
            <v>211.24081616956937</v>
          </cell>
          <cell r="L28">
            <v>383.12590092187475</v>
          </cell>
          <cell r="M28">
            <v>696.54013124999983</v>
          </cell>
          <cell r="N28">
            <v>354.54149999999936</v>
          </cell>
          <cell r="O28">
            <v>345.5</v>
          </cell>
          <cell r="P28">
            <v>473.05000000000018</v>
          </cell>
          <cell r="Q28">
            <v>640.80499999999984</v>
          </cell>
          <cell r="R28">
            <v>806.32237500000019</v>
          </cell>
          <cell r="S28">
            <v>933.90806562499984</v>
          </cell>
          <cell r="T28">
            <v>1016.8666139843749</v>
          </cell>
          <cell r="U28">
            <v>1097.7511986347658</v>
          </cell>
          <cell r="V28">
            <v>1176.6136686688965</v>
          </cell>
        </row>
        <row r="51">
          <cell r="B51">
            <v>2076</v>
          </cell>
          <cell r="C51">
            <v>2158</v>
          </cell>
          <cell r="D51">
            <v>2004</v>
          </cell>
          <cell r="E51">
            <v>2849</v>
          </cell>
          <cell r="F51">
            <v>1840</v>
          </cell>
          <cell r="G51">
            <v>1598</v>
          </cell>
          <cell r="H51">
            <v>907</v>
          </cell>
          <cell r="I51">
            <v>997</v>
          </cell>
          <cell r="J51">
            <v>786.10000000000036</v>
          </cell>
          <cell r="K51">
            <v>889.69999999999982</v>
          </cell>
          <cell r="L51">
            <v>937.19999999999982</v>
          </cell>
          <cell r="M51">
            <v>992.70000000000073</v>
          </cell>
          <cell r="N51">
            <v>1114.5</v>
          </cell>
          <cell r="O51">
            <v>963.5</v>
          </cell>
          <cell r="P51">
            <v>927.75</v>
          </cell>
          <cell r="Q51">
            <v>999.5</v>
          </cell>
          <cell r="R51">
            <v>921.25</v>
          </cell>
          <cell r="S51">
            <v>878.75</v>
          </cell>
          <cell r="T51">
            <v>878.75</v>
          </cell>
          <cell r="U51">
            <v>878.75</v>
          </cell>
          <cell r="V51">
            <v>878.75</v>
          </cell>
        </row>
      </sheetData>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gIS"/>
      <sheetName val="Pro Forma (2)"/>
      <sheetName val="Output (GAAP) (2)"/>
      <sheetName val="Output (2)"/>
      <sheetName val="Pro Forma"/>
      <sheetName val="__FDSCACHE__"/>
      <sheetName val="Output (GAAP)"/>
      <sheetName val="Output"/>
      <sheetName val="Inputs"/>
      <sheetName val="INSS"/>
      <sheetName val="PMO"/>
      <sheetName val="Contribution"/>
      <sheetName val="Contr - FD"/>
      <sheetName val="Contr - TM"/>
      <sheetName val="Adjusted Contribution"/>
      <sheetName val="Cash Burn"/>
      <sheetName val="Multiples"/>
      <sheetName val="SyncAlloc"/>
      <sheetName val="PricePerformance"/>
      <sheetName val="ValMtrx"/>
      <sheetName val="CapSum-Tux"/>
      <sheetName val="CapSum-Top hat"/>
      <sheetName val="DCF-Tux Mgt 2001"/>
      <sheetName val="DCF-Tux Mgt 2002"/>
      <sheetName val="DCF-Tux Mgt 2001 Norm"/>
      <sheetName val="DCF-Tux Str Estimates"/>
      <sheetName val="DCF-Top Hat mgt"/>
      <sheetName val="DCF-Top Hat Str Est."/>
      <sheetName val="DCF-Top Hat Synergies"/>
      <sheetName val="MSDW SbyS"/>
      <sheetName val="SbyS"/>
      <sheetName val="Contribution2"/>
      <sheetName val="Combination - Street Est."/>
      <sheetName val="PF W-O Synergies"/>
      <sheetName val="Combination -Management Est."/>
      <sheetName val="Top Hat"/>
      <sheetName val="Tuxedo"/>
      <sheetName val="Analyst Avg"/>
      <sheetName val="Synergy Sensitivity"/>
      <sheetName val="Sheet2"/>
      <sheetName val="Sheet3"/>
      <sheetName val="IS"/>
      <sheetName val="BS|CF"/>
      <sheetName val="Assum"/>
      <sheetName val="OpBS"/>
      <sheetName val="BSCF"/>
      <sheetName val="Ratios"/>
      <sheetName val="AcqIS"/>
      <sheetName val="AcqBSCF"/>
      <sheetName val="AcqRat"/>
      <sheetName val="TargBSCF"/>
      <sheetName val="TargRat"/>
      <sheetName val="AcqDCF1"/>
      <sheetName val="AcqDCF2"/>
      <sheetName val="TargDCF1"/>
      <sheetName val="TargDCF2"/>
      <sheetName val="CashAcq"/>
      <sheetName val="LBO Assum"/>
      <sheetName val="LBO IS"/>
      <sheetName val="LBO  BSCF"/>
      <sheetName val="LBO Ratios"/>
      <sheetName val="LBO Returns"/>
      <sheetName val="Contrib"/>
      <sheetName val="Presentation&gt;&gt;&gt;"/>
      <sheetName val="TargFin"/>
      <sheetName val="ValMatrix"/>
      <sheetName val="TargDCF"/>
      <sheetName val="CashAcqOutput"/>
      <sheetName val="PF EPS1"/>
      <sheetName val="PF EPS2"/>
      <sheetName val="PF Ratios"/>
      <sheetName val="StckPrc1"/>
      <sheetName val="StckPrc2"/>
      <sheetName val="Summary"/>
      <sheetName val="Output&gt;&gt;"/>
      <sheetName val="SummaryCases"/>
      <sheetName val="Summary FS"/>
      <sheetName val="Sources and Uses"/>
      <sheetName val="Acc Dil"/>
      <sheetName val="Cash Acc Dil"/>
      <sheetName val="Summary Credit Stats"/>
      <sheetName val="Summary Debt Paydown"/>
      <sheetName val="Growth Analysis"/>
      <sheetName val="Conv Returns Summary"/>
      <sheetName val="Class A Returns Summary"/>
      <sheetName val="Stk Price Acc Dil"/>
      <sheetName val="Pro Forma&gt;&gt;"/>
      <sheetName val="Convertible Returns"/>
      <sheetName val="Class A Returns"/>
      <sheetName val="PIK Returns"/>
      <sheetName val="99 and LTM PF"/>
      <sheetName val="Hawk&gt;&gt;"/>
      <sheetName val="Midway&gt;&gt;"/>
      <sheetName val="TargIS £"/>
      <sheetName val="TargBSCF £"/>
      <sheetName val="TargIS $"/>
      <sheetName val="TargBSCF $"/>
      <sheetName val="TargIS-Adj"/>
      <sheetName val="TargBSCF-Adj"/>
      <sheetName val="AerospaceISMonthly"/>
      <sheetName val="WholeTargetISMonthly"/>
      <sheetName val="--NOT USED--"/>
      <sheetName val="Jupiter&gt;&gt;&gt;&gt;&gt;"/>
      <sheetName val="Jupiter IS"/>
      <sheetName val="Jupiter BSCF"/>
      <sheetName val="Jupiter Rat"/>
      <sheetName val="Jupiter DCF1"/>
      <sheetName val="Jupiter DCF2"/>
      <sheetName val="Saturn&gt;&gt;&gt;&gt;&gt;&gt;"/>
      <sheetName val="Saturn IS"/>
      <sheetName val="Saturn BSCF"/>
      <sheetName val="Saturn DCF1"/>
      <sheetName val="Saturn DCF2"/>
      <sheetName val="Saturn Ratios"/>
      <sheetName val="Spaceshot&gt;&gt;&gt;&gt;&gt;"/>
      <sheetName val="Op-BS"/>
      <sheetName val="Output&gt;&gt;&gt;&gt;&gt;"/>
      <sheetName val="Matrix"/>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sheetData sheetId="55"/>
      <sheetData sheetId="56"/>
      <sheetData sheetId="57"/>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refreshError="1"/>
      <sheetData sheetId="109"/>
      <sheetData sheetId="110"/>
      <sheetData sheetId="111"/>
      <sheetData sheetId="112"/>
      <sheetData sheetId="113" refreshError="1"/>
      <sheetData sheetId="114" refreshError="1"/>
      <sheetData sheetId="115"/>
      <sheetData sheetId="116" refreshError="1"/>
      <sheetData sheetId="1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s"/>
      <sheetName val="EBITDA"/>
      <sheetName val="Multiples"/>
      <sheetName val="Exhibits--&gt;&gt;"/>
      <sheetName val="Title"/>
      <sheetName val="Outline"/>
      <sheetName val="A1_Val Summ"/>
      <sheetName val="DCF &gt;&gt;"/>
      <sheetName val="B1_Historical Financials"/>
      <sheetName val="B2"/>
      <sheetName val="B3"/>
      <sheetName val="B4"/>
      <sheetName val="C1_Income Statement"/>
      <sheetName val="C2_DCF"/>
      <sheetName val="ApndxA3"/>
      <sheetName val="C3_WACC CAPM"/>
      <sheetName val="C4_Beta Calc"/>
      <sheetName val="GCM FP &gt;&gt;"/>
      <sheetName val="D1_Comp 1"/>
      <sheetName val="D2_Comp 2"/>
      <sheetName val="D3_Comp 3"/>
      <sheetName val="GTM FP &gt;&gt;"/>
      <sheetName val="E1_Trans."/>
      <sheetName val="E2_Trans."/>
      <sheetName val="E3_Trans."/>
      <sheetName val="Summary P&amp;L"/>
      <sheetName val="TM1Live"/>
      <sheetName val="TM1data"/>
      <sheetName val="Title (2)"/>
      <sheetName val="Workpapers &gt; &gt;"/>
      <sheetName val="A1_Assumptions"/>
      <sheetName val="MainOutline"/>
      <sheetName val="A2"/>
      <sheetName val="A3"/>
      <sheetName val="A4"/>
      <sheetName val="A5"/>
      <sheetName val="A6"/>
      <sheetName val="ApndxC10"/>
      <sheetName val="B1 (2)"/>
      <sheetName val="B2 (2)"/>
      <sheetName val="Title_Mngmnt"/>
      <sheetName val="OutlineM"/>
      <sheetName val="M1"/>
      <sheetName val="M2"/>
      <sheetName val="M3"/>
      <sheetName val="M4"/>
      <sheetName val="M5"/>
      <sheetName val="Title_Prtnr"/>
      <sheetName val="OutlineP"/>
      <sheetName val="P1"/>
      <sheetName val="P2"/>
      <sheetName val="P3"/>
      <sheetName val="P4"/>
      <sheetName val="WorkPapers&gt;&gt;&gt;"/>
      <sheetName val="ApndxA1"/>
      <sheetName val="ApndxA2"/>
      <sheetName val="ApndxB1"/>
      <sheetName val="ApndxB2"/>
      <sheetName val="ApndxB3"/>
      <sheetName val="ApndxB4"/>
      <sheetName val="ApndxB5"/>
      <sheetName val="ApndxB6"/>
      <sheetName val="ApndxC3"/>
      <sheetName val="ApndxC4"/>
      <sheetName val="ApndxC5"/>
      <sheetName val="ApndxC1"/>
      <sheetName val="ApndxC2"/>
      <sheetName val="ApndxC6"/>
      <sheetName val="ApndxC7"/>
      <sheetName val="ApndxC8"/>
      <sheetName val="ApndxC9"/>
      <sheetName val="ApndxC11"/>
      <sheetName val="ApndxC12"/>
      <sheetName val="ApndxD1"/>
      <sheetName val="ApndxD2"/>
      <sheetName val="ApndxD3"/>
      <sheetName val="ApndxD4"/>
      <sheetName val="ApndxD5"/>
      <sheetName val="ApndxD6"/>
      <sheetName val="ApndxD7"/>
      <sheetName val="ApndxD8"/>
      <sheetName val="&lt;DO NOT INCLUDE&gt;"/>
      <sheetName val="Capital IQ Sheet-GPC"/>
      <sheetName val="Capital IQ Sheet-STM"/>
      <sheetName val="Historical Actuals"/>
      <sheetName val="2016 FY Budget"/>
      <sheetName val="TM1used"/>
      <sheetName val="QuestionsNotes"/>
      <sheetName val="MacroLinks"/>
      <sheetName val="MiscCalc"/>
      <sheetName val="Sheet3"/>
      <sheetName val="BackgroundInfo&gt;&gt;&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Q2" t="b">
            <v>0</v>
          </cell>
        </row>
        <row r="9">
          <cell r="AK9">
            <v>2</v>
          </cell>
        </row>
        <row r="10">
          <cell r="P10">
            <v>1.6E-2</v>
          </cell>
        </row>
        <row r="83">
          <cell r="B83">
            <v>2</v>
          </cell>
        </row>
      </sheetData>
      <sheetData sheetId="31">
        <row r="2">
          <cell r="H2">
            <v>1</v>
          </cell>
        </row>
      </sheetData>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Live"/>
      <sheetName val="TM1data"/>
      <sheetName val="TM1used"/>
      <sheetName val="QuestionsNotes"/>
      <sheetName val="MacroLinks"/>
      <sheetName val="Title"/>
      <sheetName val="MainOutline"/>
      <sheetName val="FA INV LIST"/>
      <sheetName val="A1"/>
      <sheetName val="A2"/>
      <sheetName val="A3"/>
      <sheetName val="A4"/>
      <sheetName val="A5"/>
      <sheetName val="A6"/>
      <sheetName val="B1"/>
      <sheetName val="B2"/>
      <sheetName val="Title_Mngmnt"/>
      <sheetName val="OutlineM"/>
      <sheetName val="M1"/>
      <sheetName val="M2"/>
      <sheetName val="M3 Adj"/>
      <sheetName val="ApndxA1"/>
      <sheetName val="M3"/>
      <sheetName val="M4"/>
      <sheetName val="M5"/>
      <sheetName val="Title_Prtnr"/>
      <sheetName val="OutlineP"/>
      <sheetName val="P1"/>
      <sheetName val="P2"/>
      <sheetName val="P3"/>
      <sheetName val="P4"/>
      <sheetName val="ApndxA2"/>
      <sheetName val="ApndxA3"/>
      <sheetName val="ApndxB1"/>
      <sheetName val="ApndxB2"/>
      <sheetName val="ApndxB5"/>
      <sheetName val="ApndxB3"/>
      <sheetName val="ApndxB4"/>
      <sheetName val="ApndxB6"/>
      <sheetName val="C1"/>
      <sheetName val="C2"/>
      <sheetName val="C3"/>
      <sheetName val="C4"/>
      <sheetName val="C5"/>
      <sheetName val="C6"/>
      <sheetName val="C7"/>
      <sheetName val="C8"/>
      <sheetName val="C9"/>
      <sheetName val="C10"/>
      <sheetName val="C11"/>
      <sheetName val="C12"/>
      <sheetName val="D1"/>
      <sheetName val="D2"/>
      <sheetName val="D3"/>
      <sheetName val="D4"/>
      <sheetName val="D5"/>
      <sheetName val="D6"/>
      <sheetName val="D7"/>
      <sheetName val="D8"/>
      <sheetName val="WorkPapers&gt;&gt;&gt;"/>
      <sheetName val="MiscCalc"/>
      <sheetName val="Sheet3"/>
    </sheetNames>
    <sheetDataSet>
      <sheetData sheetId="0"/>
      <sheetData sheetId="1"/>
      <sheetData sheetId="2"/>
      <sheetData sheetId="3"/>
      <sheetData sheetId="4"/>
      <sheetData sheetId="5"/>
      <sheetData sheetId="6">
        <row r="2">
          <cell r="H2">
            <v>1</v>
          </cell>
        </row>
      </sheetData>
      <sheetData sheetId="7"/>
      <sheetData sheetId="8">
        <row r="2">
          <cell r="Q2" t="b">
            <v>0</v>
          </cell>
        </row>
        <row r="3">
          <cell r="Q3">
            <v>2</v>
          </cell>
        </row>
        <row r="9">
          <cell r="AK9">
            <v>2</v>
          </cell>
        </row>
        <row r="10">
          <cell r="P10">
            <v>1.6E-2</v>
          </cell>
        </row>
        <row r="83">
          <cell r="B83">
            <v>2</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Live"/>
      <sheetName val="TM1data"/>
      <sheetName val="TM1used"/>
      <sheetName val="Historical Actuals"/>
      <sheetName val="QuestionsNotes"/>
      <sheetName val="MacroLinks"/>
      <sheetName val="Title"/>
      <sheetName val="MainOutline"/>
      <sheetName val="A1"/>
      <sheetName val="D5"/>
      <sheetName val="ApndxA1"/>
      <sheetName val="ApndxA2"/>
      <sheetName val="A2"/>
      <sheetName val="A3"/>
      <sheetName val="A4"/>
      <sheetName val="A5"/>
      <sheetName val="A6"/>
      <sheetName val="B1"/>
      <sheetName val="B2"/>
      <sheetName val="Title_Mngmnt"/>
      <sheetName val="OutlineM"/>
      <sheetName val="M1"/>
      <sheetName val="M2"/>
      <sheetName val="M3"/>
      <sheetName val="M4"/>
      <sheetName val="M5"/>
      <sheetName val="Title_Prtnr"/>
      <sheetName val="OutlineP"/>
      <sheetName val="P1"/>
      <sheetName val="P2"/>
      <sheetName val="P3"/>
      <sheetName val="P4"/>
      <sheetName val="ApndxA3"/>
      <sheetName val="ApndxB1"/>
      <sheetName val="ApndxB2"/>
      <sheetName val="ApndxB3"/>
      <sheetName val="ApndxB4"/>
      <sheetName val="ApndxB5"/>
      <sheetName val="ApndxB6"/>
      <sheetName val="C1"/>
      <sheetName val="C2"/>
      <sheetName val="C3"/>
      <sheetName val="C4"/>
      <sheetName val="C5"/>
      <sheetName val="C6"/>
      <sheetName val="C7"/>
      <sheetName val="C8"/>
      <sheetName val="C9"/>
      <sheetName val="C10"/>
      <sheetName val="C11"/>
      <sheetName val="C12"/>
      <sheetName val="D1"/>
      <sheetName val="D2"/>
      <sheetName val="D3"/>
      <sheetName val="D4"/>
      <sheetName val="D6"/>
      <sheetName val="D7"/>
      <sheetName val="D8"/>
      <sheetName val="WorkPapers&gt;&gt;&gt;"/>
      <sheetName val="PD Trends"/>
      <sheetName val="HHD Trends"/>
      <sheetName val="Q1 2016 Budget"/>
      <sheetName val="2016 FY Budget"/>
      <sheetName val="WSR-F"/>
      <sheetName val="ROH ADDITIONS"/>
      <sheetName val="Lease Classification RNA"/>
      <sheetName val="MiscCalc"/>
      <sheetName val="Sheet3"/>
    </sheetNames>
    <sheetDataSet>
      <sheetData sheetId="0"/>
      <sheetData sheetId="1"/>
      <sheetData sheetId="2"/>
      <sheetData sheetId="3"/>
      <sheetData sheetId="4"/>
      <sheetData sheetId="5"/>
      <sheetData sheetId="6"/>
      <sheetData sheetId="7">
        <row r="2">
          <cell r="H2">
            <v>1</v>
          </cell>
        </row>
      </sheetData>
      <sheetData sheetId="8">
        <row r="2">
          <cell r="Q2" t="b">
            <v>0</v>
          </cell>
        </row>
        <row r="83">
          <cell r="B83">
            <v>2</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tSettings"/>
      <sheetName val="SectList"/>
      <sheetName val="AcList"/>
      <sheetName val="DepList"/>
      <sheetName val="CurList"/>
      <sheetName val="SectTB"/>
      <sheetName val="SectCDTB"/>
      <sheetName val="AcTB"/>
      <sheetName val="AcCDTB"/>
      <sheetName val="Settings"/>
      <sheetName val="TB Scheme A"/>
      <sheetName val="TB Scheme B"/>
      <sheetName val="TB Scheme C"/>
      <sheetName val="TB Scheme D"/>
      <sheetName val="Check List"/>
      <sheetName val="History"/>
      <sheetName val="TB"/>
      <sheetName val="Data"/>
      <sheetName val="CFWorkings"/>
      <sheetName val="Cover"/>
      <sheetName val="Contents"/>
      <sheetName val="Information"/>
      <sheetName val="Director"/>
      <sheetName val="Responsibilities"/>
      <sheetName val="Audit"/>
      <sheetName val="Compilation"/>
      <sheetName val="Accountant"/>
      <sheetName val="PL"/>
      <sheetName val="RGL"/>
      <sheetName val="PL 1 Page"/>
      <sheetName val="BS"/>
      <sheetName val="CF"/>
      <sheetName val="BS 1 Page"/>
      <sheetName val="Cash Flow"/>
      <sheetName val="Notes"/>
      <sheetName val="DetailPL1"/>
      <sheetName val="DetailPL2"/>
      <sheetName val="AbbCover"/>
      <sheetName val="AbbAudit"/>
      <sheetName val="AbbCompilation"/>
      <sheetName val="AbbAccountant"/>
      <sheetName val="AbbBS"/>
      <sheetName val="AbbNotes"/>
      <sheetName val="Library"/>
      <sheetName val="Info Required"/>
      <sheetName val="FAR"/>
      <sheetName val="Tax Comp"/>
      <sheetName val="Workings"/>
      <sheetName val="VT_Results"/>
      <sheetName val="2004 05 SCS UK management acco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56">
          <cell r="C56" t="str">
            <v>Stem Cell Sciences (UK) Limited</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MultInputs"/>
      <sheetName val="Setu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ummary"/>
      <sheetName val="Summary of Comparison"/>
    </sheetNames>
    <definedNames>
      <definedName name="Data.Top.Left"/>
    </definedNames>
    <sheetDataSet>
      <sheetData sheetId="0"/>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s"/>
      <sheetName val="EBITDA"/>
      <sheetName val="Multiples"/>
      <sheetName val="SH Stockton Summary Analysis"/>
    </sheetNames>
    <definedNames>
      <definedName name="Data.Top.Left"/>
    </definedNames>
    <sheetDataSet>
      <sheetData sheetId="0" refreshError="1"/>
      <sheetData sheetId="1" refreshError="1"/>
      <sheetData sheetId="2" refreshError="1"/>
      <sheetData sheetId="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CIQHiddenCacheSheet"/>
      <sheetName val="Cover"/>
      <sheetName val="Val Summ"/>
      <sheetName val="OPM 1"/>
      <sheetName val="OPM 2"/>
      <sheetName val="PWERM"/>
      <sheetName val="PoTS"/>
      <sheetName val="Discount Rate FP &gt;&gt;"/>
      <sheetName val="WACC PWERM"/>
      <sheetName val="RoR Stage of Dev"/>
      <sheetName val="Cap Structure FP &gt;&gt;"/>
      <sheetName val="Cap Table"/>
      <sheetName val="Econ Rights"/>
      <sheetName val="MKT INFO FP &gt;&gt;"/>
      <sheetName val="Comp Mults"/>
      <sheetName val="Comp CF Metrics"/>
      <sheetName val="Prod Pipeline"/>
      <sheetName val="Comp Desc"/>
      <sheetName val="IPO"/>
      <sheetName val="IPO Select"/>
      <sheetName val="IPO Crossover"/>
      <sheetName val="Immunotherapy Listing"/>
      <sheetName val="Trans Detail"/>
      <sheetName val="Trans Desc"/>
      <sheetName val="Support FP &gt;&gt;"/>
      <sheetName val="Put Option DLOM"/>
      <sheetName val="Asset Vol"/>
      <sheetName val="Equity Vol"/>
      <sheetName val="Risk-Free Rates"/>
      <sheetName val="DLOM Rest Stock"/>
      <sheetName val="DLOM LEAPS"/>
      <sheetName val="Hist IS"/>
      <sheetName val="Hist BS"/>
      <sheetName val="Tranche FP &gt;&gt;"/>
      <sheetName val="Tranche OPM"/>
      <sheetName val="Risk-Free Rates (2)"/>
      <sheetName val="&lt;DO NOT INCLUDE&gt;"/>
      <sheetName val="Ibank Vals"/>
      <sheetName val="MASTER COMP INPUT"/>
      <sheetName val="WACC CAPM"/>
      <sheetName val="Beta Calc"/>
      <sheetName val="EP Top License Deals"/>
      <sheetName val="EP Top Product Sales"/>
      <sheetName val="Larger BioPharma Margins"/>
      <sheetName val="rNPV&gt;&gt;&gt;"/>
      <sheetName val="Val Sum rNPV"/>
      <sheetName val="1"/>
      <sheetName val="2"/>
      <sheetName val="3"/>
      <sheetName val="4"/>
      <sheetName val="5"/>
      <sheetName val="6"/>
      <sheetName val="NOL"/>
      <sheetName val="Dev - PoTS"/>
      <sheetName val="Dev - Peak Sales"/>
      <sheetName val="Dev - R&amp;D"/>
      <sheetName val="Dev - Fcst Summ"/>
      <sheetName val="Inputs Tax &amp; Disc"/>
      <sheetName val="Outlin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CIQHiddenCacheSheet"/>
      <sheetName val="Cover"/>
      <sheetName val="Val Summ"/>
      <sheetName val="OPM 1"/>
      <sheetName val="OPM 2"/>
      <sheetName val="PWERM"/>
      <sheetName val="PoTS"/>
      <sheetName val="Discount Rate FP &gt;&gt;"/>
      <sheetName val="WACC PWERM"/>
      <sheetName val="RoR Stage of Dev"/>
      <sheetName val="Cap Structure FP &gt;&gt;"/>
      <sheetName val="Cap Table"/>
      <sheetName val="Econ Rights"/>
      <sheetName val="MKT INFO FP &gt;&gt;"/>
      <sheetName val="Comp Mults"/>
      <sheetName val="Comp CF Metrics"/>
      <sheetName val="Prod Pipeline"/>
      <sheetName val="Comp Desc"/>
      <sheetName val="IPO"/>
      <sheetName val="IPO Select"/>
      <sheetName val="IPO Crossover"/>
      <sheetName val="Immunotherapy Listing"/>
      <sheetName val="Trans Detail"/>
      <sheetName val="Trans Desc"/>
      <sheetName val="Support FP &gt;&gt;"/>
      <sheetName val="Put Option DLOM"/>
      <sheetName val="Asset Vol"/>
      <sheetName val="Equity Vol"/>
      <sheetName val="Risk-Free Rates"/>
      <sheetName val="DLOM Rest Stock"/>
      <sheetName val="DLOM LEAPS"/>
      <sheetName val="Hist IS"/>
      <sheetName val="Hist BS"/>
      <sheetName val="Tranche FP &gt;&gt;"/>
      <sheetName val="Tranche OPM"/>
      <sheetName val="Risk-Free Rates (2)"/>
      <sheetName val="&lt;DO NOT INCLUDE&gt;"/>
      <sheetName val="Ibank Vals"/>
      <sheetName val="MASTER COMP INPUT"/>
      <sheetName val="WACC CAPM"/>
      <sheetName val="Beta Calc"/>
      <sheetName val="EP Top License Deals"/>
      <sheetName val="EP Top Product Sales"/>
      <sheetName val="Larger BioPharma Margins"/>
      <sheetName val="rNPV&gt;&gt;&gt;"/>
      <sheetName val="Val Sum rNPV"/>
      <sheetName val="1"/>
      <sheetName val="2"/>
      <sheetName val="3"/>
      <sheetName val="4"/>
      <sheetName val="5"/>
      <sheetName val="6"/>
      <sheetName val="NOL"/>
      <sheetName val="Dev - PoTS"/>
      <sheetName val="Dev - Peak Sales"/>
      <sheetName val="Dev - R&amp;D"/>
      <sheetName val="Dev - Fcst Summ"/>
      <sheetName val="Inputs Tax &amp; Dis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Inputs"/>
      <sheetName val="RAW_DATA"/>
      <sheetName val="List Data"/>
      <sheetName val="_CIQHiddenCacheSheet"/>
      <sheetName val="Pub Rev C-1"/>
      <sheetName val="Pub EBITDA C-2"/>
      <sheetName val="Pub C-3"/>
      <sheetName val="Pub C-4"/>
      <sheetName val="Pub C-5"/>
      <sheetName val="Pub IPO C-6"/>
      <sheetName val="Pub IPO C-7"/>
      <sheetName val="M&amp;A D-1"/>
      <sheetName val="M&amp;A D-2"/>
      <sheetName val="WACC E-2"/>
      <sheetName val="WACC E-3"/>
      <sheetName val="WACC E-4"/>
      <sheetName val="OPM Equity Vols I-4"/>
      <sheetName val="OPM Asset Vol I-5"/>
      <sheetName val="OPM Asset Vol I-5 (b)"/>
      <sheetName val="OPM DLOMs I-6"/>
      <sheetName val="RSS DLOM"/>
      <sheetName val="Rf"/>
      <sheetName val="Rm"/>
      <sheetName val="Rs-Ibbot"/>
      <sheetName val="Rs-D&amp;P"/>
      <sheetName val="Cost of Debt"/>
      <sheetName val="Beta"/>
    </sheetNames>
    <sheetDataSet>
      <sheetData sheetId="0" refreshError="1"/>
      <sheetData sheetId="1" refreshError="1"/>
      <sheetData sheetId="2" refreshError="1">
        <row r="5">
          <cell r="B5" t="str">
            <v>Not Assigned</v>
          </cell>
          <cell r="C5" t="str">
            <v>Not Assigned</v>
          </cell>
          <cell r="D5" t="str">
            <v>Not Assigned</v>
          </cell>
        </row>
        <row r="6">
          <cell r="B6" t="str">
            <v>Channing Hamlet</v>
          </cell>
          <cell r="C6" t="str">
            <v>Daniel Shia</v>
          </cell>
          <cell r="D6" t="str">
            <v>Pratik</v>
          </cell>
        </row>
        <row r="7">
          <cell r="B7" t="str">
            <v>Wade Hansen</v>
          </cell>
          <cell r="C7" t="str">
            <v>Isabel</v>
          </cell>
          <cell r="D7" t="str">
            <v>Upasak</v>
          </cell>
        </row>
        <row r="8">
          <cell r="B8" t="str">
            <v>Russ Zanetti</v>
          </cell>
          <cell r="D8" t="str">
            <v>Nishma</v>
          </cell>
        </row>
        <row r="9">
          <cell r="B9" t="str">
            <v>Mitzi Lazich</v>
          </cell>
          <cell r="D9" t="str">
            <v>Rakshit</v>
          </cell>
        </row>
        <row r="10">
          <cell r="B10" t="str">
            <v>Jamie Burres</v>
          </cell>
          <cell r="D10" t="str">
            <v>Anshuman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Live"/>
      <sheetName val="TM1data"/>
      <sheetName val="TM1used"/>
      <sheetName val="QuestionsNotes"/>
      <sheetName val="MacroLinks"/>
      <sheetName val="Title"/>
      <sheetName val="MainOutline"/>
      <sheetName val="A1"/>
      <sheetName val="A2"/>
      <sheetName val="A3"/>
      <sheetName val="A4"/>
      <sheetName val="A5"/>
      <sheetName val="A6"/>
      <sheetName val="B1"/>
      <sheetName val="B2"/>
      <sheetName val="C1"/>
      <sheetName val="C2"/>
      <sheetName val="C3"/>
      <sheetName val="C4"/>
      <sheetName val="C6"/>
      <sheetName val="C5"/>
      <sheetName val="C7"/>
      <sheetName val="C8"/>
      <sheetName val="C9"/>
      <sheetName val="C10"/>
      <sheetName val="C11"/>
      <sheetName val="C12"/>
      <sheetName val="D1"/>
      <sheetName val="D2"/>
      <sheetName val="D3"/>
      <sheetName val="D4"/>
      <sheetName val="D5"/>
      <sheetName val="D6"/>
      <sheetName val="D7"/>
      <sheetName val="D8"/>
      <sheetName val="ApndxA1"/>
      <sheetName val="ApndxA2"/>
      <sheetName val="ApndxA3"/>
      <sheetName val="ApndxB1"/>
      <sheetName val="ApndxB2"/>
      <sheetName val="ApndxB3"/>
      <sheetName val="ApndxB4"/>
      <sheetName val="ApndxB5"/>
      <sheetName val="ApndxB6"/>
      <sheetName val="Title_Mngmnt"/>
      <sheetName val="OutlineM"/>
      <sheetName val="M1"/>
      <sheetName val="M2"/>
      <sheetName val="M3"/>
      <sheetName val="M4"/>
      <sheetName val="M5"/>
      <sheetName val="Title_Prtnr"/>
      <sheetName val="OutlineP"/>
      <sheetName val="P1"/>
      <sheetName val="P2"/>
      <sheetName val="P3"/>
      <sheetName val="P4"/>
      <sheetName val="WorkPapers&gt;&gt;&gt;"/>
      <sheetName val="2018 Patient Count"/>
      <sheetName val="Historical Actuals"/>
      <sheetName val="MiscCalc"/>
      <sheetName val="FA INV LIST_Santa Cruz"/>
    </sheetNames>
    <sheetDataSet>
      <sheetData sheetId="0"/>
      <sheetData sheetId="1"/>
      <sheetData sheetId="2"/>
      <sheetData sheetId="3"/>
      <sheetData sheetId="4"/>
      <sheetData sheetId="5"/>
      <sheetData sheetId="6"/>
      <sheetData sheetId="7">
        <row r="3">
          <cell r="Q3">
            <v>1</v>
          </cell>
        </row>
        <row r="23">
          <cell r="O23">
            <v>0.1</v>
          </cell>
        </row>
        <row r="28">
          <cell r="M28" t="str">
            <v>Equipment</v>
          </cell>
          <cell r="P28" t="str">
            <v>Tenant Impr.</v>
          </cell>
        </row>
        <row r="29">
          <cell r="O29">
            <v>10000</v>
          </cell>
        </row>
        <row r="30">
          <cell r="O30">
            <v>5000</v>
          </cell>
        </row>
        <row r="31">
          <cell r="O31">
            <v>5000</v>
          </cell>
        </row>
        <row r="32">
          <cell r="O32">
            <v>5000</v>
          </cell>
        </row>
        <row r="33">
          <cell r="O33">
            <v>5000</v>
          </cell>
        </row>
        <row r="50">
          <cell r="O50">
            <v>0.03</v>
          </cell>
        </row>
      </sheetData>
      <sheetData sheetId="8"/>
      <sheetData sheetId="9"/>
      <sheetData sheetId="10"/>
      <sheetData sheetId="11"/>
      <sheetData sheetId="12"/>
      <sheetData sheetId="13"/>
      <sheetData sheetId="14"/>
      <sheetData sheetId="15">
        <row r="10">
          <cell r="AH10">
            <v>0</v>
          </cell>
          <cell r="AI10">
            <v>0</v>
          </cell>
          <cell r="AJ10">
            <v>0</v>
          </cell>
          <cell r="AK10">
            <v>0</v>
          </cell>
          <cell r="AL10">
            <v>0</v>
          </cell>
        </row>
        <row r="11">
          <cell r="AH11">
            <v>0</v>
          </cell>
          <cell r="AI11">
            <v>0</v>
          </cell>
          <cell r="AJ11">
            <v>0</v>
          </cell>
          <cell r="AK11">
            <v>0</v>
          </cell>
          <cell r="AL11">
            <v>0</v>
          </cell>
        </row>
      </sheetData>
      <sheetData sheetId="16"/>
      <sheetData sheetId="17">
        <row r="10">
          <cell r="AH10">
            <v>54.080000000000034</v>
          </cell>
          <cell r="AI10">
            <v>55.702400000000033</v>
          </cell>
          <cell r="AJ10">
            <v>57.373472000000035</v>
          </cell>
          <cell r="AK10">
            <v>59.094676160000034</v>
          </cell>
          <cell r="AL10">
            <v>60.867516444800039</v>
          </cell>
        </row>
        <row r="11">
          <cell r="AH11">
            <v>6.2400000000000029</v>
          </cell>
          <cell r="AI11">
            <v>6.4272000000000027</v>
          </cell>
          <cell r="AJ11">
            <v>6.6200160000000032</v>
          </cell>
          <cell r="AK11">
            <v>6.8186164800000038</v>
          </cell>
          <cell r="AL11">
            <v>7.0231749744000043</v>
          </cell>
        </row>
      </sheetData>
      <sheetData sheetId="18"/>
      <sheetData sheetId="19"/>
      <sheetData sheetId="20"/>
      <sheetData sheetId="21"/>
      <sheetData sheetId="22">
        <row r="62">
          <cell r="G62">
            <v>199.33346315171016</v>
          </cell>
        </row>
        <row r="69">
          <cell r="G69">
            <v>128.69125079185721</v>
          </cell>
        </row>
      </sheetData>
      <sheetData sheetId="23"/>
      <sheetData sheetId="24"/>
      <sheetData sheetId="25"/>
      <sheetData sheetId="26"/>
      <sheetData sheetId="27"/>
      <sheetData sheetId="28"/>
      <sheetData sheetId="29"/>
      <sheetData sheetId="30"/>
      <sheetData sheetId="31">
        <row r="16">
          <cell r="I16">
            <v>-338.85566785677202</v>
          </cell>
          <cell r="J16">
            <v>-5.7318698503811305</v>
          </cell>
          <cell r="K16">
            <v>-10.611466720875299</v>
          </cell>
          <cell r="L16">
            <v>-9.7876507809440056</v>
          </cell>
          <cell r="M16">
            <v>-9.8334109566469579</v>
          </cell>
          <cell r="N16">
            <v>-10.621538394374539</v>
          </cell>
        </row>
      </sheetData>
      <sheetData sheetId="32"/>
      <sheetData sheetId="33"/>
      <sheetData sheetId="34"/>
      <sheetData sheetId="35">
        <row r="9">
          <cell r="J9">
            <v>59.160381718422364</v>
          </cell>
          <cell r="K9">
            <v>61.224800000000037</v>
          </cell>
          <cell r="L9">
            <v>63.061544000000033</v>
          </cell>
          <cell r="M9">
            <v>64.95339032000004</v>
          </cell>
          <cell r="N9">
            <v>66.901992029600038</v>
          </cell>
        </row>
        <row r="10">
          <cell r="J10">
            <v>9163.2354854031037</v>
          </cell>
          <cell r="K10">
            <v>9482.9891838241674</v>
          </cell>
          <cell r="L10">
            <v>9767.4788593388912</v>
          </cell>
          <cell r="M10">
            <v>10060.503225119059</v>
          </cell>
          <cell r="N10">
            <v>10362.31832187263</v>
          </cell>
        </row>
        <row r="13">
          <cell r="J13">
            <v>0</v>
          </cell>
          <cell r="K13">
            <v>0</v>
          </cell>
          <cell r="L13">
            <v>0</v>
          </cell>
          <cell r="M13">
            <v>0</v>
          </cell>
          <cell r="N13">
            <v>0</v>
          </cell>
        </row>
        <row r="14">
          <cell r="J14">
            <v>3569.5028347216726</v>
          </cell>
          <cell r="K14">
            <v>3731.0022639371573</v>
          </cell>
          <cell r="L14">
            <v>3881.3616551738246</v>
          </cell>
          <cell r="M14">
            <v>4037.7805298773301</v>
          </cell>
          <cell r="N14">
            <v>4200.5030852313857</v>
          </cell>
        </row>
        <row r="15">
          <cell r="J15">
            <v>0</v>
          </cell>
          <cell r="K15">
            <v>0</v>
          </cell>
          <cell r="L15">
            <v>0</v>
          </cell>
          <cell r="M15">
            <v>0</v>
          </cell>
          <cell r="N15">
            <v>0</v>
          </cell>
        </row>
        <row r="18">
          <cell r="J18">
            <v>-35.695028347216727</v>
          </cell>
          <cell r="K18">
            <v>-37.310022639371574</v>
          </cell>
          <cell r="L18">
            <v>-38.813616551738249</v>
          </cell>
          <cell r="M18">
            <v>-40.377805298773303</v>
          </cell>
          <cell r="N18">
            <v>-42.005030852313858</v>
          </cell>
        </row>
        <row r="22">
          <cell r="J22">
            <v>970.15440716815681</v>
          </cell>
          <cell r="K22">
            <v>1026.411283161299</v>
          </cell>
          <cell r="L22">
            <v>1082.0861141867119</v>
          </cell>
          <cell r="M22">
            <v>1140.9465339379994</v>
          </cell>
          <cell r="N22">
            <v>1203.1803945140596</v>
          </cell>
        </row>
        <row r="23">
          <cell r="J23">
            <v>357.25753213856962</v>
          </cell>
          <cell r="K23">
            <v>384.5131003395972</v>
          </cell>
          <cell r="L23">
            <v>411.89043308377649</v>
          </cell>
          <cell r="M23">
            <v>441.21703191934148</v>
          </cell>
          <cell r="N23">
            <v>472.63168459199858</v>
          </cell>
        </row>
        <row r="24">
          <cell r="J24">
            <v>1086.2601282728219</v>
          </cell>
          <cell r="K24">
            <v>1169.1321025401503</v>
          </cell>
          <cell r="L24">
            <v>1252.374308241009</v>
          </cell>
          <cell r="M24">
            <v>1341.5433589877691</v>
          </cell>
          <cell r="N24">
            <v>1437.0612461476985</v>
          </cell>
        </row>
        <row r="25">
          <cell r="J25">
            <v>45.62052269890264</v>
          </cell>
          <cell r="K25">
            <v>49.100962314390387</v>
          </cell>
          <cell r="L25">
            <v>52.596950831174965</v>
          </cell>
          <cell r="M25">
            <v>56.341853730354643</v>
          </cell>
          <cell r="N25">
            <v>60.353393715955882</v>
          </cell>
        </row>
        <row r="31">
          <cell r="J31">
            <v>218.66744999999995</v>
          </cell>
          <cell r="K31">
            <v>224.13413624999993</v>
          </cell>
          <cell r="L31">
            <v>229.73748965624992</v>
          </cell>
          <cell r="M31">
            <v>235.48092689765616</v>
          </cell>
          <cell r="N31">
            <v>241.36795007009749</v>
          </cell>
        </row>
        <row r="32">
          <cell r="J32">
            <v>353.38078063744564</v>
          </cell>
          <cell r="K32">
            <v>369.36922412977856</v>
          </cell>
          <cell r="L32">
            <v>384.25480386220869</v>
          </cell>
          <cell r="M32">
            <v>399.74027245785572</v>
          </cell>
          <cell r="N32">
            <v>415.84980543790721</v>
          </cell>
        </row>
        <row r="33">
          <cell r="J33">
            <v>53.333369999999974</v>
          </cell>
          <cell r="K33">
            <v>54.329675891845788</v>
          </cell>
          <cell r="L33">
            <v>55.959566168601164</v>
          </cell>
          <cell r="M33">
            <v>57.638353153659203</v>
          </cell>
          <cell r="N33">
            <v>59.36750374826898</v>
          </cell>
        </row>
        <row r="34">
          <cell r="J34">
            <v>35.338078063744561</v>
          </cell>
          <cell r="K34">
            <v>36.936922412977857</v>
          </cell>
          <cell r="L34">
            <v>38.425480386220869</v>
          </cell>
          <cell r="M34">
            <v>39.974027245785571</v>
          </cell>
          <cell r="N34">
            <v>41.584980543790714</v>
          </cell>
        </row>
        <row r="35">
          <cell r="J35">
            <v>12.71645142857143</v>
          </cell>
          <cell r="K35">
            <v>13.716451428571428</v>
          </cell>
          <cell r="L35">
            <v>4.4882914285714284</v>
          </cell>
          <cell r="M35">
            <v>4.4882914285714284</v>
          </cell>
          <cell r="N35">
            <v>4.4882914285714284</v>
          </cell>
        </row>
        <row r="40">
          <cell r="J40">
            <v>0</v>
          </cell>
          <cell r="K40">
            <v>0</v>
          </cell>
          <cell r="L40">
            <v>0</v>
          </cell>
          <cell r="M40">
            <v>0</v>
          </cell>
          <cell r="N40">
            <v>0</v>
          </cell>
        </row>
      </sheetData>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8.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vmlDrawing" Target="../drawings/vmlDrawing10.vml"/><Relationship Id="rId1" Type="http://schemas.openxmlformats.org/officeDocument/2006/relationships/printerSettings" Target="../printerSettings/printerSettings16.bin"/><Relationship Id="rId4" Type="http://schemas.openxmlformats.org/officeDocument/2006/relationships/comments" Target="../comments4.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15.v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B6:F25"/>
  <sheetViews>
    <sheetView showGridLines="0" view="pageBreakPreview" zoomScale="60" zoomScaleNormal="100" workbookViewId="0">
      <selection activeCell="D19" sqref="D19"/>
    </sheetView>
  </sheetViews>
  <sheetFormatPr defaultColWidth="9.28515625" defaultRowHeight="15"/>
  <cols>
    <col min="1" max="1" width="3" style="10" customWidth="1"/>
    <col min="2" max="2" width="3.28515625" style="10" customWidth="1"/>
    <col min="3" max="3" width="9.28515625" style="10"/>
    <col min="4" max="4" width="91.7109375" style="12" customWidth="1"/>
    <col min="5" max="5" width="8.7109375" style="10" customWidth="1"/>
    <col min="6" max="6" width="3.28515625" style="10" customWidth="1"/>
    <col min="7" max="7" width="2.42578125" style="10" customWidth="1"/>
    <col min="8" max="16384" width="9.28515625" style="10"/>
  </cols>
  <sheetData>
    <row r="6" spans="2:6" ht="15.75" thickBot="1">
      <c r="B6" s="7"/>
      <c r="C6" s="8"/>
      <c r="D6" s="9"/>
      <c r="E6" s="8"/>
      <c r="F6" s="8"/>
    </row>
    <row r="7" spans="2:6" ht="15.75" thickTop="1">
      <c r="B7" s="66"/>
      <c r="C7" s="67"/>
      <c r="D7" s="68"/>
      <c r="E7" s="67"/>
      <c r="F7" s="67"/>
    </row>
    <row r="8" spans="2:6" s="11" customFormat="1" ht="49.5">
      <c r="B8" s="69"/>
      <c r="C8" s="70"/>
      <c r="D8" s="71" t="s">
        <v>12</v>
      </c>
      <c r="E8" s="70"/>
      <c r="F8" s="70"/>
    </row>
    <row r="9" spans="2:6">
      <c r="B9" s="66"/>
      <c r="C9" s="67"/>
      <c r="D9" s="67"/>
      <c r="E9" s="67"/>
      <c r="F9" s="67"/>
    </row>
    <row r="10" spans="2:6">
      <c r="B10" s="66"/>
      <c r="C10" s="67"/>
      <c r="D10" s="67"/>
      <c r="E10" s="67"/>
      <c r="F10" s="67"/>
    </row>
    <row r="11" spans="2:6" ht="35.25">
      <c r="B11" s="66"/>
      <c r="C11" s="67"/>
      <c r="D11" s="391" t="str">
        <f>"Valuation of "&amp;Outline!M2&amp;""</f>
        <v>Valuation of WB Santa Cruz</v>
      </c>
      <c r="E11" s="67"/>
      <c r="F11" s="67"/>
    </row>
    <row r="12" spans="2:6" s="395" customFormat="1">
      <c r="B12" s="392"/>
      <c r="C12" s="393"/>
      <c r="D12" s="394"/>
      <c r="E12" s="393"/>
      <c r="F12" s="393"/>
    </row>
    <row r="13" spans="2:6" ht="20.25">
      <c r="B13" s="66"/>
      <c r="C13" s="67"/>
      <c r="D13" s="396" t="s">
        <v>589</v>
      </c>
      <c r="E13" s="67"/>
      <c r="F13" s="67"/>
    </row>
    <row r="14" spans="2:6" ht="20.25">
      <c r="B14" s="66"/>
      <c r="C14" s="67"/>
      <c r="D14" s="396" t="s">
        <v>590</v>
      </c>
      <c r="E14" s="67"/>
      <c r="F14" s="67"/>
    </row>
    <row r="15" spans="2:6" ht="15.75" thickBot="1">
      <c r="B15" s="72"/>
      <c r="C15" s="73"/>
      <c r="D15" s="74"/>
      <c r="E15" s="73"/>
      <c r="F15" s="73"/>
    </row>
    <row r="16" spans="2:6" ht="15.75" thickTop="1"/>
    <row r="19" spans="4:4" ht="26.25">
      <c r="D19" s="13" t="s">
        <v>13</v>
      </c>
    </row>
    <row r="20" spans="4:4" ht="26.25">
      <c r="D20" s="14">
        <f ca="1">NOW()</f>
        <v>43595.715563773148</v>
      </c>
    </row>
    <row r="25" spans="4:4" ht="47.65" customHeight="1"/>
  </sheetData>
  <printOptions horizontalCentered="1" verticalCentered="1"/>
  <pageMargins left="0.7" right="0.7" top="0.75" bottom="0.75" header="0.3" footer="0.3"/>
  <pageSetup fitToWidth="0" fitToHeight="0" orientation="landscape" r:id="rId1"/>
  <ignoredErrors>
    <ignoredError sqref="D20" unlocked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B1:R45"/>
  <sheetViews>
    <sheetView showGridLines="0" view="pageBreakPreview" topLeftCell="A7" zoomScale="85" zoomScaleNormal="100" zoomScaleSheetLayoutView="85" workbookViewId="0">
      <selection activeCell="D19" sqref="D19"/>
    </sheetView>
  </sheetViews>
  <sheetFormatPr defaultColWidth="9.28515625" defaultRowHeight="15" outlineLevelRow="1"/>
  <cols>
    <col min="1" max="1" width="2.28515625" style="35" customWidth="1"/>
    <col min="2" max="2" width="4.140625" style="35" customWidth="1"/>
    <col min="3" max="3" width="16" style="35" customWidth="1"/>
    <col min="4" max="4" width="4.140625" style="35" customWidth="1"/>
    <col min="5" max="5" width="18.85546875" style="35" customWidth="1"/>
    <col min="6" max="6" width="14.42578125" style="35" customWidth="1"/>
    <col min="7" max="7" width="31.7109375" style="35" customWidth="1"/>
    <col min="8" max="8" width="4.42578125" style="35" customWidth="1"/>
    <col min="9" max="9" width="12.28515625" style="35" customWidth="1"/>
    <col min="10" max="10" width="11.5703125" style="35" customWidth="1"/>
    <col min="11" max="11" width="2.28515625" style="35" customWidth="1"/>
    <col min="12" max="12" width="9.28515625" style="35"/>
    <col min="13" max="13" width="17.28515625" style="35" customWidth="1"/>
    <col min="14" max="16384" width="9.28515625" style="35"/>
  </cols>
  <sheetData>
    <row r="1" spans="2:18" ht="11.25" customHeight="1" thickBot="1">
      <c r="B1" s="33"/>
      <c r="C1" s="8"/>
      <c r="D1" s="33"/>
      <c r="E1" s="33"/>
      <c r="F1" s="33"/>
      <c r="G1" s="33"/>
      <c r="H1" s="33"/>
      <c r="I1" s="33"/>
      <c r="J1" s="33"/>
      <c r="L1" s="34"/>
      <c r="M1" s="33"/>
      <c r="N1" s="34"/>
    </row>
    <row r="2" spans="2:18" ht="18.75" thickTop="1">
      <c r="B2" s="61" t="str">
        <f>"Satellite Healthcare " &amp; M2 &amp; " Valuation"</f>
        <v>Satellite Healthcare WB Santa Cruz Valuation</v>
      </c>
      <c r="C2" s="62"/>
      <c r="D2" s="62"/>
      <c r="E2" s="62"/>
      <c r="F2" s="62"/>
      <c r="G2" s="62"/>
      <c r="H2" s="63">
        <v>1</v>
      </c>
      <c r="I2" s="62"/>
      <c r="J2" s="62"/>
      <c r="L2" s="34"/>
      <c r="M2" s="62" t="s">
        <v>588</v>
      </c>
      <c r="N2" s="34"/>
    </row>
    <row r="3" spans="2:18" ht="4.9000000000000004" customHeight="1">
      <c r="B3" s="61"/>
      <c r="C3" s="62"/>
      <c r="D3" s="62"/>
      <c r="E3" s="62"/>
      <c r="F3" s="62"/>
      <c r="G3" s="62"/>
      <c r="H3" s="62"/>
      <c r="I3" s="62"/>
      <c r="J3" s="62"/>
      <c r="L3" s="34"/>
      <c r="M3" s="62"/>
      <c r="N3" s="34"/>
    </row>
    <row r="4" spans="2:18" ht="18.75" thickBot="1">
      <c r="B4" s="64" t="s">
        <v>14</v>
      </c>
      <c r="C4" s="65"/>
      <c r="D4" s="65"/>
      <c r="E4" s="65"/>
      <c r="F4" s="65"/>
      <c r="G4" s="65"/>
      <c r="H4" s="65"/>
      <c r="I4" s="65"/>
      <c r="J4" s="65"/>
      <c r="L4" s="34"/>
      <c r="M4" s="65"/>
      <c r="N4" s="34"/>
    </row>
    <row r="5" spans="2:18" ht="9" customHeight="1" thickTop="1">
      <c r="B5" s="15"/>
      <c r="L5" s="34"/>
      <c r="N5" s="34"/>
    </row>
    <row r="6" spans="2:18" s="34" customFormat="1" ht="17.25">
      <c r="K6" s="35"/>
      <c r="M6" s="34" t="s">
        <v>15</v>
      </c>
    </row>
    <row r="7" spans="2:18">
      <c r="B7" s="16" t="str">
        <f>"Section " &amp; P7</f>
        <v>Section A</v>
      </c>
      <c r="C7" s="16"/>
      <c r="D7" s="17" t="s">
        <v>441</v>
      </c>
      <c r="E7" s="16"/>
      <c r="F7" s="16"/>
      <c r="P7" s="36" t="s">
        <v>16</v>
      </c>
      <c r="Q7" s="36"/>
      <c r="R7" s="36"/>
    </row>
    <row r="8" spans="2:18">
      <c r="C8" s="35" t="str">
        <f>"Exhibit " &amp;P8&amp;Q8</f>
        <v>Exhibit A1</v>
      </c>
      <c r="E8" s="38" t="str">
        <f>'A1'!$B$4</f>
        <v>Valuation Summary</v>
      </c>
      <c r="I8" s="36"/>
      <c r="M8" s="36">
        <v>1</v>
      </c>
      <c r="P8" s="36" t="str">
        <f>P7</f>
        <v>A</v>
      </c>
      <c r="Q8" s="36">
        <v>1</v>
      </c>
      <c r="R8" s="36"/>
    </row>
    <row r="9" spans="2:18">
      <c r="D9" s="38"/>
      <c r="I9" s="36"/>
      <c r="M9" s="36"/>
    </row>
    <row r="10" spans="2:18" hidden="1" outlineLevel="1">
      <c r="B10" s="16" t="str">
        <f>"Section " &amp; P10</f>
        <v>Section B</v>
      </c>
      <c r="C10" s="16"/>
      <c r="D10" s="17" t="s">
        <v>230</v>
      </c>
      <c r="E10" s="16"/>
      <c r="F10" s="16"/>
      <c r="P10" s="36" t="s">
        <v>17</v>
      </c>
      <c r="Q10" s="36"/>
      <c r="R10" s="36"/>
    </row>
    <row r="11" spans="2:18" hidden="1" outlineLevel="1">
      <c r="B11" s="37">
        <f>I11</f>
        <v>0</v>
      </c>
      <c r="C11" s="35" t="str">
        <f>"Exhibit " &amp;P11&amp;Q11</f>
        <v>Exhibit B1</v>
      </c>
      <c r="E11" s="38"/>
      <c r="I11" s="36"/>
      <c r="M11" s="36">
        <v>1</v>
      </c>
      <c r="P11" s="36" t="str">
        <f>P10</f>
        <v>B</v>
      </c>
      <c r="Q11" s="36">
        <v>1</v>
      </c>
      <c r="R11" s="36"/>
    </row>
    <row r="12" spans="2:18" hidden="1" outlineLevel="1">
      <c r="B12" s="37">
        <f>I12</f>
        <v>0</v>
      </c>
      <c r="C12" s="35" t="str">
        <f>"Exhibit " &amp;P12&amp;Q12</f>
        <v>Exhibit B2</v>
      </c>
      <c r="E12" s="38"/>
      <c r="I12" s="36"/>
      <c r="M12" s="36">
        <v>1</v>
      </c>
      <c r="P12" s="36" t="str">
        <f>P11</f>
        <v>B</v>
      </c>
      <c r="Q12" s="36">
        <f>Q11+1</f>
        <v>2</v>
      </c>
      <c r="R12" s="36"/>
    </row>
    <row r="13" spans="2:18" hidden="1" outlineLevel="1">
      <c r="B13" s="37">
        <f>I13</f>
        <v>0</v>
      </c>
      <c r="C13" s="35" t="str">
        <f>"Exhibit " &amp;P13&amp;Q13</f>
        <v>Exhibit B3</v>
      </c>
      <c r="E13" s="38"/>
      <c r="I13" s="36"/>
      <c r="M13" s="36">
        <v>1</v>
      </c>
      <c r="P13" s="36" t="str">
        <f>P12</f>
        <v>B</v>
      </c>
      <c r="Q13" s="36">
        <f>Q12+1</f>
        <v>3</v>
      </c>
      <c r="R13" s="36"/>
    </row>
    <row r="14" spans="2:18" hidden="1" outlineLevel="1">
      <c r="B14" s="37">
        <f>I14</f>
        <v>0</v>
      </c>
      <c r="C14" s="35" t="str">
        <f>"Exhibit " &amp;P14&amp;Q14</f>
        <v>Exhibit B4</v>
      </c>
      <c r="I14" s="36"/>
      <c r="M14" s="36">
        <v>1</v>
      </c>
      <c r="P14" s="36" t="str">
        <f>P13</f>
        <v>B</v>
      </c>
      <c r="Q14" s="36">
        <f>Q13+1</f>
        <v>4</v>
      </c>
      <c r="R14" s="36"/>
    </row>
    <row r="15" spans="2:18" hidden="1" outlineLevel="1">
      <c r="D15" s="38"/>
      <c r="I15" s="36"/>
      <c r="M15" s="36"/>
    </row>
    <row r="16" spans="2:18" collapsed="1">
      <c r="B16" s="16" t="str">
        <f>"Section " &amp; P16</f>
        <v>Section B</v>
      </c>
      <c r="C16" s="16"/>
      <c r="D16" s="17" t="s">
        <v>432</v>
      </c>
      <c r="E16" s="16"/>
      <c r="F16" s="16"/>
      <c r="I16" s="36"/>
      <c r="M16" s="36"/>
      <c r="P16" s="36" t="s">
        <v>17</v>
      </c>
      <c r="Q16" s="36"/>
      <c r="R16" s="36"/>
    </row>
    <row r="17" spans="2:18">
      <c r="B17" s="37">
        <f>I17</f>
        <v>0</v>
      </c>
      <c r="C17" s="35" t="str">
        <f>"Exhibit " &amp;P17&amp;Q17</f>
        <v>Exhibit B1</v>
      </c>
      <c r="E17" s="38" t="str">
        <f>'C1'!$B$4</f>
        <v>Summary Income Statement</v>
      </c>
      <c r="I17" s="36"/>
      <c r="M17" s="36">
        <v>1</v>
      </c>
      <c r="P17" s="36" t="str">
        <f>P16</f>
        <v>B</v>
      </c>
      <c r="Q17" s="36">
        <v>1</v>
      </c>
      <c r="R17" s="36"/>
    </row>
    <row r="18" spans="2:18">
      <c r="B18" s="37"/>
      <c r="C18" s="35" t="str">
        <f>"Exhibit " &amp;P18&amp;Q18</f>
        <v>Exhibit B2</v>
      </c>
      <c r="E18" s="38" t="str">
        <f>'C2'!$B$4</f>
        <v>DCF Valuation</v>
      </c>
      <c r="I18" s="36"/>
      <c r="M18" s="36">
        <v>1</v>
      </c>
      <c r="P18" s="36" t="str">
        <f>P17</f>
        <v>B</v>
      </c>
      <c r="Q18" s="36">
        <f>Q17+1</f>
        <v>2</v>
      </c>
      <c r="R18" s="36"/>
    </row>
    <row r="19" spans="2:18">
      <c r="B19" s="37"/>
      <c r="C19" s="35" t="str">
        <f>"Exhibit " &amp;P19&amp;Q19</f>
        <v>Exhibit B3</v>
      </c>
      <c r="E19" s="38" t="str">
        <f>'C3'!$B$4</f>
        <v>Historical Financials</v>
      </c>
      <c r="I19" s="36"/>
      <c r="M19" s="36">
        <v>1</v>
      </c>
      <c r="P19" s="36" t="str">
        <f>P18</f>
        <v>B</v>
      </c>
      <c r="Q19" s="36">
        <f>Q18+1</f>
        <v>3</v>
      </c>
      <c r="R19" s="36"/>
    </row>
    <row r="20" spans="2:18">
      <c r="B20" s="37"/>
      <c r="E20" s="38"/>
      <c r="I20" s="36"/>
      <c r="M20" s="36"/>
      <c r="P20" s="36"/>
      <c r="Q20" s="36"/>
      <c r="R20" s="36"/>
    </row>
    <row r="21" spans="2:18">
      <c r="B21" s="16" t="str">
        <f>"Section " &amp; P21</f>
        <v>Section C</v>
      </c>
      <c r="C21" s="16"/>
      <c r="D21" s="17" t="s">
        <v>231</v>
      </c>
      <c r="E21" s="16"/>
      <c r="F21" s="16"/>
      <c r="P21" s="36" t="s">
        <v>481</v>
      </c>
      <c r="Q21" s="36"/>
      <c r="R21" s="36"/>
    </row>
    <row r="22" spans="2:18">
      <c r="B22" s="37">
        <f>I22</f>
        <v>0</v>
      </c>
      <c r="C22" s="35" t="str">
        <f>"Exhibit " &amp;P22&amp;Q22</f>
        <v>Exhibit C1</v>
      </c>
      <c r="E22" s="38" t="str">
        <f>'E1'!$B$4</f>
        <v>Valuation of Benchmark Public Companies</v>
      </c>
      <c r="I22" s="36"/>
      <c r="M22" s="36">
        <v>1</v>
      </c>
      <c r="P22" s="36" t="str">
        <f>P21</f>
        <v>C</v>
      </c>
      <c r="Q22" s="36">
        <v>1</v>
      </c>
      <c r="R22" s="36"/>
    </row>
    <row r="23" spans="2:18">
      <c r="B23" s="37">
        <f>I23</f>
        <v>0</v>
      </c>
      <c r="C23" s="35" t="str">
        <f>"Exhibit " &amp;P23&amp;Q23</f>
        <v>Exhibit C2</v>
      </c>
      <c r="E23" s="38" t="str">
        <f>'E2'!B4</f>
        <v>Public Company Benchmark Valuation</v>
      </c>
      <c r="I23" s="36"/>
      <c r="M23" s="36">
        <v>1</v>
      </c>
      <c r="P23" s="36" t="str">
        <f>P22</f>
        <v>C</v>
      </c>
      <c r="Q23" s="36">
        <f>Q22+1</f>
        <v>2</v>
      </c>
      <c r="R23" s="36"/>
    </row>
    <row r="24" spans="2:18">
      <c r="B24" s="37">
        <f>I40</f>
        <v>0</v>
      </c>
      <c r="C24" s="35" t="str">
        <f>"Exhibit " &amp;P24&amp;Q24</f>
        <v>Exhibit C3</v>
      </c>
      <c r="E24" s="38" t="str">
        <f>'E3'!$B$4</f>
        <v>Benchmark Public Company Business Descriptions</v>
      </c>
      <c r="I24" s="36"/>
      <c r="M24" s="36">
        <v>2</v>
      </c>
      <c r="P24" s="36" t="str">
        <f>P23</f>
        <v>C</v>
      </c>
      <c r="Q24" s="36">
        <f>Q23+1</f>
        <v>3</v>
      </c>
    </row>
    <row r="26" spans="2:18">
      <c r="B26" s="16" t="str">
        <f>"Section " &amp; P26</f>
        <v>Section D</v>
      </c>
      <c r="C26" s="16"/>
      <c r="D26" s="17" t="s">
        <v>232</v>
      </c>
      <c r="E26" s="16"/>
      <c r="F26" s="16"/>
      <c r="P26" s="36" t="s">
        <v>667</v>
      </c>
      <c r="Q26" s="36"/>
      <c r="R26" s="36"/>
    </row>
    <row r="27" spans="2:18">
      <c r="B27" s="37">
        <f>I27</f>
        <v>0</v>
      </c>
      <c r="C27" s="35" t="str">
        <f>"Exhibit " &amp;P27&amp;Q27</f>
        <v>Exhibit D1</v>
      </c>
      <c r="E27" s="38" t="str">
        <f>'F1'!$C$4</f>
        <v>Valuation of Benchmark Transactions</v>
      </c>
      <c r="I27" s="36"/>
      <c r="M27" s="36">
        <v>1</v>
      </c>
      <c r="P27" s="36" t="str">
        <f>P26</f>
        <v>D</v>
      </c>
      <c r="Q27" s="36">
        <v>1</v>
      </c>
      <c r="R27" s="36"/>
    </row>
    <row r="28" spans="2:18">
      <c r="B28" s="37">
        <f>I28</f>
        <v>0</v>
      </c>
      <c r="C28" s="35" t="str">
        <f>"Exhibit " &amp;P28&amp;Q28</f>
        <v>Exhibit D2</v>
      </c>
      <c r="E28" s="38" t="str">
        <f>'F2'!$B$4</f>
        <v>Transaction Summary Statistics and Metric Valuation</v>
      </c>
      <c r="I28" s="36"/>
      <c r="M28" s="36">
        <v>1</v>
      </c>
      <c r="P28" s="36" t="str">
        <f>P27</f>
        <v>D</v>
      </c>
      <c r="Q28" s="36">
        <f>Q27+1</f>
        <v>2</v>
      </c>
      <c r="R28" s="36"/>
    </row>
    <row r="29" spans="2:18">
      <c r="B29" s="37">
        <f>I29</f>
        <v>0</v>
      </c>
      <c r="C29" s="35" t="str">
        <f>"Exhibit " &amp;P29&amp;Q29</f>
        <v>Exhibit D3</v>
      </c>
      <c r="E29" s="38" t="str">
        <f>'F3'!$B$4</f>
        <v>Selected Benchmark Transactions Business Descriptions</v>
      </c>
      <c r="I29" s="36"/>
      <c r="P29" s="36" t="str">
        <f>P28</f>
        <v>D</v>
      </c>
      <c r="Q29" s="36">
        <f>Q28+1</f>
        <v>3</v>
      </c>
    </row>
    <row r="39" spans="2:17">
      <c r="B39" s="16" t="s">
        <v>419</v>
      </c>
    </row>
    <row r="40" spans="2:17">
      <c r="C40" s="35" t="str">
        <f>"Workpaper " &amp;P40</f>
        <v>Workpaper 1</v>
      </c>
      <c r="E40" s="38" t="str">
        <f>'WACC CAPM'!B4</f>
        <v>Weighted Average Cost of Capital - CAPM-Based</v>
      </c>
      <c r="I40" s="36"/>
      <c r="P40" s="36">
        <v>1</v>
      </c>
      <c r="Q40" s="36"/>
    </row>
    <row r="41" spans="2:17">
      <c r="C41" s="35" t="str">
        <f>"Workpaper " &amp;P41</f>
        <v>Workpaper 2</v>
      </c>
      <c r="E41" s="405" t="str">
        <f>'Beta Calc'!B4</f>
        <v>Beta Calculation</v>
      </c>
      <c r="P41" s="36">
        <f>P40+1</f>
        <v>2</v>
      </c>
    </row>
    <row r="42" spans="2:17">
      <c r="C42" s="35" t="str">
        <f>"Workpaper " &amp;P42</f>
        <v>Workpaper 3</v>
      </c>
      <c r="E42" s="405" t="str">
        <f>'Trends for Comparables_Historic'!B4</f>
        <v>Historical Trends for Comparable Public Companies</v>
      </c>
      <c r="P42" s="36">
        <f>P41+1</f>
        <v>3</v>
      </c>
    </row>
    <row r="43" spans="2:17">
      <c r="C43" s="35" t="str">
        <f>"Workpaper " &amp;P43</f>
        <v>Workpaper 4</v>
      </c>
      <c r="E43" s="405" t="str">
        <f>'Trends for Comparables_Forecast'!B4</f>
        <v>Forecasted Trends for Comparable Public Companies</v>
      </c>
      <c r="P43" s="36">
        <f>P42+1</f>
        <v>4</v>
      </c>
    </row>
    <row r="44" spans="2:17">
      <c r="C44" s="35" t="str">
        <f>"Workpaper " &amp;P44</f>
        <v>Workpaper 5</v>
      </c>
      <c r="E44" s="405" t="str">
        <f>'Trends for M&amp;A Targets'!B4</f>
        <v>Historical Trends for Comparable Transactions</v>
      </c>
      <c r="P44" s="36">
        <f>P43+1</f>
        <v>5</v>
      </c>
    </row>
    <row r="45" spans="2:17">
      <c r="E45" s="405"/>
      <c r="P45" s="36"/>
    </row>
  </sheetData>
  <conditionalFormatting sqref="M17:M20 I17:I20">
    <cfRule type="expression" dxfId="248" priority="12">
      <formula>$H$2=3</formula>
    </cfRule>
  </conditionalFormatting>
  <conditionalFormatting sqref="I8 M8 I11:I13 M11:M13 I40 I22:I24">
    <cfRule type="expression" dxfId="247" priority="10">
      <formula>$H$2&gt;1</formula>
    </cfRule>
  </conditionalFormatting>
  <conditionalFormatting sqref="M22:M24">
    <cfRule type="expression" dxfId="246" priority="5">
      <formula>$H$2&gt;1</formula>
    </cfRule>
  </conditionalFormatting>
  <conditionalFormatting sqref="M27:M28 I27:I29">
    <cfRule type="expression" dxfId="245" priority="3">
      <formula>$H$2&gt;1</formula>
    </cfRule>
  </conditionalFormatting>
  <conditionalFormatting sqref="I14 M14">
    <cfRule type="expression" dxfId="244" priority="2">
      <formula>$H$2&gt;1</formula>
    </cfRule>
  </conditionalFormatting>
  <pageMargins left="0.5" right="0.5" top="0.5" bottom="0.5" header="0.3" footer="0.3"/>
  <pageSetup scale="105" fitToWidth="0" fitToHeight="0" orientation="landscape" r:id="rId1"/>
  <ignoredErrors>
    <ignoredError sqref="B7:C7 B11:C11 F11:H11 B15:D15 B26:C29 B22:C23 F22:H23 F26:H26 B12:C13 F13:H13 C18 B9:H9 C8 F28:H29 F27:H27 B10:C10 E10:H10 B17:C17 F17:H17 B24:C24 B16:C16 F16:H16 B21:C21 F21:H21 F15:H15 E21 E16 E26 E15 E22 E17:E18 E27 B14:C14 E25 F8:H8 B2 E24 E29 E7:H7 G12:H12"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1"/>
  <sheetViews>
    <sheetView workbookViewId="0"/>
  </sheetViews>
  <sheetFormatPr defaultRowHeight="15"/>
  <sheetData>
    <row r="1" spans="1:172">
      <c r="A1">
        <v>172</v>
      </c>
      <c r="B1" t="s">
        <v>674</v>
      </c>
      <c r="C1" t="s">
        <v>675</v>
      </c>
      <c r="D1" t="s">
        <v>676</v>
      </c>
      <c r="E1" t="s">
        <v>677</v>
      </c>
      <c r="F1" t="s">
        <v>678</v>
      </c>
      <c r="G1" t="s">
        <v>679</v>
      </c>
      <c r="H1" t="s">
        <v>680</v>
      </c>
      <c r="I1" t="s">
        <v>681</v>
      </c>
      <c r="J1" t="s">
        <v>682</v>
      </c>
      <c r="K1" t="s">
        <v>683</v>
      </c>
      <c r="L1" t="s">
        <v>684</v>
      </c>
      <c r="M1" t="s">
        <v>685</v>
      </c>
      <c r="N1" t="s">
        <v>686</v>
      </c>
      <c r="O1" t="s">
        <v>687</v>
      </c>
      <c r="P1" t="s">
        <v>688</v>
      </c>
      <c r="Q1" t="s">
        <v>689</v>
      </c>
      <c r="R1" t="s">
        <v>690</v>
      </c>
      <c r="S1" t="s">
        <v>691</v>
      </c>
      <c r="T1" t="s">
        <v>692</v>
      </c>
      <c r="U1" t="s">
        <v>693</v>
      </c>
      <c r="V1" t="s">
        <v>694</v>
      </c>
      <c r="W1" t="s">
        <v>695</v>
      </c>
      <c r="X1" t="s">
        <v>696</v>
      </c>
      <c r="Y1" t="s">
        <v>697</v>
      </c>
      <c r="Z1" t="s">
        <v>698</v>
      </c>
      <c r="AA1" t="s">
        <v>699</v>
      </c>
      <c r="AB1" t="s">
        <v>700</v>
      </c>
      <c r="AC1" t="s">
        <v>701</v>
      </c>
      <c r="AD1" t="s">
        <v>702</v>
      </c>
      <c r="AE1" t="s">
        <v>703</v>
      </c>
      <c r="AF1" t="s">
        <v>704</v>
      </c>
      <c r="AG1" t="s">
        <v>705</v>
      </c>
      <c r="AH1" t="s">
        <v>706</v>
      </c>
      <c r="AI1" t="s">
        <v>707</v>
      </c>
      <c r="AJ1" t="s">
        <v>708</v>
      </c>
      <c r="AK1" t="s">
        <v>709</v>
      </c>
      <c r="AL1" t="s">
        <v>710</v>
      </c>
      <c r="AM1" t="s">
        <v>711</v>
      </c>
      <c r="AN1" t="s">
        <v>712</v>
      </c>
      <c r="AO1" t="s">
        <v>713</v>
      </c>
      <c r="AP1" t="s">
        <v>714</v>
      </c>
      <c r="AQ1" t="s">
        <v>715</v>
      </c>
      <c r="AR1" t="s">
        <v>716</v>
      </c>
      <c r="AS1" t="s">
        <v>717</v>
      </c>
      <c r="AT1" t="s">
        <v>718</v>
      </c>
      <c r="AU1" t="s">
        <v>719</v>
      </c>
      <c r="AV1" t="s">
        <v>720</v>
      </c>
      <c r="AW1" t="s">
        <v>721</v>
      </c>
      <c r="AX1" t="s">
        <v>722</v>
      </c>
      <c r="AY1" t="s">
        <v>723</v>
      </c>
      <c r="AZ1" t="s">
        <v>724</v>
      </c>
      <c r="BA1" t="s">
        <v>725</v>
      </c>
      <c r="BB1" t="s">
        <v>726</v>
      </c>
      <c r="BC1" t="s">
        <v>727</v>
      </c>
      <c r="BD1" t="s">
        <v>728</v>
      </c>
      <c r="BE1" t="s">
        <v>729</v>
      </c>
      <c r="BF1" t="s">
        <v>730</v>
      </c>
      <c r="BG1" t="s">
        <v>731</v>
      </c>
      <c r="BH1" t="s">
        <v>732</v>
      </c>
      <c r="BI1" t="s">
        <v>733</v>
      </c>
      <c r="BJ1" t="s">
        <v>734</v>
      </c>
      <c r="BK1" t="s">
        <v>735</v>
      </c>
      <c r="BL1" t="s">
        <v>736</v>
      </c>
      <c r="BM1" t="s">
        <v>737</v>
      </c>
      <c r="BN1" t="s">
        <v>738</v>
      </c>
      <c r="BO1" t="s">
        <v>739</v>
      </c>
      <c r="BP1" t="s">
        <v>740</v>
      </c>
      <c r="BQ1" t="s">
        <v>741</v>
      </c>
      <c r="BR1" t="s">
        <v>742</v>
      </c>
      <c r="BS1" t="s">
        <v>743</v>
      </c>
      <c r="BT1" t="s">
        <v>744</v>
      </c>
      <c r="BU1" t="s">
        <v>745</v>
      </c>
      <c r="BV1" t="s">
        <v>746</v>
      </c>
      <c r="BW1" t="s">
        <v>747</v>
      </c>
      <c r="BX1" t="s">
        <v>748</v>
      </c>
      <c r="BY1" t="s">
        <v>749</v>
      </c>
      <c r="BZ1" t="s">
        <v>750</v>
      </c>
      <c r="CA1" t="s">
        <v>751</v>
      </c>
      <c r="CB1" t="s">
        <v>752</v>
      </c>
      <c r="CC1" t="s">
        <v>753</v>
      </c>
      <c r="CD1" t="s">
        <v>754</v>
      </c>
      <c r="CE1" t="s">
        <v>755</v>
      </c>
      <c r="CF1" t="s">
        <v>756</v>
      </c>
      <c r="CG1" t="s">
        <v>757</v>
      </c>
      <c r="CH1" t="s">
        <v>758</v>
      </c>
      <c r="CI1" t="s">
        <v>759</v>
      </c>
      <c r="CJ1" t="s">
        <v>760</v>
      </c>
      <c r="CK1" t="s">
        <v>761</v>
      </c>
      <c r="CL1" t="s">
        <v>762</v>
      </c>
      <c r="CM1" t="s">
        <v>763</v>
      </c>
      <c r="CN1" t="s">
        <v>764</v>
      </c>
      <c r="CO1" t="s">
        <v>765</v>
      </c>
      <c r="CP1" t="s">
        <v>766</v>
      </c>
      <c r="CQ1" t="s">
        <v>767</v>
      </c>
      <c r="CR1" t="s">
        <v>768</v>
      </c>
      <c r="CS1" t="s">
        <v>769</v>
      </c>
      <c r="CT1" t="s">
        <v>770</v>
      </c>
      <c r="CU1" t="s">
        <v>771</v>
      </c>
      <c r="CV1" t="s">
        <v>772</v>
      </c>
      <c r="CW1" t="s">
        <v>773</v>
      </c>
      <c r="CX1" t="s">
        <v>774</v>
      </c>
      <c r="CY1" t="s">
        <v>775</v>
      </c>
      <c r="CZ1" t="s">
        <v>776</v>
      </c>
      <c r="DA1" t="s">
        <v>777</v>
      </c>
      <c r="DB1" t="s">
        <v>778</v>
      </c>
      <c r="DC1" t="s">
        <v>779</v>
      </c>
      <c r="DD1" t="s">
        <v>780</v>
      </c>
      <c r="DE1" t="s">
        <v>781</v>
      </c>
      <c r="DF1" t="s">
        <v>782</v>
      </c>
      <c r="DG1" t="s">
        <v>783</v>
      </c>
      <c r="DH1" t="s">
        <v>784</v>
      </c>
      <c r="DI1" t="s">
        <v>785</v>
      </c>
      <c r="DJ1" t="s">
        <v>786</v>
      </c>
      <c r="DK1" t="s">
        <v>787</v>
      </c>
      <c r="DL1" t="s">
        <v>788</v>
      </c>
      <c r="DM1" t="s">
        <v>789</v>
      </c>
      <c r="DN1" t="s">
        <v>790</v>
      </c>
      <c r="DO1" t="s">
        <v>791</v>
      </c>
      <c r="DP1" t="s">
        <v>792</v>
      </c>
      <c r="DQ1" t="s">
        <v>793</v>
      </c>
      <c r="DR1" t="s">
        <v>794</v>
      </c>
      <c r="DS1" t="s">
        <v>795</v>
      </c>
      <c r="DT1" t="s">
        <v>796</v>
      </c>
      <c r="DU1" t="s">
        <v>797</v>
      </c>
      <c r="DV1" t="s">
        <v>798</v>
      </c>
      <c r="DW1" t="s">
        <v>799</v>
      </c>
      <c r="DX1" t="s">
        <v>800</v>
      </c>
      <c r="DY1" t="s">
        <v>801</v>
      </c>
      <c r="DZ1" t="s">
        <v>802</v>
      </c>
      <c r="EA1" t="s">
        <v>803</v>
      </c>
      <c r="EB1" t="s">
        <v>804</v>
      </c>
      <c r="EC1" t="s">
        <v>805</v>
      </c>
      <c r="ED1" t="s">
        <v>806</v>
      </c>
      <c r="EE1" t="s">
        <v>807</v>
      </c>
      <c r="EF1" t="s">
        <v>808</v>
      </c>
      <c r="EG1" t="s">
        <v>809</v>
      </c>
      <c r="EH1" t="s">
        <v>810</v>
      </c>
      <c r="EI1" t="s">
        <v>811</v>
      </c>
      <c r="EJ1" t="s">
        <v>812</v>
      </c>
      <c r="EK1" t="s">
        <v>813</v>
      </c>
      <c r="EL1" t="s">
        <v>814</v>
      </c>
      <c r="EM1" t="s">
        <v>815</v>
      </c>
      <c r="EN1" t="s">
        <v>816</v>
      </c>
      <c r="EO1" t="s">
        <v>817</v>
      </c>
      <c r="EP1" t="s">
        <v>818</v>
      </c>
      <c r="EQ1" t="s">
        <v>819</v>
      </c>
      <c r="ER1" t="s">
        <v>820</v>
      </c>
      <c r="ES1" t="s">
        <v>821</v>
      </c>
      <c r="ET1" t="s">
        <v>822</v>
      </c>
      <c r="EU1" t="s">
        <v>823</v>
      </c>
      <c r="EV1" t="s">
        <v>824</v>
      </c>
      <c r="EW1" t="s">
        <v>825</v>
      </c>
      <c r="EX1" t="s">
        <v>826</v>
      </c>
      <c r="EY1" t="s">
        <v>827</v>
      </c>
      <c r="EZ1" t="s">
        <v>828</v>
      </c>
      <c r="FA1" t="s">
        <v>829</v>
      </c>
      <c r="FB1" t="s">
        <v>830</v>
      </c>
      <c r="FC1" t="s">
        <v>831</v>
      </c>
      <c r="FD1" t="s">
        <v>832</v>
      </c>
      <c r="FE1" t="s">
        <v>833</v>
      </c>
      <c r="FF1" t="s">
        <v>834</v>
      </c>
      <c r="FG1" t="s">
        <v>835</v>
      </c>
      <c r="FH1" t="s">
        <v>836</v>
      </c>
      <c r="FI1" t="s">
        <v>837</v>
      </c>
      <c r="FJ1" t="s">
        <v>838</v>
      </c>
      <c r="FK1" t="s">
        <v>839</v>
      </c>
      <c r="FL1" t="s">
        <v>840</v>
      </c>
      <c r="FM1" t="s">
        <v>841</v>
      </c>
      <c r="FN1" t="s">
        <v>842</v>
      </c>
      <c r="FO1" t="s">
        <v>843</v>
      </c>
      <c r="FP1" t="s">
        <v>844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X76"/>
  <sheetViews>
    <sheetView showGridLines="0" tabSelected="1" view="pageBreakPreview" topLeftCell="A21" zoomScaleNormal="100" zoomScaleSheetLayoutView="100" workbookViewId="0">
      <selection activeCell="E32" sqref="E32"/>
    </sheetView>
  </sheetViews>
  <sheetFormatPr defaultColWidth="9.42578125" defaultRowHeight="12.75" outlineLevelRow="1"/>
  <cols>
    <col min="1" max="1" width="1.5703125" style="329" customWidth="1"/>
    <col min="2" max="3" width="2.5703125" style="329" customWidth="1"/>
    <col min="4" max="4" width="3.7109375" style="329" customWidth="1"/>
    <col min="5" max="5" width="60.5703125" style="329" customWidth="1"/>
    <col min="6" max="6" width="18.7109375" style="329" customWidth="1"/>
    <col min="7" max="7" width="3.7109375" style="329" customWidth="1"/>
    <col min="8" max="8" width="18.7109375" style="329" customWidth="1"/>
    <col min="9" max="9" width="3.7109375" style="329" customWidth="1"/>
    <col min="10" max="11" width="18.7109375" style="329" customWidth="1"/>
    <col min="12" max="12" width="8.42578125" style="329" customWidth="1"/>
    <col min="13" max="13" width="1.5703125" style="329" customWidth="1"/>
    <col min="14" max="14" width="20.140625" style="329" bestFit="1" customWidth="1"/>
    <col min="15" max="17" width="17.5703125" style="329" customWidth="1"/>
    <col min="18" max="16384" width="9.42578125" style="329"/>
  </cols>
  <sheetData>
    <row r="1" spans="1:24" ht="11.25" customHeight="1" thickBot="1">
      <c r="A1" s="325"/>
      <c r="B1" s="326"/>
      <c r="C1" s="326"/>
      <c r="D1" s="326"/>
      <c r="E1" s="326"/>
      <c r="F1" s="326"/>
      <c r="G1" s="327"/>
      <c r="H1" s="327"/>
      <c r="I1" s="327"/>
      <c r="J1" s="328"/>
      <c r="K1" s="328"/>
      <c r="L1" s="328"/>
    </row>
    <row r="2" spans="1:24" ht="16.5" thickTop="1">
      <c r="A2" s="325"/>
      <c r="B2" s="2" t="str">
        <f>Outline!B2</f>
        <v>Satellite Healthcare WB Santa Cruz Valuation</v>
      </c>
      <c r="C2" s="2"/>
      <c r="D2" s="23"/>
      <c r="E2" s="23"/>
      <c r="F2" s="23"/>
      <c r="G2" s="23"/>
      <c r="H2" s="23"/>
      <c r="I2" s="23"/>
      <c r="J2" s="23"/>
      <c r="K2" s="23"/>
      <c r="L2" s="3"/>
    </row>
    <row r="3" spans="1:24" ht="15.75">
      <c r="A3" s="330">
        <v>1</v>
      </c>
      <c r="B3" s="4" t="str">
        <f>Outline!C8</f>
        <v>Exhibit A1</v>
      </c>
      <c r="C3" s="4"/>
      <c r="D3" s="26"/>
      <c r="E3" s="26"/>
      <c r="F3" s="26"/>
      <c r="G3" s="26"/>
      <c r="H3" s="26"/>
      <c r="I3" s="26"/>
      <c r="J3" s="26"/>
      <c r="K3" s="26"/>
      <c r="L3" s="27"/>
    </row>
    <row r="4" spans="1:24" ht="16.5" thickBot="1">
      <c r="A4" s="325"/>
      <c r="B4" s="5" t="s">
        <v>32</v>
      </c>
      <c r="C4" s="5"/>
      <c r="D4" s="28"/>
      <c r="E4" s="28"/>
      <c r="F4" s="28"/>
      <c r="G4" s="28"/>
      <c r="H4" s="28"/>
      <c r="I4" s="28"/>
      <c r="J4" s="28"/>
      <c r="K4" s="28"/>
      <c r="L4" s="6" t="s">
        <v>66</v>
      </c>
    </row>
    <row r="5" spans="1:24" ht="15" customHeight="1" thickTop="1">
      <c r="B5" s="331"/>
      <c r="C5" s="331"/>
      <c r="D5" s="331"/>
      <c r="E5" s="331"/>
      <c r="F5" s="331"/>
      <c r="G5" s="331"/>
      <c r="H5" s="331"/>
      <c r="I5" s="331"/>
    </row>
    <row r="6" spans="1:24" ht="15" customHeight="1" thickBot="1">
      <c r="B6" s="331"/>
      <c r="C6" s="331"/>
      <c r="D6" s="331"/>
      <c r="E6" s="331"/>
      <c r="F6" s="331"/>
      <c r="G6" s="331"/>
      <c r="H6" s="331"/>
      <c r="I6" s="331"/>
      <c r="M6" s="331"/>
      <c r="O6" s="553"/>
      <c r="P6" s="554"/>
      <c r="Q6" s="554"/>
    </row>
    <row r="7" spans="1:24" s="333" customFormat="1" ht="19.5" thickBot="1">
      <c r="B7" s="334" t="s">
        <v>217</v>
      </c>
      <c r="C7" s="335"/>
      <c r="D7" s="335"/>
      <c r="E7" s="335"/>
      <c r="F7" s="335"/>
      <c r="G7" s="335"/>
      <c r="H7" s="335"/>
      <c r="I7" s="335"/>
      <c r="J7" s="335"/>
      <c r="K7" s="761"/>
      <c r="L7" s="336"/>
      <c r="M7" s="331"/>
      <c r="N7" s="1256" t="s">
        <v>662</v>
      </c>
      <c r="O7" s="1272">
        <f>'C2'!R17</f>
        <v>0</v>
      </c>
      <c r="P7" s="554"/>
      <c r="Q7" s="554"/>
      <c r="R7" s="329"/>
      <c r="S7" s="329"/>
      <c r="T7" s="329"/>
      <c r="U7" s="329"/>
      <c r="V7" s="329"/>
      <c r="W7" s="329"/>
      <c r="X7" s="329"/>
    </row>
    <row r="8" spans="1:24" s="333" customFormat="1" ht="8.1" customHeight="1">
      <c r="B8" s="337"/>
      <c r="C8" s="911"/>
      <c r="D8" s="911"/>
      <c r="E8" s="911"/>
      <c r="F8" s="911"/>
      <c r="G8" s="343"/>
      <c r="H8" s="911"/>
      <c r="I8" s="343"/>
      <c r="L8" s="338"/>
      <c r="M8" s="331"/>
      <c r="N8" s="329"/>
      <c r="O8" s="329"/>
      <c r="P8" s="329"/>
      <c r="Q8" s="329"/>
      <c r="R8" s="329"/>
      <c r="S8" s="329"/>
      <c r="T8" s="329"/>
      <c r="U8" s="329"/>
      <c r="V8" s="329"/>
      <c r="W8" s="329"/>
      <c r="X8" s="329"/>
    </row>
    <row r="9" spans="1:24" s="339" customFormat="1" ht="16.5" hidden="1">
      <c r="B9" s="340"/>
      <c r="E9" s="341" t="s">
        <v>89</v>
      </c>
      <c r="F9" s="341"/>
      <c r="G9" s="341"/>
      <c r="H9" s="341"/>
      <c r="I9" s="341"/>
      <c r="L9" s="342"/>
      <c r="M9" s="343"/>
      <c r="N9" s="329"/>
      <c r="O9" s="329"/>
      <c r="P9" s="588"/>
      <c r="Q9" s="588"/>
      <c r="R9" s="588"/>
      <c r="S9" s="588"/>
      <c r="T9" s="588"/>
      <c r="U9" s="588"/>
      <c r="V9" s="588"/>
      <c r="W9" s="588"/>
      <c r="X9" s="588"/>
    </row>
    <row r="10" spans="1:24" s="339" customFormat="1" ht="16.5">
      <c r="B10" s="340"/>
      <c r="D10" s="344"/>
      <c r="E10" s="344"/>
      <c r="F10" s="341" t="s">
        <v>225</v>
      </c>
      <c r="G10" s="373"/>
      <c r="H10" s="373"/>
      <c r="I10" s="346"/>
      <c r="L10" s="342"/>
      <c r="M10" s="343"/>
      <c r="N10" s="589"/>
      <c r="O10" s="329"/>
      <c r="P10" s="588"/>
      <c r="Q10" s="588"/>
      <c r="R10" s="588"/>
      <c r="S10" s="588"/>
      <c r="T10" s="588"/>
      <c r="U10" s="588"/>
      <c r="V10" s="588"/>
      <c r="W10" s="588"/>
      <c r="X10" s="588"/>
    </row>
    <row r="11" spans="1:24" s="339" customFormat="1" ht="17.25">
      <c r="B11" s="340"/>
      <c r="D11" s="347"/>
      <c r="E11" s="352"/>
      <c r="F11" s="345" t="s">
        <v>223</v>
      </c>
      <c r="G11" s="346"/>
      <c r="H11" s="345" t="s">
        <v>219</v>
      </c>
      <c r="I11" s="346"/>
      <c r="J11" s="345" t="s">
        <v>224</v>
      </c>
      <c r="K11" s="345" t="s">
        <v>179</v>
      </c>
      <c r="L11" s="1010"/>
      <c r="M11" s="343"/>
      <c r="N11" s="588"/>
      <c r="O11" s="329"/>
      <c r="P11" s="588"/>
      <c r="Q11" s="588"/>
      <c r="R11" s="588"/>
      <c r="S11" s="588"/>
      <c r="T11" s="588"/>
      <c r="U11" s="588"/>
      <c r="V11" s="588"/>
      <c r="W11" s="588"/>
      <c r="X11" s="588"/>
    </row>
    <row r="12" spans="1:24" s="339" customFormat="1" ht="16.5">
      <c r="B12" s="340"/>
      <c r="D12" s="795" t="s">
        <v>228</v>
      </c>
      <c r="E12" s="352"/>
      <c r="F12" s="345"/>
      <c r="G12" s="346"/>
      <c r="H12" s="345"/>
      <c r="I12" s="346"/>
      <c r="L12" s="342"/>
      <c r="M12" s="343"/>
      <c r="N12" s="588"/>
      <c r="O12" s="329"/>
      <c r="P12" s="588"/>
      <c r="Q12" s="588"/>
      <c r="R12" s="588"/>
      <c r="S12" s="588"/>
      <c r="T12" s="588"/>
      <c r="U12" s="588"/>
      <c r="V12" s="588"/>
      <c r="W12" s="588"/>
      <c r="X12" s="588"/>
    </row>
    <row r="13" spans="1:24" s="339" customFormat="1" ht="15">
      <c r="A13" s="350"/>
      <c r="B13" s="340"/>
      <c r="D13" s="971"/>
      <c r="E13" s="352" t="s">
        <v>482</v>
      </c>
      <c r="F13" s="1230">
        <f>'C2'!L33/1000</f>
        <v>2.008234881864889</v>
      </c>
      <c r="G13" s="1230"/>
      <c r="H13" s="1230">
        <f>'C2'!J33/1000</f>
        <v>2.4122211153212292</v>
      </c>
      <c r="I13" s="1230"/>
      <c r="J13" s="1230">
        <f>'C2'!H33/1000</f>
        <v>2.1904136631874009</v>
      </c>
      <c r="K13" s="1119">
        <v>0.5</v>
      </c>
      <c r="L13" s="1271"/>
      <c r="M13" s="343"/>
      <c r="N13" s="590"/>
      <c r="O13" s="1037"/>
      <c r="P13" s="591"/>
      <c r="Q13" s="591"/>
      <c r="R13" s="588"/>
      <c r="S13" s="588"/>
      <c r="T13" s="554"/>
      <c r="U13" s="587"/>
      <c r="V13" s="554"/>
      <c r="W13" s="588"/>
      <c r="X13" s="588"/>
    </row>
    <row r="14" spans="1:24" s="339" customFormat="1" ht="8.1" customHeight="1">
      <c r="A14" s="350"/>
      <c r="B14" s="340"/>
      <c r="D14" s="348"/>
      <c r="E14" s="352"/>
      <c r="F14" s="1230"/>
      <c r="G14" s="1231"/>
      <c r="H14" s="1230"/>
      <c r="I14" s="1231"/>
      <c r="J14" s="1230"/>
      <c r="K14" s="913"/>
      <c r="L14" s="342"/>
      <c r="M14" s="343"/>
      <c r="N14" s="588"/>
      <c r="O14" s="592"/>
      <c r="P14" s="593"/>
      <c r="Q14" s="590"/>
      <c r="R14" s="588"/>
      <c r="S14" s="588"/>
      <c r="T14" s="554"/>
      <c r="U14" s="587"/>
      <c r="V14" s="554"/>
      <c r="W14" s="588"/>
      <c r="X14" s="588"/>
    </row>
    <row r="15" spans="1:24" s="339" customFormat="1" ht="15" hidden="1" outlineLevel="1">
      <c r="A15" s="350"/>
      <c r="B15" s="340"/>
      <c r="D15" s="795" t="s">
        <v>480</v>
      </c>
      <c r="E15" s="352"/>
      <c r="F15" s="1230"/>
      <c r="G15" s="1231"/>
      <c r="H15" s="1230"/>
      <c r="I15" s="1231"/>
      <c r="J15" s="1230"/>
      <c r="K15" s="913"/>
      <c r="L15" s="342"/>
      <c r="M15" s="343"/>
      <c r="N15" s="588"/>
      <c r="O15" s="592"/>
      <c r="P15" s="593"/>
      <c r="Q15" s="590"/>
      <c r="R15" s="588"/>
      <c r="S15" s="588"/>
      <c r="T15" s="554"/>
      <c r="U15" s="587"/>
      <c r="V15" s="554"/>
      <c r="W15" s="588"/>
      <c r="X15" s="588"/>
    </row>
    <row r="16" spans="1:24" s="339" customFormat="1" ht="15" hidden="1" outlineLevel="1">
      <c r="A16" s="350"/>
      <c r="B16" s="340"/>
      <c r="D16" s="348"/>
      <c r="E16" s="352" t="s">
        <v>480</v>
      </c>
      <c r="F16" s="1230">
        <f>'D1'!F34/1000</f>
        <v>2.6699360000000071E-2</v>
      </c>
      <c r="G16" s="1230"/>
      <c r="H16" s="1230">
        <f>'D1'!G34/1000</f>
        <v>0.25356200800000001</v>
      </c>
      <c r="I16" s="1230"/>
      <c r="J16" s="1230">
        <f>AVERAGE(F16,H16)</f>
        <v>0.14013068400000003</v>
      </c>
      <c r="K16" s="912">
        <v>0</v>
      </c>
      <c r="L16" s="342"/>
      <c r="M16" s="343"/>
      <c r="N16" s="588"/>
      <c r="O16" s="592"/>
      <c r="P16" s="593"/>
      <c r="Q16" s="590"/>
      <c r="R16" s="588"/>
      <c r="S16" s="588"/>
      <c r="T16" s="554"/>
      <c r="U16" s="587"/>
      <c r="V16" s="554"/>
      <c r="W16" s="588"/>
      <c r="X16" s="588"/>
    </row>
    <row r="17" spans="1:24" s="339" customFormat="1" ht="15" hidden="1" outlineLevel="1">
      <c r="A17" s="350"/>
      <c r="B17" s="340"/>
      <c r="D17" s="348"/>
      <c r="E17" s="352"/>
      <c r="F17" s="1230"/>
      <c r="G17" s="1231"/>
      <c r="H17" s="1230"/>
      <c r="I17" s="1231"/>
      <c r="J17" s="1230"/>
      <c r="K17" s="913"/>
      <c r="L17" s="342"/>
      <c r="M17" s="343"/>
      <c r="N17" s="588"/>
      <c r="O17" s="592"/>
      <c r="P17" s="593"/>
      <c r="Q17" s="590"/>
      <c r="R17" s="588"/>
      <c r="S17" s="588"/>
      <c r="T17" s="554"/>
      <c r="U17" s="587"/>
      <c r="V17" s="554"/>
      <c r="W17" s="588"/>
      <c r="X17" s="588"/>
    </row>
    <row r="18" spans="1:24" s="796" customFormat="1" ht="16.5" customHeight="1" collapsed="1">
      <c r="B18" s="797"/>
      <c r="C18" s="795"/>
      <c r="D18" s="795" t="s">
        <v>229</v>
      </c>
      <c r="E18" s="914"/>
      <c r="F18" s="1232"/>
      <c r="G18" s="1233"/>
      <c r="H18" s="1232"/>
      <c r="I18" s="1233"/>
      <c r="J18" s="1232"/>
      <c r="K18" s="798"/>
      <c r="L18" s="799"/>
      <c r="M18" s="800"/>
      <c r="N18" s="801"/>
      <c r="O18" s="802"/>
      <c r="P18" s="803"/>
      <c r="Q18" s="804"/>
      <c r="R18" s="801"/>
      <c r="S18" s="801"/>
      <c r="T18" s="805"/>
      <c r="U18" s="806"/>
      <c r="V18" s="805"/>
      <c r="W18" s="801"/>
      <c r="X18" s="801"/>
    </row>
    <row r="19" spans="1:24" s="339" customFormat="1" ht="15">
      <c r="A19" s="350"/>
      <c r="B19" s="340"/>
      <c r="D19" s="348"/>
      <c r="E19" s="352" t="s">
        <v>218</v>
      </c>
      <c r="F19" s="1230">
        <f>IF(ROUND(MIN('E2'!F29:G29)/1000,1)=0, "n/a", ROUND(MIN('E2'!F29:G29)/1000,1))</f>
        <v>1.9</v>
      </c>
      <c r="G19" s="1230"/>
      <c r="H19" s="1230">
        <f>IF(ROUND(MAX('E2'!F29:G29)/1000,1)=0, "n/a", ROUND(MAX('E2'!F29:G29)/1000,1))</f>
        <v>2.2000000000000002</v>
      </c>
      <c r="I19" s="1230"/>
      <c r="J19" s="1230">
        <f>IFERROR(ROUND(AVERAGE(F19:H19),1),"n/a")</f>
        <v>2.1</v>
      </c>
      <c r="L19" s="342"/>
      <c r="M19" s="343"/>
      <c r="N19" s="588"/>
      <c r="O19" s="1037"/>
      <c r="P19" s="588"/>
      <c r="Q19" s="588"/>
      <c r="R19" s="588"/>
      <c r="S19" s="588"/>
      <c r="T19" s="554"/>
      <c r="U19" s="587"/>
      <c r="V19" s="554"/>
      <c r="W19" s="588"/>
      <c r="X19" s="588"/>
    </row>
    <row r="20" spans="1:24" s="339" customFormat="1" ht="15">
      <c r="A20" s="350"/>
      <c r="B20" s="340"/>
      <c r="D20" s="348"/>
      <c r="E20" s="1259" t="s">
        <v>665</v>
      </c>
      <c r="F20" s="1260">
        <f>'C2'!R16/1000*O7</f>
        <v>0</v>
      </c>
      <c r="G20" s="1260"/>
      <c r="H20" s="1260">
        <f>F20</f>
        <v>0</v>
      </c>
      <c r="I20" s="1260"/>
      <c r="J20" s="1260">
        <f>H20</f>
        <v>0</v>
      </c>
      <c r="K20" s="912"/>
      <c r="L20" s="1274" t="s">
        <v>336</v>
      </c>
      <c r="M20" s="343"/>
      <c r="N20" s="588"/>
      <c r="O20" s="1037"/>
      <c r="P20" s="588"/>
      <c r="Q20" s="588"/>
      <c r="R20" s="588"/>
      <c r="S20" s="588"/>
      <c r="T20" s="554"/>
      <c r="U20" s="587"/>
      <c r="V20" s="554"/>
      <c r="W20" s="588"/>
      <c r="X20" s="588"/>
    </row>
    <row r="21" spans="1:24" s="339" customFormat="1" ht="15">
      <c r="A21" s="350"/>
      <c r="B21" s="340"/>
      <c r="D21" s="348"/>
      <c r="E21" s="352" t="s">
        <v>663</v>
      </c>
      <c r="F21" s="1230">
        <f>SUM(F19:F20)</f>
        <v>1.9</v>
      </c>
      <c r="G21" s="1230"/>
      <c r="H21" s="1230">
        <f>SUM(H19:H20)</f>
        <v>2.2000000000000002</v>
      </c>
      <c r="I21" s="1230"/>
      <c r="J21" s="1230">
        <f>SUM(J19:J20)</f>
        <v>2.1</v>
      </c>
      <c r="K21" s="912">
        <v>0.25</v>
      </c>
      <c r="L21" s="342"/>
      <c r="M21" s="343"/>
      <c r="N21" s="590"/>
      <c r="O21" s="1037"/>
      <c r="P21" s="588"/>
      <c r="Q21" s="588"/>
      <c r="R21" s="588"/>
      <c r="S21" s="588"/>
      <c r="T21" s="554"/>
      <c r="U21" s="587"/>
      <c r="V21" s="554"/>
      <c r="W21" s="588"/>
      <c r="X21" s="588"/>
    </row>
    <row r="22" spans="1:24" s="339" customFormat="1" ht="8.1" customHeight="1">
      <c r="A22" s="350"/>
      <c r="B22" s="340"/>
      <c r="D22" s="348"/>
      <c r="E22" s="352"/>
      <c r="F22" s="1230"/>
      <c r="G22" s="1230"/>
      <c r="H22" s="1230"/>
      <c r="I22" s="1230"/>
      <c r="J22" s="1230"/>
      <c r="K22" s="912"/>
      <c r="L22" s="342"/>
      <c r="M22" s="343"/>
      <c r="N22" s="588"/>
      <c r="O22" s="1037"/>
      <c r="P22" s="588"/>
      <c r="Q22" s="588"/>
      <c r="R22" s="588"/>
      <c r="S22" s="588"/>
      <c r="T22" s="554"/>
      <c r="U22" s="587"/>
      <c r="V22" s="554"/>
      <c r="W22" s="588"/>
      <c r="X22" s="588"/>
    </row>
    <row r="23" spans="1:24" s="351" customFormat="1" ht="15">
      <c r="A23" s="350"/>
      <c r="B23" s="340"/>
      <c r="D23" s="348"/>
      <c r="E23" s="352" t="s">
        <v>220</v>
      </c>
      <c r="F23" s="1230">
        <f>IF(ROUND(MIN('F2'!G29:H29)/1000,1)=0,"n/a",ROUND(MIN('F2'!G29:H29)/1000,1))</f>
        <v>1.9</v>
      </c>
      <c r="G23" s="1230"/>
      <c r="H23" s="1230">
        <f>IF(ROUND(MAX('F2'!G29:H29)/1000,1)=0,"n/a",ROUND(MAX('F2'!G29:H29)/1000,1))</f>
        <v>2.2000000000000002</v>
      </c>
      <c r="I23" s="1230"/>
      <c r="J23" s="1230">
        <f>IFERROR(ROUND(AVERAGE(F23:H23),1),"n/a")</f>
        <v>2.1</v>
      </c>
      <c r="L23" s="342"/>
      <c r="M23" s="343"/>
      <c r="N23" s="592"/>
      <c r="O23" s="1037"/>
      <c r="P23" s="594"/>
      <c r="Q23" s="594"/>
      <c r="R23" s="594"/>
      <c r="S23" s="594"/>
      <c r="T23" s="554"/>
      <c r="U23" s="587"/>
      <c r="V23" s="554"/>
      <c r="W23" s="594"/>
      <c r="X23" s="594"/>
    </row>
    <row r="24" spans="1:24" s="351" customFormat="1" ht="15">
      <c r="A24" s="350"/>
      <c r="B24" s="340"/>
      <c r="D24" s="348"/>
      <c r="E24" s="1259" t="s">
        <v>665</v>
      </c>
      <c r="F24" s="1260">
        <f>'C2'!R16/1000*O7</f>
        <v>0</v>
      </c>
      <c r="G24" s="1260"/>
      <c r="H24" s="1260">
        <f>F24</f>
        <v>0</v>
      </c>
      <c r="I24" s="1260"/>
      <c r="J24" s="1260">
        <f>H24</f>
        <v>0</v>
      </c>
      <c r="K24" s="1223"/>
      <c r="L24" s="1274" t="str">
        <f>L20</f>
        <v>(3)</v>
      </c>
      <c r="M24" s="343"/>
      <c r="N24" s="592"/>
      <c r="O24" s="1037"/>
      <c r="P24" s="594"/>
      <c r="Q24" s="594"/>
      <c r="R24" s="594"/>
      <c r="S24" s="594"/>
      <c r="T24" s="554"/>
      <c r="U24" s="587"/>
      <c r="V24" s="554"/>
      <c r="W24" s="594"/>
      <c r="X24" s="594"/>
    </row>
    <row r="25" spans="1:24" s="351" customFormat="1" ht="15">
      <c r="A25" s="350"/>
      <c r="B25" s="340"/>
      <c r="D25" s="348"/>
      <c r="E25" s="352" t="s">
        <v>664</v>
      </c>
      <c r="F25" s="1230">
        <f>SUM(F23:F24)</f>
        <v>1.9</v>
      </c>
      <c r="G25" s="1230"/>
      <c r="H25" s="1230">
        <f>SUM(H23:H24)</f>
        <v>2.2000000000000002</v>
      </c>
      <c r="I25" s="1230"/>
      <c r="J25" s="1230">
        <f>SUM(J23:J24)</f>
        <v>2.1</v>
      </c>
      <c r="K25" s="1223">
        <f>1-SUM(K13:K21)</f>
        <v>0.25</v>
      </c>
      <c r="L25" s="342"/>
      <c r="M25" s="343"/>
      <c r="N25" s="590"/>
      <c r="O25" s="1037"/>
      <c r="P25" s="594"/>
      <c r="Q25" s="594"/>
      <c r="R25" s="594"/>
      <c r="S25" s="594"/>
      <c r="T25" s="554"/>
      <c r="U25" s="587"/>
      <c r="V25" s="554"/>
      <c r="W25" s="594"/>
      <c r="X25" s="594"/>
    </row>
    <row r="26" spans="1:24" s="351" customFormat="1" ht="8.1" customHeight="1" thickBot="1">
      <c r="A26" s="350"/>
      <c r="B26" s="340"/>
      <c r="C26" s="352"/>
      <c r="D26" s="353"/>
      <c r="E26" s="332"/>
      <c r="F26" s="1230"/>
      <c r="G26" s="1231"/>
      <c r="H26" s="1230"/>
      <c r="I26" s="1231"/>
      <c r="J26" s="1234"/>
      <c r="K26" s="380"/>
      <c r="L26" s="342"/>
      <c r="M26" s="343"/>
      <c r="N26" s="554"/>
      <c r="O26" s="553"/>
      <c r="P26" s="594"/>
      <c r="Q26" s="594"/>
      <c r="R26" s="594"/>
      <c r="S26" s="594"/>
      <c r="T26" s="554"/>
      <c r="U26" s="587"/>
      <c r="V26" s="554"/>
      <c r="W26" s="594"/>
      <c r="X26" s="594"/>
    </row>
    <row r="27" spans="1:24" s="339" customFormat="1" ht="18" customHeight="1" thickBot="1">
      <c r="A27" s="350"/>
      <c r="B27" s="340"/>
      <c r="D27" s="381" t="s">
        <v>503</v>
      </c>
      <c r="E27" s="382"/>
      <c r="F27" s="1235">
        <f>SUMPRODUCT(F13:F25,$K$13:$K$25)</f>
        <v>1.9541174409324444</v>
      </c>
      <c r="G27" s="1236"/>
      <c r="H27" s="1235">
        <f>SUMPRODUCT(H13:H25,$K$13:$K$25)</f>
        <v>2.3061105576606149</v>
      </c>
      <c r="I27" s="1236"/>
      <c r="J27" s="1237">
        <f>SUMPRODUCT(J13:J25,$K$13:$K$25)</f>
        <v>2.1452068315937005</v>
      </c>
      <c r="K27" s="332"/>
      <c r="L27" s="342"/>
      <c r="M27" s="349"/>
      <c r="N27" s="592"/>
      <c r="O27" s="329"/>
      <c r="P27" s="590"/>
      <c r="Q27" s="588"/>
      <c r="R27" s="588"/>
      <c r="S27" s="588"/>
      <c r="T27" s="936"/>
      <c r="U27" s="937"/>
      <c r="V27" s="936"/>
      <c r="W27" s="588"/>
      <c r="X27" s="588"/>
    </row>
    <row r="28" spans="1:24" s="339" customFormat="1" ht="8.1" customHeight="1" thickBot="1">
      <c r="A28" s="350"/>
      <c r="B28" s="340"/>
      <c r="D28" s="1249"/>
      <c r="E28" s="1250"/>
      <c r="F28" s="1251"/>
      <c r="G28" s="1252"/>
      <c r="H28" s="1251"/>
      <c r="I28" s="1252"/>
      <c r="J28" s="1251"/>
      <c r="K28" s="332"/>
      <c r="L28" s="342"/>
      <c r="M28" s="349"/>
      <c r="N28" s="592"/>
      <c r="O28" s="329"/>
      <c r="P28" s="590"/>
      <c r="Q28" s="588"/>
      <c r="R28" s="588"/>
      <c r="S28" s="588"/>
      <c r="T28" s="936"/>
      <c r="U28" s="937"/>
      <c r="V28" s="936"/>
      <c r="W28" s="588"/>
      <c r="X28" s="588"/>
    </row>
    <row r="29" spans="1:24" s="339" customFormat="1" ht="18" customHeight="1" thickBot="1">
      <c r="A29" s="350"/>
      <c r="B29" s="340"/>
      <c r="D29" s="381" t="s">
        <v>669</v>
      </c>
      <c r="E29" s="1240"/>
      <c r="F29" s="1243">
        <f>ROUND(F27*1000000,0)</f>
        <v>1954117</v>
      </c>
      <c r="G29" s="1241"/>
      <c r="H29" s="1243">
        <f>ROUND(H27*1000000,0)</f>
        <v>2306111</v>
      </c>
      <c r="I29" s="1241"/>
      <c r="J29" s="1242">
        <f>ROUND(J27*1000000,0)</f>
        <v>2145207</v>
      </c>
      <c r="K29" s="332"/>
      <c r="L29" s="342"/>
      <c r="M29" s="349"/>
      <c r="N29" s="592"/>
      <c r="O29" s="329"/>
      <c r="P29" s="590"/>
      <c r="Q29" s="588"/>
      <c r="R29" s="588"/>
      <c r="S29" s="588"/>
      <c r="T29" s="936"/>
      <c r="U29" s="937"/>
      <c r="V29" s="936"/>
      <c r="W29" s="588"/>
      <c r="X29" s="588"/>
    </row>
    <row r="30" spans="1:24" s="339" customFormat="1" ht="8.1" customHeight="1">
      <c r="A30" s="350"/>
      <c r="B30" s="340"/>
      <c r="D30" s="348"/>
      <c r="E30" s="352"/>
      <c r="F30" s="1230"/>
      <c r="G30" s="1230"/>
      <c r="H30" s="1230"/>
      <c r="I30" s="1230"/>
      <c r="J30" s="1230"/>
      <c r="K30" s="912"/>
      <c r="L30" s="342"/>
      <c r="M30" s="343"/>
      <c r="N30" s="588"/>
      <c r="O30" s="1037"/>
      <c r="P30" s="588"/>
      <c r="Q30" s="588"/>
      <c r="R30" s="588"/>
      <c r="S30" s="588"/>
      <c r="T30" s="554"/>
      <c r="U30" s="587"/>
      <c r="V30" s="554"/>
      <c r="W30" s="588"/>
      <c r="X30" s="588"/>
    </row>
    <row r="31" spans="1:24" s="339" customFormat="1" ht="15">
      <c r="A31" s="350"/>
      <c r="B31" s="340"/>
      <c r="D31" s="348"/>
      <c r="E31" s="1259" t="s">
        <v>668</v>
      </c>
      <c r="F31" s="1267">
        <v>0.01</v>
      </c>
      <c r="G31" s="1269"/>
      <c r="H31" s="1268">
        <f>F31</f>
        <v>0.01</v>
      </c>
      <c r="I31" s="1269"/>
      <c r="J31" s="1268">
        <f>F31</f>
        <v>0.01</v>
      </c>
      <c r="K31" s="912"/>
      <c r="L31" s="342"/>
      <c r="M31" s="343"/>
      <c r="N31" s="588"/>
      <c r="O31" s="1037"/>
      <c r="P31" s="588"/>
      <c r="Q31" s="588"/>
      <c r="R31" s="588"/>
      <c r="S31" s="588"/>
      <c r="T31" s="554"/>
      <c r="U31" s="587"/>
      <c r="V31" s="554"/>
      <c r="W31" s="588"/>
      <c r="X31" s="588"/>
    </row>
    <row r="32" spans="1:24" s="339" customFormat="1" ht="15">
      <c r="A32" s="350"/>
      <c r="B32" s="340"/>
      <c r="D32" s="348" t="s">
        <v>672</v>
      </c>
      <c r="E32" s="352"/>
      <c r="F32" s="1230">
        <f>F29*F31</f>
        <v>19541.170000000002</v>
      </c>
      <c r="G32" s="1230"/>
      <c r="H32" s="1230">
        <f>H29*H31</f>
        <v>23061.11</v>
      </c>
      <c r="I32" s="1230"/>
      <c r="J32" s="1230">
        <f>J29*J31</f>
        <v>21452.07</v>
      </c>
      <c r="K32" s="912"/>
      <c r="L32" s="342"/>
      <c r="M32" s="343"/>
      <c r="N32" s="588"/>
      <c r="O32" s="1037"/>
      <c r="P32" s="588"/>
      <c r="Q32" s="588"/>
      <c r="R32" s="588"/>
      <c r="S32" s="588"/>
      <c r="T32" s="554"/>
      <c r="U32" s="587"/>
      <c r="V32" s="554"/>
      <c r="W32" s="588"/>
      <c r="X32" s="588"/>
    </row>
    <row r="33" spans="1:24" s="339" customFormat="1" ht="15" customHeight="1">
      <c r="A33" s="350"/>
      <c r="B33" s="340"/>
      <c r="D33" s="348"/>
      <c r="E33" s="1259" t="str">
        <f>"% Total Discount "&amp;TEXT(-B53,"(##0)")</f>
        <v>% Total Discount (2)</v>
      </c>
      <c r="F33" s="1267">
        <v>0.185</v>
      </c>
      <c r="G33" s="1269"/>
      <c r="H33" s="1268">
        <f>F33</f>
        <v>0.185</v>
      </c>
      <c r="I33" s="1269"/>
      <c r="J33" s="1268">
        <f>F33</f>
        <v>0.185</v>
      </c>
      <c r="K33" s="912"/>
      <c r="L33" s="342"/>
      <c r="M33" s="343"/>
      <c r="N33" s="588"/>
      <c r="O33" s="1037"/>
      <c r="P33" s="588"/>
      <c r="Q33" s="588"/>
      <c r="R33" s="588"/>
      <c r="S33" s="588"/>
      <c r="T33" s="554"/>
      <c r="U33" s="587"/>
      <c r="V33" s="554"/>
      <c r="W33" s="588"/>
      <c r="X33" s="588"/>
    </row>
    <row r="34" spans="1:24" s="339" customFormat="1" ht="8.1" customHeight="1" thickBot="1">
      <c r="A34" s="350"/>
      <c r="B34" s="340"/>
      <c r="D34" s="348"/>
      <c r="E34" s="1263"/>
      <c r="F34" s="1264"/>
      <c r="G34" s="1266"/>
      <c r="H34" s="1265"/>
      <c r="I34" s="1266"/>
      <c r="J34" s="1265"/>
      <c r="K34" s="912"/>
      <c r="L34" s="342"/>
      <c r="M34" s="343"/>
      <c r="N34" s="588"/>
      <c r="O34" s="1037"/>
      <c r="P34" s="588"/>
      <c r="Q34" s="588"/>
      <c r="R34" s="588"/>
      <c r="S34" s="588"/>
      <c r="T34" s="554"/>
      <c r="U34" s="587"/>
      <c r="V34" s="554"/>
      <c r="W34" s="588"/>
      <c r="X34" s="588"/>
    </row>
    <row r="35" spans="1:24" s="339" customFormat="1" ht="18" customHeight="1" thickBot="1">
      <c r="A35" s="350"/>
      <c r="B35" s="340"/>
      <c r="D35" s="381" t="s">
        <v>666</v>
      </c>
      <c r="E35" s="1240"/>
      <c r="F35" s="1243">
        <f>F32*(1-F33)</f>
        <v>15926.053550000001</v>
      </c>
      <c r="G35" s="1241"/>
      <c r="H35" s="1243">
        <f>H32*(1-H33)</f>
        <v>18794.804649999998</v>
      </c>
      <c r="I35" s="1241"/>
      <c r="J35" s="1242">
        <f>J32*(1-J33)</f>
        <v>17483.437049999997</v>
      </c>
      <c r="K35" s="332"/>
      <c r="L35" s="342"/>
      <c r="M35" s="349"/>
      <c r="N35" s="592"/>
      <c r="O35" s="329"/>
      <c r="P35" s="590"/>
      <c r="Q35" s="588"/>
      <c r="R35" s="588"/>
      <c r="S35" s="588"/>
      <c r="T35" s="936"/>
      <c r="U35" s="937"/>
      <c r="V35" s="936"/>
      <c r="W35" s="588"/>
      <c r="X35" s="588"/>
    </row>
    <row r="36" spans="1:24" s="339" customFormat="1" ht="8.1" customHeight="1" thickBot="1">
      <c r="A36" s="350"/>
      <c r="B36" s="354"/>
      <c r="C36" s="355"/>
      <c r="D36" s="356"/>
      <c r="E36" s="356"/>
      <c r="F36" s="356"/>
      <c r="G36" s="356"/>
      <c r="H36" s="356"/>
      <c r="I36" s="356"/>
      <c r="J36" s="357"/>
      <c r="K36" s="762"/>
      <c r="L36" s="358"/>
      <c r="M36" s="343"/>
      <c r="N36" s="329"/>
      <c r="O36" s="329"/>
      <c r="P36" s="593"/>
      <c r="Q36" s="588"/>
      <c r="R36" s="588"/>
      <c r="S36" s="588"/>
      <c r="T36" s="588"/>
      <c r="U36" s="588"/>
      <c r="V36" s="588"/>
      <c r="W36" s="588"/>
      <c r="X36" s="588"/>
    </row>
    <row r="37" spans="1:24" s="339" customFormat="1" ht="8.1" customHeight="1">
      <c r="A37" s="350"/>
      <c r="B37" s="343"/>
      <c r="C37" s="333"/>
      <c r="D37" s="343"/>
      <c r="E37" s="343"/>
      <c r="F37" s="343"/>
      <c r="G37" s="343"/>
      <c r="H37" s="343"/>
      <c r="I37" s="343"/>
      <c r="L37" s="333"/>
      <c r="M37" s="343"/>
      <c r="N37" s="329"/>
      <c r="O37" s="329"/>
      <c r="P37" s="593"/>
      <c r="Q37" s="588"/>
      <c r="R37" s="588"/>
      <c r="S37" s="588"/>
      <c r="T37" s="588"/>
      <c r="U37" s="588"/>
      <c r="V37" s="588"/>
      <c r="W37" s="588"/>
      <c r="X37" s="588"/>
    </row>
    <row r="38" spans="1:24" s="339" customFormat="1" ht="8.1" customHeight="1" thickBot="1">
      <c r="A38" s="350"/>
      <c r="B38" s="343"/>
      <c r="C38" s="333"/>
      <c r="D38" s="343"/>
      <c r="E38" s="343"/>
      <c r="F38" s="343"/>
      <c r="G38" s="343"/>
      <c r="H38" s="343"/>
      <c r="I38" s="343"/>
      <c r="L38" s="333"/>
      <c r="M38" s="343"/>
      <c r="N38" s="329"/>
      <c r="O38" s="329"/>
      <c r="P38" s="588"/>
      <c r="Q38" s="588"/>
      <c r="R38" s="588"/>
      <c r="S38" s="588"/>
      <c r="T38" s="588"/>
      <c r="U38" s="588"/>
      <c r="V38" s="588"/>
      <c r="W38" s="588"/>
      <c r="X38" s="588"/>
    </row>
    <row r="39" spans="1:24" s="365" customFormat="1" ht="17.25">
      <c r="A39" s="359"/>
      <c r="B39" s="360"/>
      <c r="C39" s="361"/>
      <c r="D39" s="362"/>
      <c r="E39" s="362"/>
      <c r="F39" s="362"/>
      <c r="G39" s="362"/>
      <c r="H39" s="362"/>
      <c r="I39" s="362"/>
      <c r="J39" s="361"/>
      <c r="K39" s="361"/>
      <c r="L39" s="363"/>
      <c r="M39" s="364"/>
      <c r="N39" s="595"/>
      <c r="O39" s="595"/>
      <c r="P39" s="595"/>
      <c r="Q39" s="595"/>
      <c r="R39" s="595"/>
      <c r="S39" s="595"/>
      <c r="T39" s="595"/>
      <c r="U39" s="596"/>
      <c r="V39" s="596"/>
      <c r="W39" s="596"/>
      <c r="X39" s="596"/>
    </row>
    <row r="40" spans="1:24" s="351" customFormat="1" ht="47.65" customHeight="1">
      <c r="A40" s="350"/>
      <c r="B40" s="340"/>
      <c r="C40" s="333"/>
      <c r="D40" s="343"/>
      <c r="E40" s="343"/>
      <c r="F40" s="343"/>
      <c r="G40" s="343"/>
      <c r="H40" s="343"/>
      <c r="I40" s="343"/>
      <c r="J40" s="333"/>
      <c r="K40" s="333"/>
      <c r="L40" s="342"/>
      <c r="M40" s="343"/>
      <c r="N40" s="331"/>
      <c r="O40" s="331"/>
      <c r="P40" s="331"/>
      <c r="Q40" s="331"/>
      <c r="R40" s="331"/>
      <c r="S40" s="331"/>
      <c r="T40" s="331"/>
      <c r="U40" s="594"/>
      <c r="V40" s="594"/>
      <c r="W40" s="594"/>
      <c r="X40" s="594"/>
    </row>
    <row r="41" spans="1:24" s="366" customFormat="1" ht="17.25">
      <c r="A41" s="350"/>
      <c r="B41" s="340"/>
      <c r="C41" s="333"/>
      <c r="D41" s="343"/>
      <c r="E41" s="343"/>
      <c r="F41" s="343"/>
      <c r="G41" s="343"/>
      <c r="H41" s="343"/>
      <c r="I41" s="343"/>
      <c r="J41" s="333"/>
      <c r="K41" s="333"/>
      <c r="L41" s="342"/>
      <c r="M41" s="343"/>
      <c r="N41" s="343"/>
      <c r="O41" s="343"/>
      <c r="P41" s="343"/>
      <c r="Q41" s="343"/>
      <c r="R41" s="343"/>
      <c r="S41" s="343"/>
      <c r="T41" s="343"/>
    </row>
    <row r="42" spans="1:24" s="351" customFormat="1" ht="15">
      <c r="A42" s="350"/>
      <c r="B42" s="340"/>
      <c r="C42" s="333"/>
      <c r="D42" s="343"/>
      <c r="E42" s="343"/>
      <c r="F42" s="343"/>
      <c r="G42" s="343"/>
      <c r="H42" s="343"/>
      <c r="I42" s="343"/>
      <c r="J42" s="333"/>
      <c r="K42" s="333"/>
      <c r="L42" s="342"/>
      <c r="M42" s="343"/>
      <c r="N42" s="343"/>
      <c r="O42" s="343"/>
      <c r="P42" s="343"/>
      <c r="Q42" s="343"/>
      <c r="R42" s="343"/>
      <c r="S42" s="343"/>
      <c r="T42" s="343"/>
    </row>
    <row r="43" spans="1:24" s="366" customFormat="1" ht="34.5">
      <c r="A43" s="350"/>
      <c r="B43" s="340"/>
      <c r="C43" s="333"/>
      <c r="D43" s="343"/>
      <c r="E43" s="343"/>
      <c r="F43" s="343"/>
      <c r="G43" s="343"/>
      <c r="H43" s="343"/>
      <c r="I43" s="343"/>
      <c r="J43" s="333"/>
      <c r="K43" s="333"/>
      <c r="L43" s="342"/>
      <c r="M43" s="343"/>
      <c r="N43" s="333"/>
      <c r="O43" s="367" t="str">
        <f>E13</f>
        <v>Discounted Cash Flow</v>
      </c>
      <c r="P43" s="367" t="s">
        <v>654</v>
      </c>
      <c r="Q43" s="366" t="s">
        <v>655</v>
      </c>
    </row>
    <row r="44" spans="1:24" s="339" customFormat="1" ht="15">
      <c r="A44" s="350"/>
      <c r="B44" s="340"/>
      <c r="C44" s="333"/>
      <c r="D44" s="343"/>
      <c r="E44" s="343"/>
      <c r="F44" s="343"/>
      <c r="G44" s="343"/>
      <c r="H44" s="343"/>
      <c r="I44" s="343"/>
      <c r="J44" s="333"/>
      <c r="K44" s="333"/>
      <c r="L44" s="342"/>
      <c r="M44" s="343"/>
      <c r="O44" s="1238">
        <f>O46-O45</f>
        <v>0.40398623345634022</v>
      </c>
      <c r="P44" s="1238">
        <f>P46-P45</f>
        <v>0.30000000000000027</v>
      </c>
      <c r="Q44" s="1238">
        <f>Q46-Q45</f>
        <v>0.30000000000000027</v>
      </c>
    </row>
    <row r="45" spans="1:24" s="339" customFormat="1" ht="15">
      <c r="A45" s="350"/>
      <c r="B45" s="340"/>
      <c r="C45" s="343"/>
      <c r="D45" s="343"/>
      <c r="E45" s="343"/>
      <c r="F45" s="343"/>
      <c r="G45" s="343"/>
      <c r="H45" s="343"/>
      <c r="I45" s="343"/>
      <c r="J45" s="333"/>
      <c r="K45" s="333"/>
      <c r="L45" s="342"/>
      <c r="M45" s="343"/>
      <c r="N45" s="333" t="s">
        <v>222</v>
      </c>
      <c r="O45" s="1239">
        <f>+F13</f>
        <v>2.008234881864889</v>
      </c>
      <c r="P45" s="1239">
        <f>+F25</f>
        <v>1.9</v>
      </c>
      <c r="Q45" s="1239">
        <f>F21</f>
        <v>1.9</v>
      </c>
    </row>
    <row r="46" spans="1:24" s="339" customFormat="1" ht="15">
      <c r="A46" s="350"/>
      <c r="B46" s="368"/>
      <c r="C46" s="331"/>
      <c r="D46" s="331"/>
      <c r="E46" s="331"/>
      <c r="F46" s="331"/>
      <c r="G46" s="331"/>
      <c r="H46" s="331"/>
      <c r="I46" s="331"/>
      <c r="J46" s="329"/>
      <c r="K46" s="329"/>
      <c r="L46" s="369"/>
      <c r="M46" s="331"/>
      <c r="N46" s="339" t="s">
        <v>221</v>
      </c>
      <c r="O46" s="1239">
        <f>+H13</f>
        <v>2.4122211153212292</v>
      </c>
      <c r="P46" s="1239">
        <f>H25</f>
        <v>2.2000000000000002</v>
      </c>
      <c r="Q46" s="1239">
        <f>H21</f>
        <v>2.2000000000000002</v>
      </c>
    </row>
    <row r="47" spans="1:24" s="366" customFormat="1" ht="17.25">
      <c r="A47" s="350"/>
      <c r="B47" s="368"/>
      <c r="C47" s="331"/>
      <c r="D47" s="331"/>
      <c r="E47" s="331"/>
      <c r="F47" s="331"/>
      <c r="G47" s="331"/>
      <c r="H47" s="331"/>
      <c r="I47" s="331"/>
      <c r="J47" s="329"/>
      <c r="K47" s="329"/>
      <c r="L47" s="369"/>
      <c r="M47" s="331"/>
      <c r="N47" s="329"/>
      <c r="O47" s="1261">
        <f>J29/10^6</f>
        <v>2.1452070000000001</v>
      </c>
      <c r="P47" s="1261">
        <f>O47</f>
        <v>2.1452070000000001</v>
      </c>
      <c r="Q47" s="1261">
        <f>P47</f>
        <v>2.1452070000000001</v>
      </c>
    </row>
    <row r="48" spans="1:24" s="351" customFormat="1" ht="15">
      <c r="A48" s="350"/>
      <c r="B48" s="368"/>
      <c r="C48" s="331"/>
      <c r="D48" s="331"/>
      <c r="E48" s="331"/>
      <c r="F48" s="331"/>
      <c r="G48" s="331"/>
      <c r="H48" s="331"/>
      <c r="I48" s="331"/>
      <c r="J48" s="329"/>
      <c r="K48" s="329"/>
      <c r="L48" s="369"/>
      <c r="M48" s="331"/>
      <c r="N48" s="329"/>
      <c r="O48" s="333"/>
    </row>
    <row r="49" spans="2:12" ht="8.1" customHeight="1" thickBot="1">
      <c r="B49" s="370"/>
      <c r="C49" s="371"/>
      <c r="D49" s="371"/>
      <c r="E49" s="371"/>
      <c r="F49" s="371"/>
      <c r="G49" s="371"/>
      <c r="H49" s="371"/>
      <c r="I49" s="371"/>
      <c r="J49" s="371"/>
      <c r="K49" s="763"/>
      <c r="L49" s="372"/>
    </row>
    <row r="50" spans="2:12" ht="15" customHeight="1">
      <c r="B50" s="1270"/>
      <c r="C50" s="1270"/>
      <c r="D50" s="1270"/>
      <c r="E50" s="1270"/>
      <c r="F50" s="1270"/>
      <c r="G50" s="1270"/>
      <c r="H50" s="1270"/>
      <c r="I50" s="1270"/>
      <c r="J50" s="1270"/>
      <c r="K50" s="1270"/>
      <c r="L50" s="1270"/>
    </row>
    <row r="51" spans="2:12">
      <c r="B51" s="57"/>
      <c r="C51" s="522" t="s">
        <v>246</v>
      </c>
      <c r="D51" s="983"/>
    </row>
    <row r="52" spans="2:12" ht="25.5" customHeight="1">
      <c r="B52" s="1099" t="s">
        <v>434</v>
      </c>
      <c r="C52" s="1275" t="s">
        <v>670</v>
      </c>
      <c r="D52" s="1275"/>
      <c r="E52" s="1275"/>
      <c r="F52" s="1275"/>
      <c r="G52" s="1275"/>
      <c r="H52" s="1275"/>
      <c r="I52" s="1275"/>
      <c r="J52" s="1275"/>
      <c r="K52" s="1275"/>
      <c r="L52" s="1275"/>
    </row>
    <row r="53" spans="2:12">
      <c r="B53" s="1099" t="s">
        <v>531</v>
      </c>
      <c r="C53" s="57" t="s">
        <v>671</v>
      </c>
      <c r="D53" s="57"/>
    </row>
    <row r="54" spans="2:12">
      <c r="B54" s="1099" t="s">
        <v>543</v>
      </c>
      <c r="C54" s="57" t="s">
        <v>673</v>
      </c>
    </row>
    <row r="74" spans="5:5">
      <c r="E74" s="1253" t="s">
        <v>412</v>
      </c>
    </row>
    <row r="75" spans="5:5">
      <c r="E75" s="1254">
        <v>0</v>
      </c>
    </row>
    <row r="76" spans="5:5">
      <c r="E76" s="1255">
        <v>1</v>
      </c>
    </row>
  </sheetData>
  <mergeCells count="1">
    <mergeCell ref="C52:L52"/>
  </mergeCells>
  <dataValidations count="1">
    <dataValidation type="list" allowBlank="1" showInputMessage="1" showErrorMessage="1" sqref="O7">
      <formula1>$E$75:$E$76</formula1>
    </dataValidation>
  </dataValidations>
  <pageMargins left="0.5" right="0.5" top="0.5" bottom="0.5" header="0.3" footer="0.3"/>
  <pageSetup scale="72" fitToWidth="0" fitToHeight="0" orientation="landscape" r:id="rId1"/>
  <ignoredErrors>
    <ignoredError sqref="B2" unlocked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C000"/>
  </sheetPr>
  <dimension ref="A1:AF70"/>
  <sheetViews>
    <sheetView showGridLines="0" view="pageBreakPreview" zoomScale="85" zoomScaleNormal="100" zoomScaleSheetLayoutView="85" workbookViewId="0">
      <selection activeCell="D19" sqref="D19"/>
    </sheetView>
  </sheetViews>
  <sheetFormatPr defaultColWidth="9.42578125" defaultRowHeight="15"/>
  <cols>
    <col min="1" max="1" width="1.5703125" style="536" customWidth="1"/>
    <col min="2" max="4" width="3" style="35" customWidth="1"/>
    <col min="5" max="5" width="5" style="35" customWidth="1"/>
    <col min="6" max="6" width="39.7109375" style="35" customWidth="1"/>
    <col min="7" max="7" width="4.5703125" style="35" customWidth="1"/>
    <col min="8" max="12" width="20.85546875" style="35" customWidth="1"/>
    <col min="13" max="13" width="2.7109375" style="35" customWidth="1"/>
    <col min="14" max="14" width="4.5703125" style="35" customWidth="1"/>
    <col min="15" max="19" width="20.85546875" style="35" customWidth="1"/>
    <col min="20" max="20" width="2.5703125" style="35" customWidth="1"/>
    <col min="21" max="21" width="7.140625" style="35" customWidth="1"/>
    <col min="22" max="22" width="6.42578125" style="35" customWidth="1"/>
    <col min="23" max="23" width="8.5703125" style="35" bestFit="1" customWidth="1"/>
    <col min="24" max="25" width="6.42578125" style="35" customWidth="1"/>
    <col min="26" max="16384" width="9.42578125" style="35"/>
  </cols>
  <sheetData>
    <row r="1" spans="1:32" ht="11.25" customHeight="1" thickBot="1">
      <c r="B1" s="33"/>
      <c r="C1" s="8"/>
      <c r="D1" s="33"/>
      <c r="E1" s="33"/>
      <c r="F1" s="33"/>
      <c r="G1" s="33"/>
      <c r="H1" s="33"/>
      <c r="I1" s="33"/>
      <c r="J1" s="33"/>
      <c r="K1" s="33"/>
      <c r="L1" s="33"/>
      <c r="N1" s="33"/>
      <c r="O1" s="33"/>
      <c r="P1" s="33"/>
      <c r="Q1" s="33"/>
      <c r="R1" s="33"/>
      <c r="S1" s="33"/>
    </row>
    <row r="2" spans="1:32" ht="18.75" customHeight="1" thickTop="1">
      <c r="B2" s="2" t="str">
        <f>Outline!B2</f>
        <v>Satellite Healthcare WB Santa Cruz Valuation</v>
      </c>
      <c r="C2" s="2"/>
      <c r="D2" s="23"/>
      <c r="E2" s="23"/>
      <c r="F2" s="23"/>
      <c r="G2" s="23"/>
      <c r="H2" s="24"/>
      <c r="I2" s="23"/>
      <c r="J2" s="23"/>
      <c r="K2" s="3"/>
      <c r="L2" s="949" t="s">
        <v>443</v>
      </c>
      <c r="M2" s="551"/>
      <c r="N2" s="2"/>
      <c r="O2" s="23"/>
      <c r="P2" s="23"/>
      <c r="Q2" s="23"/>
      <c r="R2" s="23"/>
      <c r="S2" s="949" t="s">
        <v>442</v>
      </c>
    </row>
    <row r="3" spans="1:32" ht="18.75" customHeight="1">
      <c r="A3" s="550"/>
      <c r="B3" s="4" t="str">
        <f>Outline!C17</f>
        <v>Exhibit B1</v>
      </c>
      <c r="C3" s="4"/>
      <c r="D3" s="26"/>
      <c r="E3" s="26"/>
      <c r="F3" s="26"/>
      <c r="G3" s="26"/>
      <c r="H3" s="27"/>
      <c r="I3" s="26"/>
      <c r="J3" s="26"/>
      <c r="K3" s="26"/>
      <c r="L3" s="4"/>
      <c r="M3" s="551"/>
      <c r="N3" s="4"/>
      <c r="O3" s="26"/>
      <c r="P3" s="26"/>
      <c r="Q3" s="26"/>
      <c r="R3" s="26"/>
      <c r="S3" s="26"/>
      <c r="V3" s="35">
        <v>1829.9188811641404</v>
      </c>
    </row>
    <row r="4" spans="1:32" ht="18.75" customHeight="1" thickBot="1">
      <c r="B4" s="5" t="s">
        <v>469</v>
      </c>
      <c r="C4" s="5"/>
      <c r="D4" s="28"/>
      <c r="E4" s="28"/>
      <c r="F4" s="28"/>
      <c r="G4" s="28"/>
      <c r="H4" s="29"/>
      <c r="I4" s="28"/>
      <c r="J4" s="28"/>
      <c r="K4" s="6"/>
      <c r="L4" s="6" t="s">
        <v>324</v>
      </c>
      <c r="M4" s="551"/>
      <c r="N4" s="5"/>
      <c r="O4" s="28"/>
      <c r="P4" s="28"/>
      <c r="Q4" s="28"/>
      <c r="R4" s="28"/>
      <c r="S4" s="6" t="s">
        <v>325</v>
      </c>
      <c r="V4" s="35">
        <v>4803.7190511332074</v>
      </c>
    </row>
    <row r="5" spans="1:32" ht="15.75" thickTop="1">
      <c r="A5" s="550"/>
      <c r="V5" s="35">
        <f>V3/V4</f>
        <v>0.38093794863637137</v>
      </c>
    </row>
    <row r="6" spans="1:32" ht="16.5">
      <c r="B6" s="536"/>
      <c r="C6" s="536"/>
      <c r="D6" s="536"/>
      <c r="F6" s="1062"/>
      <c r="G6" s="536"/>
      <c r="H6" s="537" t="s">
        <v>200</v>
      </c>
      <c r="I6" s="538"/>
      <c r="J6" s="538"/>
      <c r="K6" s="538"/>
      <c r="L6" s="539"/>
      <c r="M6" s="550"/>
      <c r="N6" s="536"/>
      <c r="O6" s="537" t="s">
        <v>201</v>
      </c>
      <c r="P6" s="538"/>
      <c r="Q6" s="538"/>
      <c r="R6" s="538"/>
      <c r="S6" s="539"/>
    </row>
    <row r="7" spans="1:32" s="36" customFormat="1">
      <c r="A7" s="540"/>
      <c r="B7" s="540"/>
      <c r="C7" s="540"/>
      <c r="D7" s="540"/>
      <c r="E7" s="540"/>
      <c r="F7" s="981"/>
      <c r="G7" s="540"/>
      <c r="H7" s="864" t="s">
        <v>4</v>
      </c>
      <c r="I7" s="865" t="s">
        <v>5</v>
      </c>
      <c r="J7" s="865" t="s">
        <v>6</v>
      </c>
      <c r="K7" s="865" t="s">
        <v>7</v>
      </c>
      <c r="L7" s="866" t="s">
        <v>8</v>
      </c>
      <c r="M7" s="867"/>
      <c r="N7" s="868"/>
      <c r="O7" s="864" t="str">
        <f>H7</f>
        <v>Year 1</v>
      </c>
      <c r="P7" s="865" t="str">
        <f>I7</f>
        <v>Year 2</v>
      </c>
      <c r="Q7" s="865" t="str">
        <f>J7</f>
        <v>Year 3</v>
      </c>
      <c r="R7" s="865" t="str">
        <f>K7</f>
        <v>Year 4</v>
      </c>
      <c r="S7" s="866" t="str">
        <f>L7</f>
        <v>Year 5</v>
      </c>
      <c r="T7" s="35"/>
    </row>
    <row r="8" spans="1:32" ht="9.9499999999999993" customHeight="1">
      <c r="B8" s="536"/>
      <c r="C8" s="536"/>
      <c r="D8" s="536"/>
      <c r="E8" s="536"/>
      <c r="F8" s="536"/>
      <c r="G8" s="536"/>
      <c r="H8" s="536"/>
      <c r="I8" s="714"/>
      <c r="J8" s="714"/>
      <c r="K8" s="714"/>
      <c r="L8" s="714"/>
      <c r="M8" s="536"/>
      <c r="N8" s="536"/>
      <c r="O8" s="536"/>
      <c r="P8" s="536"/>
      <c r="Q8" s="536"/>
      <c r="R8" s="536"/>
      <c r="S8" s="536"/>
    </row>
    <row r="9" spans="1:32">
      <c r="B9" s="536" t="s">
        <v>472</v>
      </c>
      <c r="C9" s="536"/>
      <c r="D9" s="536"/>
      <c r="E9" s="536"/>
      <c r="F9" s="536"/>
      <c r="G9" s="536"/>
      <c r="H9" s="536"/>
      <c r="I9" s="714"/>
      <c r="J9" s="714"/>
      <c r="K9" s="714"/>
      <c r="L9" s="714"/>
      <c r="M9" s="536"/>
      <c r="N9" s="536"/>
      <c r="O9" s="536"/>
      <c r="P9" s="536"/>
      <c r="Q9" s="536"/>
      <c r="R9" s="536"/>
      <c r="S9" s="536"/>
    </row>
    <row r="10" spans="1:32">
      <c r="C10" s="536" t="s">
        <v>473</v>
      </c>
      <c r="D10" s="536"/>
      <c r="E10" s="536"/>
      <c r="F10" s="536"/>
      <c r="G10" s="536"/>
      <c r="H10" s="808">
        <f>[14]C1!AH10</f>
        <v>0</v>
      </c>
      <c r="I10" s="808">
        <f>[14]C1!AI10</f>
        <v>0</v>
      </c>
      <c r="J10" s="808">
        <f>[14]C1!AJ10</f>
        <v>0</v>
      </c>
      <c r="K10" s="808">
        <f>[14]C1!AK10</f>
        <v>0</v>
      </c>
      <c r="L10" s="808">
        <f>[14]C1!AL10</f>
        <v>0</v>
      </c>
      <c r="M10" s="808"/>
      <c r="N10" s="809"/>
      <c r="O10" s="808">
        <f t="shared" ref="O10:S12" si="0">H10</f>
        <v>0</v>
      </c>
      <c r="P10" s="808">
        <f t="shared" si="0"/>
        <v>0</v>
      </c>
      <c r="Q10" s="808">
        <f t="shared" si="0"/>
        <v>0</v>
      </c>
      <c r="R10" s="808">
        <f t="shared" si="0"/>
        <v>0</v>
      </c>
      <c r="S10" s="808">
        <f t="shared" si="0"/>
        <v>0</v>
      </c>
      <c r="V10" s="546">
        <f t="shared" ref="V10:Z12" si="1">O10</f>
        <v>0</v>
      </c>
      <c r="W10" s="546">
        <f t="shared" si="1"/>
        <v>0</v>
      </c>
      <c r="X10" s="546">
        <f t="shared" si="1"/>
        <v>0</v>
      </c>
      <c r="Y10" s="546">
        <f t="shared" si="1"/>
        <v>0</v>
      </c>
      <c r="Z10" s="546">
        <f t="shared" si="1"/>
        <v>0</v>
      </c>
      <c r="AA10" s="536"/>
      <c r="AB10" s="536" t="b">
        <f t="shared" ref="AB10:AF12" si="2">V10=H10</f>
        <v>1</v>
      </c>
      <c r="AC10" s="536" t="b">
        <f t="shared" si="2"/>
        <v>1</v>
      </c>
      <c r="AD10" s="536" t="b">
        <f t="shared" si="2"/>
        <v>1</v>
      </c>
      <c r="AE10" s="536" t="b">
        <f t="shared" si="2"/>
        <v>1</v>
      </c>
      <c r="AF10" s="536" t="b">
        <f t="shared" si="2"/>
        <v>1</v>
      </c>
    </row>
    <row r="11" spans="1:32">
      <c r="C11" s="536" t="s">
        <v>474</v>
      </c>
      <c r="D11" s="536"/>
      <c r="E11" s="536"/>
      <c r="F11" s="536"/>
      <c r="G11" s="536"/>
      <c r="H11" s="808">
        <f>[14]C1!AH11</f>
        <v>0</v>
      </c>
      <c r="I11" s="808">
        <f>[14]C1!AI11</f>
        <v>0</v>
      </c>
      <c r="J11" s="808">
        <f>[14]C1!AJ11</f>
        <v>0</v>
      </c>
      <c r="K11" s="808">
        <f>[14]C1!AK11</f>
        <v>0</v>
      </c>
      <c r="L11" s="808">
        <f>[14]C1!AL11</f>
        <v>0</v>
      </c>
      <c r="M11" s="808"/>
      <c r="N11" s="809"/>
      <c r="O11" s="808">
        <f t="shared" si="0"/>
        <v>0</v>
      </c>
      <c r="P11" s="808">
        <f t="shared" si="0"/>
        <v>0</v>
      </c>
      <c r="Q11" s="808">
        <f t="shared" si="0"/>
        <v>0</v>
      </c>
      <c r="R11" s="808">
        <f t="shared" si="0"/>
        <v>0</v>
      </c>
      <c r="S11" s="808">
        <f t="shared" si="0"/>
        <v>0</v>
      </c>
      <c r="V11" s="546">
        <f t="shared" si="1"/>
        <v>0</v>
      </c>
      <c r="W11" s="546">
        <f t="shared" si="1"/>
        <v>0</v>
      </c>
      <c r="X11" s="546">
        <f t="shared" si="1"/>
        <v>0</v>
      </c>
      <c r="Y11" s="546">
        <f t="shared" si="1"/>
        <v>0</v>
      </c>
      <c r="Z11" s="546">
        <f t="shared" si="1"/>
        <v>0</v>
      </c>
      <c r="AA11" s="536"/>
      <c r="AB11" s="536" t="b">
        <f t="shared" si="2"/>
        <v>1</v>
      </c>
      <c r="AC11" s="536" t="b">
        <f t="shared" si="2"/>
        <v>1</v>
      </c>
      <c r="AD11" s="536" t="b">
        <f t="shared" si="2"/>
        <v>1</v>
      </c>
      <c r="AE11" s="536" t="b">
        <f t="shared" si="2"/>
        <v>1</v>
      </c>
      <c r="AF11" s="536" t="b">
        <f t="shared" si="2"/>
        <v>1</v>
      </c>
    </row>
    <row r="12" spans="1:32">
      <c r="C12" s="536" t="s">
        <v>475</v>
      </c>
      <c r="D12" s="536"/>
      <c r="E12" s="536"/>
      <c r="F12" s="536"/>
      <c r="G12" s="536"/>
      <c r="H12" s="808">
        <f>[14]C3!AH10</f>
        <v>54.080000000000034</v>
      </c>
      <c r="I12" s="808">
        <f>[14]C3!AI10</f>
        <v>55.702400000000033</v>
      </c>
      <c r="J12" s="808">
        <f>[14]C3!AJ10</f>
        <v>57.373472000000035</v>
      </c>
      <c r="K12" s="808">
        <f>[14]C3!AK10</f>
        <v>59.094676160000034</v>
      </c>
      <c r="L12" s="808">
        <f>[14]C3!AL10</f>
        <v>60.867516444800039</v>
      </c>
      <c r="M12" s="808"/>
      <c r="N12" s="809"/>
      <c r="O12" s="808">
        <f t="shared" si="0"/>
        <v>54.080000000000034</v>
      </c>
      <c r="P12" s="808">
        <f t="shared" si="0"/>
        <v>55.702400000000033</v>
      </c>
      <c r="Q12" s="808">
        <f t="shared" si="0"/>
        <v>57.373472000000035</v>
      </c>
      <c r="R12" s="808">
        <f t="shared" si="0"/>
        <v>59.094676160000034</v>
      </c>
      <c r="S12" s="808">
        <f t="shared" si="0"/>
        <v>60.867516444800039</v>
      </c>
      <c r="V12" s="546">
        <f t="shared" si="1"/>
        <v>54.080000000000034</v>
      </c>
      <c r="W12" s="546">
        <f t="shared" si="1"/>
        <v>55.702400000000033</v>
      </c>
      <c r="X12" s="546">
        <f t="shared" si="1"/>
        <v>57.373472000000035</v>
      </c>
      <c r="Y12" s="546">
        <f t="shared" si="1"/>
        <v>59.094676160000034</v>
      </c>
      <c r="Z12" s="546">
        <f t="shared" si="1"/>
        <v>60.867516444800039</v>
      </c>
      <c r="AA12" s="536"/>
      <c r="AB12" s="536" t="b">
        <f t="shared" si="2"/>
        <v>1</v>
      </c>
      <c r="AC12" s="536" t="b">
        <f t="shared" si="2"/>
        <v>1</v>
      </c>
      <c r="AD12" s="536" t="b">
        <f t="shared" si="2"/>
        <v>1</v>
      </c>
      <c r="AE12" s="536" t="b">
        <f t="shared" si="2"/>
        <v>1</v>
      </c>
      <c r="AF12" s="536" t="b">
        <f t="shared" si="2"/>
        <v>1</v>
      </c>
    </row>
    <row r="13" spans="1:32" ht="16.5">
      <c r="C13" s="536" t="s">
        <v>483</v>
      </c>
      <c r="D13" s="536"/>
      <c r="E13" s="536"/>
      <c r="F13" s="536"/>
      <c r="G13" s="536"/>
      <c r="H13" s="984">
        <f>[14]C3!AH11</f>
        <v>6.2400000000000029</v>
      </c>
      <c r="I13" s="984">
        <f>[14]C3!AI11</f>
        <v>6.4272000000000027</v>
      </c>
      <c r="J13" s="984">
        <f>[14]C3!AJ11</f>
        <v>6.6200160000000032</v>
      </c>
      <c r="K13" s="984">
        <f>[14]C3!AK11</f>
        <v>6.8186164800000038</v>
      </c>
      <c r="L13" s="984">
        <f>[14]C3!AL11</f>
        <v>7.0231749744000043</v>
      </c>
      <c r="M13" s="808"/>
      <c r="N13" s="809"/>
      <c r="O13" s="984">
        <f t="shared" ref="O13:S14" si="3">H13</f>
        <v>6.2400000000000029</v>
      </c>
      <c r="P13" s="984">
        <f t="shared" si="3"/>
        <v>6.4272000000000027</v>
      </c>
      <c r="Q13" s="984">
        <f t="shared" si="3"/>
        <v>6.6200160000000032</v>
      </c>
      <c r="R13" s="984">
        <f t="shared" si="3"/>
        <v>6.8186164800000038</v>
      </c>
      <c r="S13" s="984">
        <f t="shared" si="3"/>
        <v>7.0231749744000043</v>
      </c>
      <c r="V13" s="546"/>
      <c r="W13" s="546"/>
      <c r="X13" s="546"/>
      <c r="Y13" s="546"/>
      <c r="Z13" s="546"/>
      <c r="AA13" s="536"/>
      <c r="AB13" s="536"/>
      <c r="AC13" s="536"/>
      <c r="AD13" s="536"/>
      <c r="AE13" s="536"/>
      <c r="AF13" s="536"/>
    </row>
    <row r="14" spans="1:32">
      <c r="B14" s="536" t="s">
        <v>476</v>
      </c>
      <c r="C14" s="536"/>
      <c r="D14" s="536"/>
      <c r="E14" s="536"/>
      <c r="F14" s="536"/>
      <c r="G14" s="536"/>
      <c r="H14" s="808">
        <f>SUM(H10:H13)</f>
        <v>60.320000000000036</v>
      </c>
      <c r="I14" s="808">
        <f>SUM(I10:I13)</f>
        <v>62.129600000000039</v>
      </c>
      <c r="J14" s="808">
        <f>SUM(J10:J13)</f>
        <v>63.993488000000042</v>
      </c>
      <c r="K14" s="808">
        <f>SUM(K10:K13)</f>
        <v>65.913292640000037</v>
      </c>
      <c r="L14" s="808">
        <f>SUM(L10:L13)</f>
        <v>67.890691419200039</v>
      </c>
      <c r="M14" s="808"/>
      <c r="N14" s="809"/>
      <c r="O14" s="808">
        <f t="shared" si="3"/>
        <v>60.320000000000036</v>
      </c>
      <c r="P14" s="808">
        <f t="shared" si="3"/>
        <v>62.129600000000039</v>
      </c>
      <c r="Q14" s="808">
        <f t="shared" si="3"/>
        <v>63.993488000000042</v>
      </c>
      <c r="R14" s="808">
        <f t="shared" si="3"/>
        <v>65.913292640000037</v>
      </c>
      <c r="S14" s="808">
        <f t="shared" si="3"/>
        <v>67.890691419200039</v>
      </c>
      <c r="V14" s="546"/>
      <c r="W14" s="542"/>
      <c r="X14" s="542"/>
      <c r="Y14" s="542"/>
      <c r="Z14" s="542"/>
      <c r="AA14" s="536"/>
      <c r="AB14" s="536"/>
      <c r="AC14" s="536"/>
      <c r="AD14" s="536"/>
      <c r="AE14" s="536"/>
      <c r="AF14" s="536"/>
    </row>
    <row r="15" spans="1:32">
      <c r="B15" s="536"/>
      <c r="C15" s="536"/>
      <c r="D15" s="536"/>
      <c r="E15" s="536"/>
      <c r="F15" s="536"/>
      <c r="G15" s="536"/>
      <c r="H15" s="536"/>
      <c r="I15" s="714"/>
      <c r="J15" s="714"/>
      <c r="K15" s="714"/>
      <c r="L15" s="714"/>
      <c r="M15" s="536"/>
      <c r="N15" s="536"/>
      <c r="O15" s="536"/>
      <c r="P15" s="536"/>
      <c r="Q15" s="536"/>
      <c r="R15" s="536"/>
      <c r="S15" s="536"/>
    </row>
    <row r="16" spans="1:32">
      <c r="B16" s="536" t="s">
        <v>466</v>
      </c>
      <c r="C16" s="536"/>
      <c r="D16" s="536"/>
      <c r="E16" s="536"/>
      <c r="F16" s="536"/>
      <c r="G16" s="536"/>
      <c r="H16" s="808">
        <f>[14]ApndxA1!J9</f>
        <v>59.160381718422364</v>
      </c>
      <c r="I16" s="808">
        <f>[14]ApndxA1!K9</f>
        <v>61.224800000000037</v>
      </c>
      <c r="J16" s="808">
        <f>[14]ApndxA1!L9</f>
        <v>63.061544000000033</v>
      </c>
      <c r="K16" s="808">
        <f>[14]ApndxA1!M9</f>
        <v>64.95339032000004</v>
      </c>
      <c r="L16" s="808">
        <f>[14]ApndxA1!N9</f>
        <v>66.901992029600038</v>
      </c>
      <c r="M16" s="808"/>
      <c r="N16" s="809"/>
      <c r="O16" s="808">
        <f t="shared" ref="O16:S17" si="4">H16</f>
        <v>59.160381718422364</v>
      </c>
      <c r="P16" s="808">
        <f t="shared" si="4"/>
        <v>61.224800000000037</v>
      </c>
      <c r="Q16" s="808">
        <f t="shared" si="4"/>
        <v>63.061544000000033</v>
      </c>
      <c r="R16" s="808">
        <f t="shared" si="4"/>
        <v>64.95339032000004</v>
      </c>
      <c r="S16" s="808">
        <f t="shared" si="4"/>
        <v>66.901992029600038</v>
      </c>
      <c r="V16" s="546">
        <f>O16</f>
        <v>59.160381718422364</v>
      </c>
      <c r="W16" s="546">
        <f t="shared" ref="W16:Z17" si="5">P16</f>
        <v>61.224800000000037</v>
      </c>
      <c r="X16" s="546">
        <f t="shared" si="5"/>
        <v>63.061544000000033</v>
      </c>
      <c r="Y16" s="546">
        <f t="shared" si="5"/>
        <v>64.95339032000004</v>
      </c>
      <c r="Z16" s="546">
        <f t="shared" si="5"/>
        <v>66.901992029600038</v>
      </c>
      <c r="AA16" s="536"/>
      <c r="AB16" s="536" t="b">
        <f>V16=H16</f>
        <v>1</v>
      </c>
      <c r="AC16" s="536" t="b">
        <f t="shared" ref="AC16:AF49" si="6">W16=I16</f>
        <v>1</v>
      </c>
      <c r="AD16" s="536" t="b">
        <f t="shared" si="6"/>
        <v>1</v>
      </c>
      <c r="AE16" s="536" t="b">
        <f t="shared" si="6"/>
        <v>1</v>
      </c>
      <c r="AF16" s="536" t="b">
        <f t="shared" si="6"/>
        <v>1</v>
      </c>
    </row>
    <row r="17" spans="2:32">
      <c r="B17" s="536" t="s">
        <v>467</v>
      </c>
      <c r="C17" s="536"/>
      <c r="D17" s="536"/>
      <c r="E17" s="536"/>
      <c r="F17" s="536"/>
      <c r="G17" s="536"/>
      <c r="H17" s="808">
        <f>[14]ApndxA1!J10</f>
        <v>9163.2354854031037</v>
      </c>
      <c r="I17" s="808">
        <f>[14]ApndxA1!K10</f>
        <v>9482.9891838241674</v>
      </c>
      <c r="J17" s="808">
        <f>[14]ApndxA1!L10</f>
        <v>9767.4788593388912</v>
      </c>
      <c r="K17" s="808">
        <f>[14]ApndxA1!M10</f>
        <v>10060.503225119059</v>
      </c>
      <c r="L17" s="808">
        <f>[14]ApndxA1!N10</f>
        <v>10362.31832187263</v>
      </c>
      <c r="M17" s="808"/>
      <c r="N17" s="809"/>
      <c r="O17" s="808">
        <f t="shared" si="4"/>
        <v>9163.2354854031037</v>
      </c>
      <c r="P17" s="808">
        <f t="shared" si="4"/>
        <v>9482.9891838241674</v>
      </c>
      <c r="Q17" s="808">
        <f t="shared" si="4"/>
        <v>9767.4788593388912</v>
      </c>
      <c r="R17" s="808">
        <f t="shared" si="4"/>
        <v>10060.503225119059</v>
      </c>
      <c r="S17" s="808">
        <f t="shared" si="4"/>
        <v>10362.31832187263</v>
      </c>
      <c r="V17" s="546">
        <f>O17</f>
        <v>9163.2354854031037</v>
      </c>
      <c r="W17" s="546">
        <f t="shared" si="5"/>
        <v>9482.9891838241674</v>
      </c>
      <c r="X17" s="546">
        <f t="shared" si="5"/>
        <v>9767.4788593388912</v>
      </c>
      <c r="Y17" s="546">
        <f t="shared" si="5"/>
        <v>10060.503225119059</v>
      </c>
      <c r="Z17" s="546">
        <f t="shared" si="5"/>
        <v>10362.31832187263</v>
      </c>
      <c r="AA17" s="536"/>
      <c r="AB17" s="536" t="b">
        <f t="shared" ref="AB17:AB49" si="7">V17=H17</f>
        <v>1</v>
      </c>
      <c r="AC17" s="536" t="b">
        <f t="shared" si="6"/>
        <v>1</v>
      </c>
      <c r="AD17" s="536" t="b">
        <f t="shared" si="6"/>
        <v>1</v>
      </c>
      <c r="AE17" s="536" t="b">
        <f t="shared" si="6"/>
        <v>1</v>
      </c>
      <c r="AF17" s="536" t="b">
        <f t="shared" si="6"/>
        <v>1</v>
      </c>
    </row>
    <row r="18" spans="2:32" ht="9.9499999999999993" customHeight="1">
      <c r="B18" s="536"/>
      <c r="C18" s="536"/>
      <c r="D18" s="536"/>
      <c r="E18" s="536"/>
      <c r="F18" s="536"/>
      <c r="G18" s="536"/>
      <c r="H18" s="809"/>
      <c r="I18" s="809"/>
      <c r="J18" s="809"/>
      <c r="K18" s="809"/>
      <c r="L18" s="809"/>
      <c r="M18" s="809"/>
      <c r="N18" s="809"/>
      <c r="O18" s="809"/>
      <c r="P18" s="809"/>
      <c r="Q18" s="809"/>
      <c r="R18" s="809"/>
      <c r="S18" s="809"/>
      <c r="V18" s="536"/>
      <c r="W18" s="536"/>
      <c r="X18" s="536"/>
      <c r="Y18" s="536"/>
      <c r="Z18" s="536"/>
      <c r="AA18" s="536"/>
      <c r="AB18" s="536" t="b">
        <f t="shared" si="7"/>
        <v>1</v>
      </c>
      <c r="AC18" s="536" t="b">
        <f t="shared" si="6"/>
        <v>1</v>
      </c>
      <c r="AD18" s="536" t="b">
        <f t="shared" si="6"/>
        <v>1</v>
      </c>
      <c r="AE18" s="536" t="b">
        <f t="shared" si="6"/>
        <v>1</v>
      </c>
      <c r="AF18" s="536" t="b">
        <f t="shared" si="6"/>
        <v>1</v>
      </c>
    </row>
    <row r="19" spans="2:32">
      <c r="B19" s="536" t="s">
        <v>86</v>
      </c>
      <c r="C19" s="536"/>
      <c r="D19" s="536"/>
      <c r="E19" s="536"/>
      <c r="F19" s="536"/>
      <c r="G19" s="536"/>
      <c r="H19" s="809"/>
      <c r="I19" s="809"/>
      <c r="J19" s="809"/>
      <c r="K19" s="809"/>
      <c r="L19" s="809"/>
      <c r="M19" s="809"/>
      <c r="N19" s="809"/>
      <c r="O19" s="809"/>
      <c r="P19" s="809"/>
      <c r="Q19" s="809"/>
      <c r="R19" s="809"/>
      <c r="S19" s="809"/>
      <c r="V19" s="536"/>
      <c r="W19" s="536"/>
      <c r="X19" s="536"/>
      <c r="Y19" s="536"/>
      <c r="Z19" s="536"/>
      <c r="AA19" s="536"/>
      <c r="AB19" s="536" t="b">
        <f t="shared" si="7"/>
        <v>1</v>
      </c>
      <c r="AC19" s="536" t="b">
        <f t="shared" si="6"/>
        <v>1</v>
      </c>
      <c r="AD19" s="536" t="b">
        <f t="shared" si="6"/>
        <v>1</v>
      </c>
      <c r="AE19" s="536" t="b">
        <f t="shared" si="6"/>
        <v>1</v>
      </c>
      <c r="AF19" s="536" t="b">
        <f t="shared" si="6"/>
        <v>1</v>
      </c>
    </row>
    <row r="20" spans="2:32">
      <c r="B20" s="536"/>
      <c r="C20" s="542" t="s">
        <v>242</v>
      </c>
      <c r="D20" s="536"/>
      <c r="E20" s="536"/>
      <c r="F20" s="536"/>
      <c r="G20" s="536"/>
      <c r="H20" s="810">
        <f>[14]ApndxA1!J13</f>
        <v>0</v>
      </c>
      <c r="I20" s="810">
        <f>[14]ApndxA1!K13</f>
        <v>0</v>
      </c>
      <c r="J20" s="810">
        <f>[14]ApndxA1!L13</f>
        <v>0</v>
      </c>
      <c r="K20" s="810">
        <f>[14]ApndxA1!M13</f>
        <v>0</v>
      </c>
      <c r="L20" s="810">
        <f>[14]ApndxA1!N13</f>
        <v>0</v>
      </c>
      <c r="M20" s="810"/>
      <c r="N20" s="810"/>
      <c r="O20" s="810">
        <f>H20/O$17*1000</f>
        <v>0</v>
      </c>
      <c r="P20" s="810">
        <f>I20/P$17*1000</f>
        <v>0</v>
      </c>
      <c r="Q20" s="810">
        <f>J20/Q$17*1000</f>
        <v>0</v>
      </c>
      <c r="R20" s="810">
        <f>K20/R$17*1000</f>
        <v>0</v>
      </c>
      <c r="S20" s="810">
        <f>L20/S$17*1000</f>
        <v>0</v>
      </c>
      <c r="U20" s="404"/>
      <c r="V20" s="541">
        <f>O20*O$17/1000</f>
        <v>0</v>
      </c>
      <c r="W20" s="541">
        <f t="shared" ref="W20:Z49" si="8">P20*P$17/1000</f>
        <v>0</v>
      </c>
      <c r="X20" s="541">
        <f t="shared" si="8"/>
        <v>0</v>
      </c>
      <c r="Y20" s="541">
        <f t="shared" si="8"/>
        <v>0</v>
      </c>
      <c r="Z20" s="541">
        <f t="shared" si="8"/>
        <v>0</v>
      </c>
      <c r="AA20" s="765"/>
      <c r="AB20" s="536" t="b">
        <f t="shared" si="7"/>
        <v>1</v>
      </c>
      <c r="AC20" s="536" t="b">
        <f t="shared" si="6"/>
        <v>1</v>
      </c>
      <c r="AD20" s="536" t="b">
        <f t="shared" si="6"/>
        <v>1</v>
      </c>
      <c r="AE20" s="536" t="b">
        <f t="shared" si="6"/>
        <v>1</v>
      </c>
      <c r="AF20" s="536" t="b">
        <f t="shared" si="6"/>
        <v>1</v>
      </c>
    </row>
    <row r="21" spans="2:32">
      <c r="B21" s="536"/>
      <c r="C21" s="542" t="s">
        <v>243</v>
      </c>
      <c r="D21" s="536"/>
      <c r="E21" s="536"/>
      <c r="F21" s="536"/>
      <c r="G21" s="536"/>
      <c r="H21" s="811">
        <f>[14]ApndxA1!J14</f>
        <v>3569.5028347216726</v>
      </c>
      <c r="I21" s="811">
        <f>[14]ApndxA1!K14</f>
        <v>3731.0022639371573</v>
      </c>
      <c r="J21" s="811">
        <f>[14]ApndxA1!L14</f>
        <v>3881.3616551738246</v>
      </c>
      <c r="K21" s="811">
        <f>[14]ApndxA1!M14</f>
        <v>4037.7805298773301</v>
      </c>
      <c r="L21" s="811">
        <f>[14]ApndxA1!N14</f>
        <v>4200.5030852313857</v>
      </c>
      <c r="M21" s="811"/>
      <c r="N21" s="812"/>
      <c r="O21" s="811">
        <f>H21/O$17*1000</f>
        <v>389.54612051691095</v>
      </c>
      <c r="P21" s="811">
        <f t="shared" ref="P21:S22" si="9">I21/P$17*1000</f>
        <v>393.44158172208006</v>
      </c>
      <c r="Q21" s="811">
        <f t="shared" si="9"/>
        <v>397.37599753930084</v>
      </c>
      <c r="R21" s="811">
        <f t="shared" si="9"/>
        <v>401.34975751469386</v>
      </c>
      <c r="S21" s="811">
        <f t="shared" si="9"/>
        <v>405.36325508984078</v>
      </c>
      <c r="U21" s="404"/>
      <c r="V21" s="541">
        <f t="shared" ref="V21:V49" si="10">O21*O$17/1000</f>
        <v>3569.5028347216726</v>
      </c>
      <c r="W21" s="541">
        <f t="shared" si="8"/>
        <v>3731.0022639371577</v>
      </c>
      <c r="X21" s="541">
        <f t="shared" si="8"/>
        <v>3881.3616551738241</v>
      </c>
      <c r="Y21" s="541">
        <f t="shared" si="8"/>
        <v>4037.7805298773296</v>
      </c>
      <c r="Z21" s="541">
        <f t="shared" si="8"/>
        <v>4200.5030852313857</v>
      </c>
      <c r="AA21" s="536"/>
      <c r="AB21" s="536" t="b">
        <f t="shared" si="7"/>
        <v>1</v>
      </c>
      <c r="AC21" s="536" t="b">
        <f t="shared" si="6"/>
        <v>1</v>
      </c>
      <c r="AD21" s="536" t="b">
        <f t="shared" si="6"/>
        <v>1</v>
      </c>
      <c r="AE21" s="536" t="b">
        <f t="shared" si="6"/>
        <v>1</v>
      </c>
      <c r="AF21" s="536" t="b">
        <f t="shared" si="6"/>
        <v>1</v>
      </c>
    </row>
    <row r="22" spans="2:32" ht="16.5">
      <c r="B22" s="536"/>
      <c r="C22" s="542" t="s">
        <v>244</v>
      </c>
      <c r="D22" s="536"/>
      <c r="E22" s="536"/>
      <c r="F22" s="536"/>
      <c r="G22" s="536"/>
      <c r="H22" s="813">
        <f>[14]ApndxA1!J15</f>
        <v>0</v>
      </c>
      <c r="I22" s="813">
        <f>[14]ApndxA1!K15</f>
        <v>0</v>
      </c>
      <c r="J22" s="813">
        <f>[14]ApndxA1!L15</f>
        <v>0</v>
      </c>
      <c r="K22" s="813">
        <f>[14]ApndxA1!M15</f>
        <v>0</v>
      </c>
      <c r="L22" s="813">
        <f>[14]ApndxA1!N15</f>
        <v>0</v>
      </c>
      <c r="M22" s="813"/>
      <c r="N22" s="813"/>
      <c r="O22" s="813">
        <f>H22/O$17*1000</f>
        <v>0</v>
      </c>
      <c r="P22" s="813">
        <f t="shared" si="9"/>
        <v>0</v>
      </c>
      <c r="Q22" s="813">
        <f t="shared" si="9"/>
        <v>0</v>
      </c>
      <c r="R22" s="813">
        <f t="shared" si="9"/>
        <v>0</v>
      </c>
      <c r="S22" s="813">
        <f t="shared" si="9"/>
        <v>0</v>
      </c>
      <c r="V22" s="543">
        <f t="shared" si="10"/>
        <v>0</v>
      </c>
      <c r="W22" s="543">
        <f t="shared" si="8"/>
        <v>0</v>
      </c>
      <c r="X22" s="543">
        <f t="shared" si="8"/>
        <v>0</v>
      </c>
      <c r="Y22" s="543">
        <f t="shared" si="8"/>
        <v>0</v>
      </c>
      <c r="Z22" s="543">
        <f t="shared" si="8"/>
        <v>0</v>
      </c>
      <c r="AA22" s="536"/>
      <c r="AB22" s="536" t="b">
        <f t="shared" si="7"/>
        <v>1</v>
      </c>
      <c r="AC22" s="536" t="b">
        <f t="shared" si="6"/>
        <v>1</v>
      </c>
      <c r="AD22" s="536" t="b">
        <f t="shared" si="6"/>
        <v>1</v>
      </c>
      <c r="AE22" s="536" t="b">
        <f t="shared" si="6"/>
        <v>1</v>
      </c>
      <c r="AF22" s="536" t="b">
        <f t="shared" si="6"/>
        <v>1</v>
      </c>
    </row>
    <row r="23" spans="2:32">
      <c r="B23" s="536"/>
      <c r="C23" s="536"/>
      <c r="D23" s="536"/>
      <c r="E23" s="536"/>
      <c r="F23" s="536"/>
      <c r="G23" s="536"/>
      <c r="H23" s="811">
        <f>SUM(H20:H22)</f>
        <v>3569.5028347216726</v>
      </c>
      <c r="I23" s="811">
        <f>SUM(I20:I22)</f>
        <v>3731.0022639371573</v>
      </c>
      <c r="J23" s="811">
        <f>SUM(J20:J22)</f>
        <v>3881.3616551738246</v>
      </c>
      <c r="K23" s="811">
        <f>SUM(K20:K22)</f>
        <v>4037.7805298773301</v>
      </c>
      <c r="L23" s="811">
        <f>SUM(L20:L22)</f>
        <v>4200.5030852313857</v>
      </c>
      <c r="M23" s="811"/>
      <c r="N23" s="812"/>
      <c r="O23" s="811">
        <f>H23/H$17*1000</f>
        <v>389.54612051691095</v>
      </c>
      <c r="P23" s="811">
        <f>I23/I$17*1000</f>
        <v>393.44158172208006</v>
      </c>
      <c r="Q23" s="811">
        <f>J23/J$17*1000</f>
        <v>397.37599753930084</v>
      </c>
      <c r="R23" s="811">
        <f>K23/K$17*1000</f>
        <v>401.34975751469386</v>
      </c>
      <c r="S23" s="811">
        <f>L23/L$17*1000</f>
        <v>405.36325508984078</v>
      </c>
      <c r="V23" s="541">
        <f t="shared" si="10"/>
        <v>3569.5028347216726</v>
      </c>
      <c r="W23" s="541">
        <f t="shared" si="8"/>
        <v>3731.0022639371577</v>
      </c>
      <c r="X23" s="541">
        <f t="shared" si="8"/>
        <v>3881.3616551738241</v>
      </c>
      <c r="Y23" s="541">
        <f t="shared" si="8"/>
        <v>4037.7805298773296</v>
      </c>
      <c r="Z23" s="541">
        <f t="shared" si="8"/>
        <v>4200.5030852313857</v>
      </c>
      <c r="AA23" s="536"/>
      <c r="AB23" s="536" t="b">
        <f t="shared" si="7"/>
        <v>1</v>
      </c>
      <c r="AC23" s="536" t="b">
        <f t="shared" si="6"/>
        <v>1</v>
      </c>
      <c r="AD23" s="536" t="b">
        <f t="shared" si="6"/>
        <v>1</v>
      </c>
      <c r="AE23" s="536" t="b">
        <f t="shared" si="6"/>
        <v>1</v>
      </c>
      <c r="AF23" s="536" t="b">
        <f t="shared" si="6"/>
        <v>1</v>
      </c>
    </row>
    <row r="24" spans="2:32" ht="9.9499999999999993" customHeight="1">
      <c r="B24" s="536"/>
      <c r="C24" s="536"/>
      <c r="D24" s="536"/>
      <c r="E24" s="536"/>
      <c r="F24" s="536"/>
      <c r="G24" s="536"/>
      <c r="H24" s="812"/>
      <c r="I24" s="812"/>
      <c r="J24" s="812"/>
      <c r="K24" s="812"/>
      <c r="L24" s="812"/>
      <c r="M24" s="812"/>
      <c r="N24" s="812"/>
      <c r="O24" s="812"/>
      <c r="P24" s="812"/>
      <c r="Q24" s="812"/>
      <c r="R24" s="812"/>
      <c r="S24" s="812"/>
      <c r="V24" s="536">
        <f t="shared" si="10"/>
        <v>0</v>
      </c>
      <c r="W24" s="536">
        <f t="shared" si="8"/>
        <v>0</v>
      </c>
      <c r="X24" s="536">
        <f t="shared" si="8"/>
        <v>0</v>
      </c>
      <c r="Y24" s="536">
        <f t="shared" si="8"/>
        <v>0</v>
      </c>
      <c r="Z24" s="536">
        <f t="shared" si="8"/>
        <v>0</v>
      </c>
      <c r="AA24" s="536"/>
      <c r="AB24" s="536" t="b">
        <f t="shared" si="7"/>
        <v>1</v>
      </c>
      <c r="AC24" s="536" t="b">
        <f t="shared" si="6"/>
        <v>1</v>
      </c>
      <c r="AD24" s="536" t="b">
        <f t="shared" si="6"/>
        <v>1</v>
      </c>
      <c r="AE24" s="536" t="b">
        <f t="shared" si="6"/>
        <v>1</v>
      </c>
      <c r="AF24" s="536" t="b">
        <f t="shared" si="6"/>
        <v>1</v>
      </c>
    </row>
    <row r="25" spans="2:32">
      <c r="B25" s="536"/>
      <c r="C25" s="536" t="s">
        <v>60</v>
      </c>
      <c r="D25" s="536"/>
      <c r="E25" s="536"/>
      <c r="F25" s="536"/>
      <c r="G25" s="536"/>
      <c r="H25" s="814">
        <f>[14]ApndxA1!J18</f>
        <v>-35.695028347216727</v>
      </c>
      <c r="I25" s="814">
        <f>[14]ApndxA1!K18</f>
        <v>-37.310022639371574</v>
      </c>
      <c r="J25" s="814">
        <f>[14]ApndxA1!L18</f>
        <v>-38.813616551738249</v>
      </c>
      <c r="K25" s="814">
        <f>[14]ApndxA1!M18</f>
        <v>-40.377805298773303</v>
      </c>
      <c r="L25" s="814">
        <f>[14]ApndxA1!N18</f>
        <v>-42.005030852313858</v>
      </c>
      <c r="M25" s="814"/>
      <c r="N25" s="815"/>
      <c r="O25" s="814">
        <f>H25/O$17*1000</f>
        <v>-3.8954612051691098</v>
      </c>
      <c r="P25" s="814">
        <f>I25/P$17*1000</f>
        <v>-3.9344158172208008</v>
      </c>
      <c r="Q25" s="814">
        <f>J25/Q$17*1000</f>
        <v>-3.9737599753930088</v>
      </c>
      <c r="R25" s="814">
        <f>K25/R$17*1000</f>
        <v>-4.0134975751469391</v>
      </c>
      <c r="S25" s="814">
        <f>L25/S$17*1000</f>
        <v>-4.0536325508984081</v>
      </c>
      <c r="V25" s="541">
        <f t="shared" si="10"/>
        <v>-35.695028347216727</v>
      </c>
      <c r="W25" s="541">
        <f t="shared" si="8"/>
        <v>-37.310022639371581</v>
      </c>
      <c r="X25" s="541">
        <f t="shared" si="8"/>
        <v>-38.813616551738249</v>
      </c>
      <c r="Y25" s="541">
        <f t="shared" si="8"/>
        <v>-40.377805298773303</v>
      </c>
      <c r="Z25" s="541">
        <f t="shared" si="8"/>
        <v>-42.005030852313858</v>
      </c>
      <c r="AA25" s="536"/>
      <c r="AB25" s="536" t="b">
        <f t="shared" si="7"/>
        <v>1</v>
      </c>
      <c r="AC25" s="536" t="b">
        <f t="shared" si="6"/>
        <v>1</v>
      </c>
      <c r="AD25" s="536" t="b">
        <f t="shared" si="6"/>
        <v>1</v>
      </c>
      <c r="AE25" s="536" t="b">
        <f t="shared" si="6"/>
        <v>1</v>
      </c>
      <c r="AF25" s="536" t="b">
        <f t="shared" si="6"/>
        <v>1</v>
      </c>
    </row>
    <row r="26" spans="2:32">
      <c r="B26" s="544" t="s">
        <v>202</v>
      </c>
      <c r="C26" s="544"/>
      <c r="D26" s="544"/>
      <c r="E26" s="544"/>
      <c r="F26" s="544"/>
      <c r="G26" s="544"/>
      <c r="H26" s="816">
        <f>H23+H25</f>
        <v>3533.807806374456</v>
      </c>
      <c r="I26" s="816">
        <f>I23+I25</f>
        <v>3693.6922412977856</v>
      </c>
      <c r="J26" s="816">
        <f>J23+J25</f>
        <v>3842.5480386220866</v>
      </c>
      <c r="K26" s="816">
        <f>K23+K25</f>
        <v>3997.4027245785569</v>
      </c>
      <c r="L26" s="816">
        <f>L23+L25</f>
        <v>4158.4980543790716</v>
      </c>
      <c r="M26" s="817"/>
      <c r="N26" s="816"/>
      <c r="O26" s="816">
        <f>O23+O25</f>
        <v>385.65065931174183</v>
      </c>
      <c r="P26" s="816">
        <f>P23+P25</f>
        <v>389.50716590485928</v>
      </c>
      <c r="Q26" s="816">
        <f>Q23+Q25</f>
        <v>393.40223756390782</v>
      </c>
      <c r="R26" s="816">
        <f>R23+R25</f>
        <v>397.33625993954695</v>
      </c>
      <c r="S26" s="816">
        <f>S23+S25</f>
        <v>401.30962253894239</v>
      </c>
      <c r="V26" s="545">
        <f t="shared" si="10"/>
        <v>3533.8078063744556</v>
      </c>
      <c r="W26" s="545">
        <f t="shared" si="8"/>
        <v>3693.692241297786</v>
      </c>
      <c r="X26" s="545">
        <f t="shared" si="8"/>
        <v>3842.5480386220861</v>
      </c>
      <c r="Y26" s="545">
        <f t="shared" si="8"/>
        <v>3997.4027245785564</v>
      </c>
      <c r="Z26" s="545">
        <f t="shared" si="8"/>
        <v>4158.4980543790716</v>
      </c>
      <c r="AA26" s="536"/>
      <c r="AB26" s="536" t="b">
        <f t="shared" si="7"/>
        <v>1</v>
      </c>
      <c r="AC26" s="536" t="b">
        <f t="shared" si="6"/>
        <v>1</v>
      </c>
      <c r="AD26" s="536" t="b">
        <f t="shared" si="6"/>
        <v>1</v>
      </c>
      <c r="AE26" s="536" t="b">
        <f t="shared" si="6"/>
        <v>1</v>
      </c>
      <c r="AF26" s="536" t="b">
        <f t="shared" si="6"/>
        <v>1</v>
      </c>
    </row>
    <row r="27" spans="2:32">
      <c r="B27" s="536"/>
      <c r="C27" s="536"/>
      <c r="D27" s="536"/>
      <c r="E27" s="536"/>
      <c r="F27" s="536"/>
      <c r="G27" s="536"/>
      <c r="H27" s="809"/>
      <c r="I27" s="809"/>
      <c r="J27" s="809"/>
      <c r="K27" s="809"/>
      <c r="L27" s="809"/>
      <c r="M27" s="809"/>
      <c r="N27" s="809"/>
      <c r="O27" s="809"/>
      <c r="P27" s="809"/>
      <c r="Q27" s="809"/>
      <c r="R27" s="809"/>
      <c r="S27" s="809"/>
      <c r="V27" s="536">
        <f t="shared" si="10"/>
        <v>0</v>
      </c>
      <c r="W27" s="536">
        <f t="shared" si="8"/>
        <v>0</v>
      </c>
      <c r="X27" s="536">
        <f t="shared" si="8"/>
        <v>0</v>
      </c>
      <c r="Y27" s="536">
        <f t="shared" si="8"/>
        <v>0</v>
      </c>
      <c r="Z27" s="536">
        <f t="shared" si="8"/>
        <v>0</v>
      </c>
      <c r="AA27" s="536"/>
      <c r="AB27" s="536" t="b">
        <f t="shared" si="7"/>
        <v>1</v>
      </c>
      <c r="AC27" s="536" t="b">
        <f t="shared" si="6"/>
        <v>1</v>
      </c>
      <c r="AD27" s="536" t="b">
        <f t="shared" si="6"/>
        <v>1</v>
      </c>
      <c r="AE27" s="536" t="b">
        <f t="shared" si="6"/>
        <v>1</v>
      </c>
      <c r="AF27" s="536" t="b">
        <f t="shared" si="6"/>
        <v>1</v>
      </c>
    </row>
    <row r="28" spans="2:32">
      <c r="B28" s="536" t="s">
        <v>203</v>
      </c>
      <c r="C28" s="536"/>
      <c r="D28" s="536"/>
      <c r="E28" s="536"/>
      <c r="F28" s="536"/>
      <c r="G28" s="536"/>
      <c r="H28" s="809"/>
      <c r="I28" s="809"/>
      <c r="J28" s="809"/>
      <c r="K28" s="809"/>
      <c r="L28" s="809"/>
      <c r="M28" s="809"/>
      <c r="N28" s="809"/>
      <c r="O28" s="809"/>
      <c r="P28" s="809"/>
      <c r="Q28" s="809"/>
      <c r="R28" s="809"/>
      <c r="S28" s="809"/>
      <c r="V28" s="536">
        <f t="shared" si="10"/>
        <v>0</v>
      </c>
      <c r="W28" s="536">
        <f t="shared" si="8"/>
        <v>0</v>
      </c>
      <c r="X28" s="536">
        <f t="shared" si="8"/>
        <v>0</v>
      </c>
      <c r="Y28" s="536">
        <f t="shared" si="8"/>
        <v>0</v>
      </c>
      <c r="Z28" s="536">
        <f t="shared" si="8"/>
        <v>0</v>
      </c>
      <c r="AA28" s="536"/>
      <c r="AB28" s="536" t="b">
        <f t="shared" si="7"/>
        <v>1</v>
      </c>
      <c r="AC28" s="536" t="b">
        <f t="shared" si="6"/>
        <v>1</v>
      </c>
      <c r="AD28" s="536" t="b">
        <f t="shared" si="6"/>
        <v>1</v>
      </c>
      <c r="AE28" s="536" t="b">
        <f t="shared" si="6"/>
        <v>1</v>
      </c>
      <c r="AF28" s="536" t="b">
        <f t="shared" si="6"/>
        <v>1</v>
      </c>
    </row>
    <row r="29" spans="2:32">
      <c r="B29" s="536"/>
      <c r="C29" s="542" t="s">
        <v>197</v>
      </c>
      <c r="D29" s="536"/>
      <c r="E29" s="536"/>
      <c r="F29" s="536"/>
      <c r="G29" s="536"/>
      <c r="H29" s="814">
        <f>[14]ApndxA1!J22</f>
        <v>970.15440716815681</v>
      </c>
      <c r="I29" s="814">
        <f>[14]ApndxA1!K22</f>
        <v>1026.411283161299</v>
      </c>
      <c r="J29" s="814">
        <f>[14]ApndxA1!L22</f>
        <v>1082.0861141867119</v>
      </c>
      <c r="K29" s="814">
        <f>[14]ApndxA1!M22</f>
        <v>1140.9465339379994</v>
      </c>
      <c r="L29" s="814">
        <f>[14]ApndxA1!N22</f>
        <v>1203.1803945140596</v>
      </c>
      <c r="M29" s="814"/>
      <c r="N29" s="815"/>
      <c r="O29" s="814">
        <f t="shared" ref="O29:S32" si="11">H29/O$17*1000</f>
        <v>105.8746562514516</v>
      </c>
      <c r="P29" s="814">
        <f t="shared" si="11"/>
        <v>108.23710364577072</v>
      </c>
      <c r="Q29" s="814">
        <f t="shared" si="11"/>
        <v>110.78458727884593</v>
      </c>
      <c r="R29" s="814">
        <f t="shared" si="11"/>
        <v>113.40849542091341</v>
      </c>
      <c r="S29" s="814">
        <f t="shared" si="11"/>
        <v>116.11112080724291</v>
      </c>
      <c r="V29" s="541">
        <f t="shared" si="10"/>
        <v>970.15440716815681</v>
      </c>
      <c r="W29" s="541">
        <f t="shared" si="8"/>
        <v>1026.411283161299</v>
      </c>
      <c r="X29" s="541">
        <f t="shared" si="8"/>
        <v>1082.0861141867119</v>
      </c>
      <c r="Y29" s="541">
        <f t="shared" si="8"/>
        <v>1140.9465339379992</v>
      </c>
      <c r="Z29" s="541">
        <f t="shared" si="8"/>
        <v>1203.1803945140596</v>
      </c>
      <c r="AA29" s="536"/>
      <c r="AB29" s="536" t="b">
        <f t="shared" si="7"/>
        <v>1</v>
      </c>
      <c r="AC29" s="536" t="b">
        <f t="shared" si="6"/>
        <v>1</v>
      </c>
      <c r="AD29" s="536" t="b">
        <f t="shared" si="6"/>
        <v>1</v>
      </c>
      <c r="AE29" s="536" t="b">
        <f t="shared" si="6"/>
        <v>1</v>
      </c>
      <c r="AF29" s="536" t="b">
        <f t="shared" si="6"/>
        <v>1</v>
      </c>
    </row>
    <row r="30" spans="2:32">
      <c r="B30" s="536"/>
      <c r="C30" s="542" t="s">
        <v>240</v>
      </c>
      <c r="D30" s="536"/>
      <c r="E30" s="536"/>
      <c r="F30" s="536"/>
      <c r="G30" s="536"/>
      <c r="H30" s="814">
        <f>[14]ApndxA1!J23</f>
        <v>357.25753213856962</v>
      </c>
      <c r="I30" s="814">
        <f>[14]ApndxA1!K23</f>
        <v>384.5131003395972</v>
      </c>
      <c r="J30" s="814">
        <f>[14]ApndxA1!L23</f>
        <v>411.89043308377649</v>
      </c>
      <c r="K30" s="814">
        <f>[14]ApndxA1!M23</f>
        <v>441.21703191934148</v>
      </c>
      <c r="L30" s="814">
        <f>[14]ApndxA1!N23</f>
        <v>472.63168459199858</v>
      </c>
      <c r="M30" s="814"/>
      <c r="N30" s="815"/>
      <c r="O30" s="814">
        <f t="shared" si="11"/>
        <v>38.988142638882898</v>
      </c>
      <c r="P30" s="814">
        <f t="shared" si="11"/>
        <v>40.547668344438215</v>
      </c>
      <c r="Q30" s="814">
        <f t="shared" si="11"/>
        <v>42.16957507821575</v>
      </c>
      <c r="R30" s="814">
        <f t="shared" si="11"/>
        <v>43.856358081344389</v>
      </c>
      <c r="S30" s="814">
        <f t="shared" si="11"/>
        <v>45.610612404598164</v>
      </c>
      <c r="V30" s="541">
        <f t="shared" si="10"/>
        <v>357.25753213856956</v>
      </c>
      <c r="W30" s="541">
        <f t="shared" si="8"/>
        <v>384.51310033959714</v>
      </c>
      <c r="X30" s="541">
        <f t="shared" si="8"/>
        <v>411.89043308377649</v>
      </c>
      <c r="Y30" s="541">
        <f t="shared" si="8"/>
        <v>441.21703191934154</v>
      </c>
      <c r="Z30" s="541">
        <f t="shared" si="8"/>
        <v>472.63168459199863</v>
      </c>
      <c r="AA30" s="536"/>
      <c r="AB30" s="536" t="b">
        <f t="shared" si="7"/>
        <v>1</v>
      </c>
      <c r="AC30" s="536" t="b">
        <f t="shared" si="6"/>
        <v>1</v>
      </c>
      <c r="AD30" s="536" t="b">
        <f t="shared" si="6"/>
        <v>1</v>
      </c>
      <c r="AE30" s="536" t="b">
        <f t="shared" si="6"/>
        <v>0</v>
      </c>
      <c r="AF30" s="536" t="b">
        <f t="shared" si="6"/>
        <v>1</v>
      </c>
    </row>
    <row r="31" spans="2:32">
      <c r="B31" s="536"/>
      <c r="C31" s="542" t="s">
        <v>119</v>
      </c>
      <c r="D31" s="536"/>
      <c r="E31" s="536"/>
      <c r="F31" s="536"/>
      <c r="G31" s="536"/>
      <c r="H31" s="814">
        <f>[14]ApndxA1!J24</f>
        <v>1086.2601282728219</v>
      </c>
      <c r="I31" s="814">
        <f>[14]ApndxA1!K24</f>
        <v>1169.1321025401503</v>
      </c>
      <c r="J31" s="814">
        <f>[14]ApndxA1!L24</f>
        <v>1252.374308241009</v>
      </c>
      <c r="K31" s="814">
        <f>[14]ApndxA1!M24</f>
        <v>1341.5433589877691</v>
      </c>
      <c r="L31" s="814">
        <f>[14]ApndxA1!N24</f>
        <v>1437.0612461476985</v>
      </c>
      <c r="M31" s="814"/>
      <c r="N31" s="815"/>
      <c r="O31" s="814">
        <f t="shared" si="11"/>
        <v>118.54547774126486</v>
      </c>
      <c r="P31" s="814">
        <f t="shared" si="11"/>
        <v>123.28729685091542</v>
      </c>
      <c r="Q31" s="814">
        <f t="shared" si="11"/>
        <v>128.21878872495205</v>
      </c>
      <c r="R31" s="814">
        <f t="shared" si="11"/>
        <v>133.34754027395016</v>
      </c>
      <c r="S31" s="814">
        <f t="shared" si="11"/>
        <v>138.6814418849082</v>
      </c>
      <c r="V31" s="541">
        <f t="shared" si="10"/>
        <v>1086.2601282728219</v>
      </c>
      <c r="W31" s="541">
        <f t="shared" si="8"/>
        <v>1169.1321025401503</v>
      </c>
      <c r="X31" s="541">
        <f t="shared" si="8"/>
        <v>1252.374308241009</v>
      </c>
      <c r="Y31" s="541">
        <f t="shared" si="8"/>
        <v>1341.5433589877691</v>
      </c>
      <c r="Z31" s="541">
        <f t="shared" si="8"/>
        <v>1437.0612461476985</v>
      </c>
      <c r="AA31" s="536"/>
      <c r="AB31" s="536" t="b">
        <f t="shared" si="7"/>
        <v>1</v>
      </c>
      <c r="AC31" s="536" t="b">
        <f t="shared" si="6"/>
        <v>1</v>
      </c>
      <c r="AD31" s="536" t="b">
        <f t="shared" si="6"/>
        <v>1</v>
      </c>
      <c r="AE31" s="536" t="b">
        <f t="shared" si="6"/>
        <v>1</v>
      </c>
      <c r="AF31" s="536" t="b">
        <f t="shared" si="6"/>
        <v>1</v>
      </c>
    </row>
    <row r="32" spans="2:32" ht="16.5">
      <c r="B32" s="536"/>
      <c r="C32" s="542" t="s">
        <v>241</v>
      </c>
      <c r="D32" s="536"/>
      <c r="E32" s="536"/>
      <c r="F32" s="536"/>
      <c r="G32" s="536"/>
      <c r="H32" s="818">
        <f>[14]ApndxA1!J25</f>
        <v>45.62052269890264</v>
      </c>
      <c r="I32" s="818">
        <f>[14]ApndxA1!K25</f>
        <v>49.100962314390387</v>
      </c>
      <c r="J32" s="818">
        <f>[14]ApndxA1!L25</f>
        <v>52.596950831174965</v>
      </c>
      <c r="K32" s="818">
        <f>[14]ApndxA1!M25</f>
        <v>56.341853730354643</v>
      </c>
      <c r="L32" s="818">
        <f>[14]ApndxA1!N25</f>
        <v>60.353393715955882</v>
      </c>
      <c r="M32" s="818"/>
      <c r="N32" s="819"/>
      <c r="O32" s="818">
        <f t="shared" si="11"/>
        <v>4.978647855506436</v>
      </c>
      <c r="P32" s="818">
        <f t="shared" si="11"/>
        <v>5.1777937697266925</v>
      </c>
      <c r="Q32" s="818">
        <f t="shared" si="11"/>
        <v>5.3849055205157583</v>
      </c>
      <c r="R32" s="818">
        <f t="shared" si="11"/>
        <v>5.6003017413363914</v>
      </c>
      <c r="S32" s="818">
        <f t="shared" si="11"/>
        <v>5.824313810989846</v>
      </c>
      <c r="V32" s="543">
        <f t="shared" si="10"/>
        <v>45.62052269890264</v>
      </c>
      <c r="W32" s="543">
        <f t="shared" si="8"/>
        <v>49.100962314390387</v>
      </c>
      <c r="X32" s="543">
        <f t="shared" si="8"/>
        <v>52.596950831174958</v>
      </c>
      <c r="Y32" s="543">
        <f t="shared" si="8"/>
        <v>56.34185373035465</v>
      </c>
      <c r="Z32" s="543">
        <f t="shared" si="8"/>
        <v>60.353393715955882</v>
      </c>
      <c r="AA32" s="536"/>
      <c r="AB32" s="536" t="b">
        <f t="shared" si="7"/>
        <v>1</v>
      </c>
      <c r="AC32" s="536" t="b">
        <f t="shared" si="6"/>
        <v>1</v>
      </c>
      <c r="AD32" s="536" t="b">
        <f t="shared" si="6"/>
        <v>1</v>
      </c>
      <c r="AE32" s="536" t="b">
        <f t="shared" si="6"/>
        <v>0</v>
      </c>
      <c r="AF32" s="536" t="b">
        <f t="shared" si="6"/>
        <v>1</v>
      </c>
    </row>
    <row r="33" spans="2:32">
      <c r="B33" s="536"/>
      <c r="C33" s="536"/>
      <c r="D33" s="536"/>
      <c r="E33" s="536"/>
      <c r="F33" s="536"/>
      <c r="G33" s="536"/>
      <c r="H33" s="820">
        <f>SUM(H29:H32)</f>
        <v>2459.2925902784514</v>
      </c>
      <c r="I33" s="820">
        <f>SUM(I29:I32)</f>
        <v>2629.1574483554373</v>
      </c>
      <c r="J33" s="820">
        <f>SUM(J29:J32)</f>
        <v>2798.9478063426727</v>
      </c>
      <c r="K33" s="820">
        <f>SUM(K29:K32)</f>
        <v>2980.0487785754644</v>
      </c>
      <c r="L33" s="820">
        <f>SUM(L29:L32)</f>
        <v>3173.2267189697127</v>
      </c>
      <c r="M33" s="820"/>
      <c r="N33" s="820"/>
      <c r="O33" s="820">
        <f>'C1'!H33/'C1'!H$17*1000</f>
        <v>268.38692448710583</v>
      </c>
      <c r="P33" s="820">
        <f>'C1'!I33/'C1'!I$17*1000</f>
        <v>277.2498626108511</v>
      </c>
      <c r="Q33" s="820">
        <f>'C1'!J33/'C1'!J$17*1000</f>
        <v>286.55785660252951</v>
      </c>
      <c r="R33" s="820">
        <f>'C1'!K33/'C1'!K$17*1000</f>
        <v>296.21269551754432</v>
      </c>
      <c r="S33" s="820">
        <f>'C1'!L33/'C1'!L$17*1000</f>
        <v>306.22748890773914</v>
      </c>
      <c r="V33" s="546">
        <f t="shared" si="10"/>
        <v>2459.2925902784514</v>
      </c>
      <c r="W33" s="546">
        <f t="shared" si="8"/>
        <v>2629.1574483554373</v>
      </c>
      <c r="X33" s="546">
        <f t="shared" si="8"/>
        <v>2798.9478063426727</v>
      </c>
      <c r="Y33" s="546">
        <f t="shared" si="8"/>
        <v>2980.048778575464</v>
      </c>
      <c r="Z33" s="546">
        <f t="shared" si="8"/>
        <v>3173.2267189697131</v>
      </c>
      <c r="AA33" s="536"/>
      <c r="AB33" s="536" t="b">
        <f t="shared" si="7"/>
        <v>1</v>
      </c>
      <c r="AC33" s="536" t="b">
        <f t="shared" si="6"/>
        <v>1</v>
      </c>
      <c r="AD33" s="536" t="b">
        <f t="shared" si="6"/>
        <v>1</v>
      </c>
      <c r="AE33" s="536" t="b">
        <f t="shared" si="6"/>
        <v>1</v>
      </c>
      <c r="AF33" s="536" t="b">
        <f t="shared" si="6"/>
        <v>1</v>
      </c>
    </row>
    <row r="34" spans="2:32" ht="9.9499999999999993" customHeight="1">
      <c r="B34" s="536"/>
      <c r="C34" s="536"/>
      <c r="D34" s="536"/>
      <c r="E34" s="536"/>
      <c r="F34" s="536"/>
      <c r="G34" s="536"/>
      <c r="H34" s="820"/>
      <c r="I34" s="820"/>
      <c r="J34" s="820"/>
      <c r="K34" s="820"/>
      <c r="L34" s="820"/>
      <c r="M34" s="820"/>
      <c r="N34" s="820"/>
      <c r="O34" s="820"/>
      <c r="P34" s="820"/>
      <c r="Q34" s="820"/>
      <c r="R34" s="820"/>
      <c r="S34" s="820"/>
      <c r="V34" s="536">
        <f t="shared" si="10"/>
        <v>0</v>
      </c>
      <c r="W34" s="536">
        <f t="shared" si="8"/>
        <v>0</v>
      </c>
      <c r="X34" s="536">
        <f t="shared" si="8"/>
        <v>0</v>
      </c>
      <c r="Y34" s="536">
        <f t="shared" si="8"/>
        <v>0</v>
      </c>
      <c r="Z34" s="536">
        <f t="shared" si="8"/>
        <v>0</v>
      </c>
      <c r="AA34" s="536"/>
      <c r="AB34" s="536" t="b">
        <f t="shared" si="7"/>
        <v>1</v>
      </c>
      <c r="AC34" s="536" t="b">
        <f t="shared" si="6"/>
        <v>1</v>
      </c>
      <c r="AD34" s="536" t="b">
        <f t="shared" si="6"/>
        <v>1</v>
      </c>
      <c r="AE34" s="536" t="b">
        <f t="shared" si="6"/>
        <v>1</v>
      </c>
      <c r="AF34" s="536" t="b">
        <f t="shared" si="6"/>
        <v>1</v>
      </c>
    </row>
    <row r="35" spans="2:32">
      <c r="B35" s="536" t="s">
        <v>204</v>
      </c>
      <c r="C35" s="536"/>
      <c r="D35" s="536"/>
      <c r="E35" s="536"/>
      <c r="F35" s="536"/>
      <c r="G35" s="536"/>
      <c r="H35" s="821">
        <f>H26-H33</f>
        <v>1074.5152160960047</v>
      </c>
      <c r="I35" s="821">
        <f>I26-I33</f>
        <v>1064.5347929423483</v>
      </c>
      <c r="J35" s="821">
        <f>J26-J33</f>
        <v>1043.6002322794138</v>
      </c>
      <c r="K35" s="821">
        <f>K26-K33</f>
        <v>1017.3539460030925</v>
      </c>
      <c r="L35" s="821">
        <f>L26-L33</f>
        <v>985.27133540935893</v>
      </c>
      <c r="M35" s="821"/>
      <c r="N35" s="820"/>
      <c r="O35" s="821">
        <f>O26-O33</f>
        <v>117.263734824636</v>
      </c>
      <c r="P35" s="821">
        <f>P26-P33</f>
        <v>112.25730329400818</v>
      </c>
      <c r="Q35" s="821">
        <f>Q26-Q33</f>
        <v>106.84438096137831</v>
      </c>
      <c r="R35" s="821">
        <f>R26-R33</f>
        <v>101.12356442200263</v>
      </c>
      <c r="S35" s="821">
        <f>S26-S33</f>
        <v>95.082133631203249</v>
      </c>
      <c r="V35" s="541">
        <f t="shared" si="10"/>
        <v>1074.5152160960042</v>
      </c>
      <c r="W35" s="541">
        <f t="shared" si="8"/>
        <v>1064.5347929423485</v>
      </c>
      <c r="X35" s="541">
        <f t="shared" si="8"/>
        <v>1043.6002322794134</v>
      </c>
      <c r="Y35" s="541">
        <f t="shared" si="8"/>
        <v>1017.3539460030923</v>
      </c>
      <c r="Z35" s="541">
        <f t="shared" si="8"/>
        <v>985.27133540935915</v>
      </c>
      <c r="AA35" s="536"/>
      <c r="AB35" s="536" t="b">
        <f t="shared" si="7"/>
        <v>1</v>
      </c>
      <c r="AC35" s="536" t="b">
        <f t="shared" si="6"/>
        <v>1</v>
      </c>
      <c r="AD35" s="536" t="b">
        <f t="shared" si="6"/>
        <v>1</v>
      </c>
      <c r="AE35" s="536" t="b">
        <f t="shared" si="6"/>
        <v>1</v>
      </c>
      <c r="AF35" s="536" t="b">
        <f t="shared" si="6"/>
        <v>1</v>
      </c>
    </row>
    <row r="36" spans="2:32" ht="9.9499999999999993" customHeight="1">
      <c r="B36" s="536"/>
      <c r="C36" s="536"/>
      <c r="D36" s="536"/>
      <c r="E36" s="536"/>
      <c r="F36" s="536"/>
      <c r="G36" s="536"/>
      <c r="H36" s="822"/>
      <c r="I36" s="822"/>
      <c r="J36" s="822"/>
      <c r="K36" s="822"/>
      <c r="L36" s="822"/>
      <c r="M36" s="822"/>
      <c r="N36" s="822"/>
      <c r="O36" s="822"/>
      <c r="P36" s="822"/>
      <c r="Q36" s="822"/>
      <c r="R36" s="822"/>
      <c r="S36" s="822"/>
      <c r="V36" s="536">
        <f t="shared" si="10"/>
        <v>0</v>
      </c>
      <c r="W36" s="536">
        <f t="shared" si="8"/>
        <v>0</v>
      </c>
      <c r="X36" s="536">
        <f t="shared" si="8"/>
        <v>0</v>
      </c>
      <c r="Y36" s="536">
        <f t="shared" si="8"/>
        <v>0</v>
      </c>
      <c r="Z36" s="536">
        <f t="shared" si="8"/>
        <v>0</v>
      </c>
      <c r="AA36" s="536"/>
      <c r="AB36" s="536" t="b">
        <f t="shared" si="7"/>
        <v>1</v>
      </c>
      <c r="AC36" s="536" t="b">
        <f t="shared" si="6"/>
        <v>1</v>
      </c>
      <c r="AD36" s="536" t="b">
        <f t="shared" si="6"/>
        <v>1</v>
      </c>
      <c r="AE36" s="536" t="b">
        <f t="shared" si="6"/>
        <v>1</v>
      </c>
      <c r="AF36" s="536" t="b">
        <f t="shared" si="6"/>
        <v>1</v>
      </c>
    </row>
    <row r="37" spans="2:32">
      <c r="B37" s="536" t="s">
        <v>205</v>
      </c>
      <c r="C37" s="536"/>
      <c r="D37" s="536"/>
      <c r="E37" s="536"/>
      <c r="F37" s="536"/>
      <c r="G37" s="536"/>
      <c r="H37" s="822"/>
      <c r="I37" s="822"/>
      <c r="J37" s="822"/>
      <c r="K37" s="822"/>
      <c r="L37" s="965"/>
      <c r="M37" s="822"/>
      <c r="N37" s="822"/>
      <c r="O37" s="822"/>
      <c r="P37" s="822"/>
      <c r="Q37" s="822"/>
      <c r="R37" s="822"/>
      <c r="S37" s="822"/>
      <c r="V37" s="536">
        <f t="shared" si="10"/>
        <v>0</v>
      </c>
      <c r="W37" s="536">
        <f t="shared" si="8"/>
        <v>0</v>
      </c>
      <c r="X37" s="536">
        <f t="shared" si="8"/>
        <v>0</v>
      </c>
      <c r="Y37" s="536">
        <f t="shared" si="8"/>
        <v>0</v>
      </c>
      <c r="Z37" s="536">
        <f t="shared" si="8"/>
        <v>0</v>
      </c>
      <c r="AA37" s="536"/>
      <c r="AB37" s="536" t="b">
        <f t="shared" si="7"/>
        <v>1</v>
      </c>
      <c r="AC37" s="536" t="b">
        <f t="shared" si="6"/>
        <v>1</v>
      </c>
      <c r="AD37" s="536" t="b">
        <f t="shared" si="6"/>
        <v>1</v>
      </c>
      <c r="AE37" s="536" t="b">
        <f t="shared" si="6"/>
        <v>1</v>
      </c>
      <c r="AF37" s="536" t="b">
        <f t="shared" si="6"/>
        <v>1</v>
      </c>
    </row>
    <row r="38" spans="2:32">
      <c r="B38" s="536"/>
      <c r="C38" s="542" t="s">
        <v>206</v>
      </c>
      <c r="D38" s="536"/>
      <c r="E38" s="536"/>
      <c r="F38" s="536"/>
      <c r="G38" s="536"/>
      <c r="H38" s="814">
        <f>[14]ApndxA1!J31</f>
        <v>218.66744999999995</v>
      </c>
      <c r="I38" s="814">
        <f>[14]ApndxA1!K31</f>
        <v>224.13413624999993</v>
      </c>
      <c r="J38" s="814">
        <f>[14]ApndxA1!L31</f>
        <v>229.73748965624992</v>
      </c>
      <c r="K38" s="814">
        <f>[14]ApndxA1!M31</f>
        <v>235.48092689765616</v>
      </c>
      <c r="L38" s="814">
        <f>[14]ApndxA1!N31</f>
        <v>241.36795007009749</v>
      </c>
      <c r="M38" s="814"/>
      <c r="N38" s="815"/>
      <c r="O38" s="814">
        <f t="shared" ref="O38:S42" si="12">H38/O$17*1000</f>
        <v>23.863563295774068</v>
      </c>
      <c r="P38" s="814">
        <f t="shared" si="12"/>
        <v>23.635388789889376</v>
      </c>
      <c r="Q38" s="814">
        <f t="shared" si="12"/>
        <v>23.52065389285108</v>
      </c>
      <c r="R38" s="814">
        <f t="shared" si="12"/>
        <v>23.406475961332383</v>
      </c>
      <c r="S38" s="814">
        <f t="shared" si="12"/>
        <v>23.292852291617169</v>
      </c>
      <c r="V38" s="541">
        <f t="shared" si="10"/>
        <v>218.66744999999997</v>
      </c>
      <c r="W38" s="541">
        <f t="shared" si="8"/>
        <v>224.13413624999993</v>
      </c>
      <c r="X38" s="541">
        <f t="shared" si="8"/>
        <v>229.73748965624989</v>
      </c>
      <c r="Y38" s="541">
        <f t="shared" si="8"/>
        <v>235.48092689765616</v>
      </c>
      <c r="Z38" s="541">
        <f t="shared" si="8"/>
        <v>241.36795007009746</v>
      </c>
      <c r="AA38" s="536"/>
      <c r="AB38" s="536" t="b">
        <f t="shared" si="7"/>
        <v>1</v>
      </c>
      <c r="AC38" s="536" t="b">
        <f t="shared" si="6"/>
        <v>1</v>
      </c>
      <c r="AD38" s="536" t="b">
        <f t="shared" si="6"/>
        <v>1</v>
      </c>
      <c r="AE38" s="536" t="b">
        <f t="shared" si="6"/>
        <v>1</v>
      </c>
      <c r="AF38" s="536" t="b">
        <f t="shared" si="6"/>
        <v>1</v>
      </c>
    </row>
    <row r="39" spans="2:32">
      <c r="B39" s="536"/>
      <c r="C39" s="542" t="s">
        <v>198</v>
      </c>
      <c r="D39" s="536"/>
      <c r="E39" s="536"/>
      <c r="F39" s="536"/>
      <c r="G39" s="536"/>
      <c r="H39" s="814">
        <f>[14]ApndxA1!J32</f>
        <v>353.38078063744564</v>
      </c>
      <c r="I39" s="814">
        <f>[14]ApndxA1!K32</f>
        <v>369.36922412977856</v>
      </c>
      <c r="J39" s="814">
        <f>[14]ApndxA1!L32</f>
        <v>384.25480386220869</v>
      </c>
      <c r="K39" s="814">
        <f>[14]ApndxA1!M32</f>
        <v>399.74027245785572</v>
      </c>
      <c r="L39" s="814">
        <f>[14]ApndxA1!N32</f>
        <v>415.84980543790721</v>
      </c>
      <c r="M39" s="814"/>
      <c r="N39" s="815"/>
      <c r="O39" s="814">
        <f t="shared" si="12"/>
        <v>38.565065931174189</v>
      </c>
      <c r="P39" s="814">
        <f t="shared" si="12"/>
        <v>38.950716590485918</v>
      </c>
      <c r="Q39" s="814">
        <f t="shared" si="12"/>
        <v>39.340223756390792</v>
      </c>
      <c r="R39" s="814">
        <f t="shared" si="12"/>
        <v>39.733625993954696</v>
      </c>
      <c r="S39" s="814">
        <f t="shared" si="12"/>
        <v>40.130962253894239</v>
      </c>
      <c r="V39" s="541">
        <f t="shared" si="10"/>
        <v>353.38078063744564</v>
      </c>
      <c r="W39" s="541">
        <f t="shared" si="8"/>
        <v>369.3692241297785</v>
      </c>
      <c r="X39" s="541">
        <f t="shared" si="8"/>
        <v>384.25480386220869</v>
      </c>
      <c r="Y39" s="541">
        <f t="shared" si="8"/>
        <v>399.74027245785567</v>
      </c>
      <c r="Z39" s="541">
        <f t="shared" si="8"/>
        <v>415.84980543790721</v>
      </c>
      <c r="AA39" s="536"/>
      <c r="AB39" s="536" t="b">
        <f t="shared" si="7"/>
        <v>1</v>
      </c>
      <c r="AC39" s="536" t="b">
        <f t="shared" si="6"/>
        <v>1</v>
      </c>
      <c r="AD39" s="536" t="b">
        <f t="shared" si="6"/>
        <v>1</v>
      </c>
      <c r="AE39" s="536" t="b">
        <f t="shared" si="6"/>
        <v>1</v>
      </c>
      <c r="AF39" s="536" t="b">
        <f t="shared" si="6"/>
        <v>1</v>
      </c>
    </row>
    <row r="40" spans="2:32">
      <c r="B40" s="536"/>
      <c r="C40" s="542" t="s">
        <v>199</v>
      </c>
      <c r="D40" s="536"/>
      <c r="E40" s="536"/>
      <c r="F40" s="536"/>
      <c r="G40" s="536"/>
      <c r="H40" s="814">
        <f>[14]ApndxA1!J33</f>
        <v>53.333369999999974</v>
      </c>
      <c r="I40" s="814">
        <f>[14]ApndxA1!K33</f>
        <v>54.329675891845788</v>
      </c>
      <c r="J40" s="814">
        <f>[14]ApndxA1!L33</f>
        <v>55.959566168601164</v>
      </c>
      <c r="K40" s="814">
        <f>[14]ApndxA1!M33</f>
        <v>57.638353153659203</v>
      </c>
      <c r="L40" s="814">
        <f>[14]ApndxA1!N33</f>
        <v>59.36750374826898</v>
      </c>
      <c r="M40" s="814"/>
      <c r="N40" s="815"/>
      <c r="O40" s="814">
        <f t="shared" si="12"/>
        <v>5.8203644427734327</v>
      </c>
      <c r="P40" s="814">
        <f t="shared" si="12"/>
        <v>5.7291719771778205</v>
      </c>
      <c r="Q40" s="814">
        <f t="shared" si="12"/>
        <v>5.7291719771778213</v>
      </c>
      <c r="R40" s="814">
        <f t="shared" si="12"/>
        <v>5.7291719771778213</v>
      </c>
      <c r="S40" s="814">
        <f t="shared" si="12"/>
        <v>5.7291719771778213</v>
      </c>
      <c r="V40" s="541">
        <f t="shared" si="10"/>
        <v>53.333369999999981</v>
      </c>
      <c r="W40" s="541">
        <f t="shared" si="8"/>
        <v>54.329675891845795</v>
      </c>
      <c r="X40" s="541">
        <f t="shared" si="8"/>
        <v>55.959566168601164</v>
      </c>
      <c r="Y40" s="541">
        <f t="shared" si="8"/>
        <v>57.638353153659203</v>
      </c>
      <c r="Z40" s="541">
        <f t="shared" si="8"/>
        <v>59.36750374826898</v>
      </c>
      <c r="AA40" s="536"/>
      <c r="AB40" s="536" t="b">
        <f t="shared" si="7"/>
        <v>1</v>
      </c>
      <c r="AC40" s="536" t="b">
        <f t="shared" si="6"/>
        <v>1</v>
      </c>
      <c r="AD40" s="536" t="b">
        <f t="shared" si="6"/>
        <v>1</v>
      </c>
      <c r="AE40" s="536" t="b">
        <f t="shared" si="6"/>
        <v>1</v>
      </c>
      <c r="AF40" s="536" t="b">
        <f t="shared" si="6"/>
        <v>1</v>
      </c>
    </row>
    <row r="41" spans="2:32">
      <c r="B41" s="536"/>
      <c r="C41" s="542" t="s">
        <v>207</v>
      </c>
      <c r="D41" s="536"/>
      <c r="E41" s="536"/>
      <c r="F41" s="536"/>
      <c r="G41" s="536"/>
      <c r="H41" s="814">
        <f>[14]ApndxA1!J34</f>
        <v>35.338078063744561</v>
      </c>
      <c r="I41" s="814">
        <f>[14]ApndxA1!K34</f>
        <v>36.936922412977857</v>
      </c>
      <c r="J41" s="814">
        <f>[14]ApndxA1!L34</f>
        <v>38.425480386220869</v>
      </c>
      <c r="K41" s="814">
        <f>[14]ApndxA1!M34</f>
        <v>39.974027245785571</v>
      </c>
      <c r="L41" s="814">
        <f>[14]ApndxA1!N34</f>
        <v>41.584980543790714</v>
      </c>
      <c r="M41" s="814"/>
      <c r="N41" s="815"/>
      <c r="O41" s="814">
        <f t="shared" si="12"/>
        <v>3.8565065931174187</v>
      </c>
      <c r="P41" s="814">
        <f t="shared" si="12"/>
        <v>3.8950716590485928</v>
      </c>
      <c r="Q41" s="814">
        <f t="shared" si="12"/>
        <v>3.9340223756390795</v>
      </c>
      <c r="R41" s="814">
        <f t="shared" si="12"/>
        <v>3.97336259939547</v>
      </c>
      <c r="S41" s="814">
        <f t="shared" si="12"/>
        <v>4.0130962253894236</v>
      </c>
      <c r="V41" s="541">
        <f t="shared" si="10"/>
        <v>35.338078063744554</v>
      </c>
      <c r="W41" s="541">
        <f t="shared" si="8"/>
        <v>36.936922412977857</v>
      </c>
      <c r="X41" s="541">
        <f t="shared" si="8"/>
        <v>38.425480386220869</v>
      </c>
      <c r="Y41" s="541">
        <f t="shared" si="8"/>
        <v>39.974027245785578</v>
      </c>
      <c r="Z41" s="541">
        <f t="shared" si="8"/>
        <v>41.584980543790721</v>
      </c>
      <c r="AA41" s="536"/>
      <c r="AB41" s="536" t="b">
        <f t="shared" si="7"/>
        <v>1</v>
      </c>
      <c r="AC41" s="536" t="b">
        <f t="shared" si="6"/>
        <v>1</v>
      </c>
      <c r="AD41" s="536" t="b">
        <f t="shared" si="6"/>
        <v>1</v>
      </c>
      <c r="AE41" s="536" t="b">
        <f t="shared" si="6"/>
        <v>1</v>
      </c>
      <c r="AF41" s="536" t="b">
        <f t="shared" si="6"/>
        <v>1</v>
      </c>
    </row>
    <row r="42" spans="2:32" ht="16.5">
      <c r="B42" s="536"/>
      <c r="C42" s="542" t="s">
        <v>11</v>
      </c>
      <c r="D42" s="536"/>
      <c r="E42" s="536"/>
      <c r="F42" s="536"/>
      <c r="G42" s="536"/>
      <c r="H42" s="818">
        <f>[14]ApndxA1!J35</f>
        <v>12.71645142857143</v>
      </c>
      <c r="I42" s="818">
        <f>[14]ApndxA1!K35</f>
        <v>13.716451428571428</v>
      </c>
      <c r="J42" s="818">
        <f>[14]ApndxA1!L35</f>
        <v>4.4882914285714284</v>
      </c>
      <c r="K42" s="818">
        <f>[14]ApndxA1!M35</f>
        <v>4.4882914285714284</v>
      </c>
      <c r="L42" s="818">
        <f>[14]ApndxA1!N35</f>
        <v>4.4882914285714284</v>
      </c>
      <c r="M42" s="818"/>
      <c r="N42" s="819"/>
      <c r="O42" s="818">
        <f t="shared" si="12"/>
        <v>1.3877687034048778</v>
      </c>
      <c r="P42" s="818">
        <f t="shared" si="12"/>
        <v>1.4464269823241589</v>
      </c>
      <c r="Q42" s="818">
        <f t="shared" si="12"/>
        <v>0.45951381039131489</v>
      </c>
      <c r="R42" s="818">
        <f t="shared" si="12"/>
        <v>0.44612991300127658</v>
      </c>
      <c r="S42" s="818">
        <f t="shared" si="12"/>
        <v>0.43313583786531712</v>
      </c>
      <c r="V42" s="543">
        <f t="shared" si="10"/>
        <v>12.71645142857143</v>
      </c>
      <c r="W42" s="543">
        <f t="shared" si="8"/>
        <v>13.716451428571428</v>
      </c>
      <c r="X42" s="543">
        <f t="shared" si="8"/>
        <v>4.4882914285714275</v>
      </c>
      <c r="Y42" s="543">
        <f t="shared" si="8"/>
        <v>4.4882914285714275</v>
      </c>
      <c r="Z42" s="543">
        <f t="shared" si="8"/>
        <v>4.4882914285714284</v>
      </c>
      <c r="AA42" s="536"/>
      <c r="AB42" s="536" t="b">
        <f t="shared" si="7"/>
        <v>1</v>
      </c>
      <c r="AC42" s="536" t="b">
        <f t="shared" si="6"/>
        <v>1</v>
      </c>
      <c r="AD42" s="536" t="b">
        <f t="shared" si="6"/>
        <v>1</v>
      </c>
      <c r="AE42" s="536" t="b">
        <f t="shared" si="6"/>
        <v>1</v>
      </c>
      <c r="AF42" s="536" t="b">
        <f t="shared" si="6"/>
        <v>1</v>
      </c>
    </row>
    <row r="43" spans="2:32">
      <c r="B43" s="536"/>
      <c r="C43" s="536"/>
      <c r="D43" s="536"/>
      <c r="E43" s="536"/>
      <c r="F43" s="536"/>
      <c r="G43" s="536"/>
      <c r="H43" s="821">
        <f>SUM(H38:H42)</f>
        <v>673.43613012976152</v>
      </c>
      <c r="I43" s="821">
        <f>SUM(I38:I42)</f>
        <v>698.48641011317363</v>
      </c>
      <c r="J43" s="821">
        <f>SUM(J38:J42)</f>
        <v>712.86563150185214</v>
      </c>
      <c r="K43" s="821">
        <f>SUM(K38:K42)</f>
        <v>737.32187118352806</v>
      </c>
      <c r="L43" s="821">
        <f>SUM(L38:L42)</f>
        <v>762.65853122863587</v>
      </c>
      <c r="M43" s="821"/>
      <c r="N43" s="821"/>
      <c r="O43" s="821">
        <f>SUM(O38:O42)</f>
        <v>73.493268966243988</v>
      </c>
      <c r="P43" s="821">
        <f>SUM(P38:P42)</f>
        <v>73.656775998925866</v>
      </c>
      <c r="Q43" s="821">
        <f>SUM(Q38:Q42)</f>
        <v>72.983585812450087</v>
      </c>
      <c r="R43" s="821">
        <f>SUM(R38:R42)</f>
        <v>73.28876644486165</v>
      </c>
      <c r="S43" s="821">
        <f>SUM(S38:S42)</f>
        <v>73.599218585943973</v>
      </c>
      <c r="V43" s="541">
        <f t="shared" si="10"/>
        <v>673.43613012976164</v>
      </c>
      <c r="W43" s="541">
        <f t="shared" si="8"/>
        <v>698.48641011317352</v>
      </c>
      <c r="X43" s="541">
        <f t="shared" si="8"/>
        <v>712.86563150185202</v>
      </c>
      <c r="Y43" s="541">
        <f t="shared" si="8"/>
        <v>737.32187118352806</v>
      </c>
      <c r="Z43" s="541">
        <f t="shared" si="8"/>
        <v>762.65853122863587</v>
      </c>
      <c r="AA43" s="536"/>
      <c r="AB43" s="536" t="b">
        <f t="shared" si="7"/>
        <v>1</v>
      </c>
      <c r="AC43" s="536" t="b">
        <f t="shared" si="6"/>
        <v>1</v>
      </c>
      <c r="AD43" s="536" t="b">
        <f t="shared" si="6"/>
        <v>1</v>
      </c>
      <c r="AE43" s="536" t="b">
        <f t="shared" si="6"/>
        <v>1</v>
      </c>
      <c r="AF43" s="536" t="b">
        <f t="shared" si="6"/>
        <v>1</v>
      </c>
    </row>
    <row r="44" spans="2:32" ht="9.9499999999999993" customHeight="1">
      <c r="B44" s="536"/>
      <c r="C44" s="536"/>
      <c r="D44" s="536"/>
      <c r="E44" s="536"/>
      <c r="F44" s="536"/>
      <c r="G44" s="536"/>
      <c r="H44" s="822"/>
      <c r="I44" s="822"/>
      <c r="J44" s="822"/>
      <c r="K44" s="822"/>
      <c r="L44" s="822"/>
      <c r="M44" s="822"/>
      <c r="N44" s="822"/>
      <c r="O44" s="822"/>
      <c r="P44" s="822"/>
      <c r="Q44" s="822"/>
      <c r="R44" s="822"/>
      <c r="S44" s="822"/>
      <c r="V44" s="536">
        <f t="shared" si="10"/>
        <v>0</v>
      </c>
      <c r="W44" s="536">
        <f t="shared" si="8"/>
        <v>0</v>
      </c>
      <c r="X44" s="536">
        <f t="shared" si="8"/>
        <v>0</v>
      </c>
      <c r="Y44" s="536">
        <f t="shared" si="8"/>
        <v>0</v>
      </c>
      <c r="Z44" s="536">
        <f t="shared" si="8"/>
        <v>0</v>
      </c>
      <c r="AA44" s="536"/>
      <c r="AB44" s="536" t="b">
        <f t="shared" si="7"/>
        <v>1</v>
      </c>
      <c r="AC44" s="536" t="b">
        <f t="shared" si="6"/>
        <v>1</v>
      </c>
      <c r="AD44" s="536" t="b">
        <f t="shared" si="6"/>
        <v>1</v>
      </c>
      <c r="AE44" s="536" t="b">
        <f t="shared" si="6"/>
        <v>1</v>
      </c>
      <c r="AF44" s="536" t="b">
        <f t="shared" si="6"/>
        <v>1</v>
      </c>
    </row>
    <row r="45" spans="2:32">
      <c r="B45" s="536" t="s">
        <v>87</v>
      </c>
      <c r="C45" s="536"/>
      <c r="D45" s="536"/>
      <c r="E45" s="536"/>
      <c r="F45" s="536"/>
      <c r="G45" s="536"/>
      <c r="H45" s="821">
        <f>H35-H43</f>
        <v>401.07908596624316</v>
      </c>
      <c r="I45" s="821">
        <f>I35-I43</f>
        <v>366.04838282917467</v>
      </c>
      <c r="J45" s="821">
        <f>J35-J43</f>
        <v>330.7346007775617</v>
      </c>
      <c r="K45" s="821">
        <f>K35-K43</f>
        <v>280.0320748195644</v>
      </c>
      <c r="L45" s="821">
        <f>L35-L43</f>
        <v>222.61280418072306</v>
      </c>
      <c r="M45" s="821"/>
      <c r="N45" s="820"/>
      <c r="O45" s="821">
        <f>O35-O43</f>
        <v>43.770465858392015</v>
      </c>
      <c r="P45" s="821">
        <f>P35-P43</f>
        <v>38.600527295082316</v>
      </c>
      <c r="Q45" s="821">
        <f>Q35-Q43</f>
        <v>33.860795148928219</v>
      </c>
      <c r="R45" s="821">
        <f>R35-R43</f>
        <v>27.83479797714098</v>
      </c>
      <c r="S45" s="821">
        <f>S35-S43</f>
        <v>21.482915045259276</v>
      </c>
      <c r="V45" s="541">
        <f t="shared" si="10"/>
        <v>401.0790859662427</v>
      </c>
      <c r="W45" s="541">
        <f t="shared" si="8"/>
        <v>366.04838282917518</v>
      </c>
      <c r="X45" s="541">
        <f t="shared" si="8"/>
        <v>330.73460077756124</v>
      </c>
      <c r="Y45" s="541">
        <f t="shared" si="8"/>
        <v>280.03207481956429</v>
      </c>
      <c r="Z45" s="541">
        <f t="shared" si="8"/>
        <v>222.61280418072337</v>
      </c>
      <c r="AA45" s="536"/>
      <c r="AB45" s="536" t="b">
        <f t="shared" si="7"/>
        <v>1</v>
      </c>
      <c r="AC45" s="536" t="b">
        <f t="shared" si="6"/>
        <v>1</v>
      </c>
      <c r="AD45" s="536" t="b">
        <f t="shared" si="6"/>
        <v>0</v>
      </c>
      <c r="AE45" s="536" t="b">
        <f t="shared" si="6"/>
        <v>1</v>
      </c>
      <c r="AF45" s="536" t="b">
        <f t="shared" si="6"/>
        <v>1</v>
      </c>
    </row>
    <row r="46" spans="2:32" ht="9.9499999999999993" customHeight="1">
      <c r="B46" s="536"/>
      <c r="C46" s="536"/>
      <c r="D46" s="536"/>
      <c r="E46" s="536"/>
      <c r="F46" s="536"/>
      <c r="G46" s="536"/>
      <c r="H46" s="822"/>
      <c r="I46" s="822"/>
      <c r="J46" s="822"/>
      <c r="K46" s="822"/>
      <c r="L46" s="822"/>
      <c r="M46" s="822"/>
      <c r="N46" s="822"/>
      <c r="O46" s="822"/>
      <c r="P46" s="822"/>
      <c r="Q46" s="822"/>
      <c r="R46" s="822"/>
      <c r="S46" s="822"/>
      <c r="V46" s="546">
        <f t="shared" si="10"/>
        <v>0</v>
      </c>
      <c r="W46" s="546">
        <f t="shared" si="8"/>
        <v>0</v>
      </c>
      <c r="X46" s="546">
        <f t="shared" si="8"/>
        <v>0</v>
      </c>
      <c r="Y46" s="546">
        <f t="shared" si="8"/>
        <v>0</v>
      </c>
      <c r="Z46" s="546">
        <f t="shared" si="8"/>
        <v>0</v>
      </c>
      <c r="AA46" s="536"/>
      <c r="AB46" s="536" t="b">
        <f t="shared" si="7"/>
        <v>1</v>
      </c>
      <c r="AC46" s="536" t="b">
        <f t="shared" si="6"/>
        <v>1</v>
      </c>
      <c r="AD46" s="536" t="b">
        <f t="shared" si="6"/>
        <v>1</v>
      </c>
      <c r="AE46" s="536" t="b">
        <f t="shared" si="6"/>
        <v>1</v>
      </c>
      <c r="AF46" s="536" t="b">
        <f t="shared" si="6"/>
        <v>1</v>
      </c>
    </row>
    <row r="47" spans="2:32" ht="16.5">
      <c r="B47" s="536"/>
      <c r="C47" s="536" t="s">
        <v>208</v>
      </c>
      <c r="D47" s="536"/>
      <c r="E47" s="536"/>
      <c r="F47" s="536"/>
      <c r="G47" s="536"/>
      <c r="H47" s="813">
        <f>[14]ApndxA1!J40</f>
        <v>0</v>
      </c>
      <c r="I47" s="813">
        <f>[14]ApndxA1!K40</f>
        <v>0</v>
      </c>
      <c r="J47" s="813">
        <f>[14]ApndxA1!L40</f>
        <v>0</v>
      </c>
      <c r="K47" s="813">
        <f>[14]ApndxA1!M40</f>
        <v>0</v>
      </c>
      <c r="L47" s="813">
        <f>[14]ApndxA1!N40</f>
        <v>0</v>
      </c>
      <c r="M47" s="813"/>
      <c r="N47" s="823"/>
      <c r="O47" s="813">
        <f>H47/O$17*1000</f>
        <v>0</v>
      </c>
      <c r="P47" s="813">
        <f>I47/P$17*1000</f>
        <v>0</v>
      </c>
      <c r="Q47" s="813">
        <f>J47/Q$17*1000</f>
        <v>0</v>
      </c>
      <c r="R47" s="813">
        <f>K47/R$17*1000</f>
        <v>0</v>
      </c>
      <c r="S47" s="813">
        <f>L47/S$17*1000</f>
        <v>0</v>
      </c>
      <c r="V47" s="543">
        <f t="shared" si="10"/>
        <v>0</v>
      </c>
      <c r="W47" s="543">
        <f t="shared" si="8"/>
        <v>0</v>
      </c>
      <c r="X47" s="543">
        <f t="shared" si="8"/>
        <v>0</v>
      </c>
      <c r="Y47" s="543">
        <f t="shared" si="8"/>
        <v>0</v>
      </c>
      <c r="Z47" s="543">
        <f t="shared" si="8"/>
        <v>0</v>
      </c>
      <c r="AA47" s="536"/>
      <c r="AB47" s="536" t="b">
        <f t="shared" si="7"/>
        <v>1</v>
      </c>
      <c r="AC47" s="536" t="b">
        <f t="shared" si="6"/>
        <v>1</v>
      </c>
      <c r="AD47" s="536" t="b">
        <f t="shared" si="6"/>
        <v>1</v>
      </c>
      <c r="AE47" s="536" t="b">
        <f t="shared" si="6"/>
        <v>1</v>
      </c>
      <c r="AF47" s="536" t="b">
        <f t="shared" si="6"/>
        <v>1</v>
      </c>
    </row>
    <row r="48" spans="2:32" ht="9.9499999999999993" customHeight="1">
      <c r="B48" s="536"/>
      <c r="C48" s="536"/>
      <c r="D48" s="536"/>
      <c r="E48" s="536"/>
      <c r="F48" s="536"/>
      <c r="G48" s="536"/>
      <c r="H48" s="822"/>
      <c r="I48" s="822"/>
      <c r="J48" s="822"/>
      <c r="K48" s="822"/>
      <c r="L48" s="822"/>
      <c r="M48" s="822"/>
      <c r="N48" s="822"/>
      <c r="O48" s="822"/>
      <c r="P48" s="822"/>
      <c r="Q48" s="822"/>
      <c r="R48" s="822"/>
      <c r="S48" s="822"/>
      <c r="V48" s="536">
        <f t="shared" si="10"/>
        <v>0</v>
      </c>
      <c r="W48" s="536">
        <f t="shared" si="8"/>
        <v>0</v>
      </c>
      <c r="X48" s="536">
        <f t="shared" si="8"/>
        <v>0</v>
      </c>
      <c r="Y48" s="536">
        <f t="shared" si="8"/>
        <v>0</v>
      </c>
      <c r="Z48" s="536">
        <f t="shared" si="8"/>
        <v>0</v>
      </c>
      <c r="AA48" s="536"/>
      <c r="AB48" s="536" t="b">
        <f t="shared" si="7"/>
        <v>1</v>
      </c>
      <c r="AC48" s="536" t="b">
        <f t="shared" si="6"/>
        <v>1</v>
      </c>
      <c r="AD48" s="536" t="b">
        <f t="shared" si="6"/>
        <v>1</v>
      </c>
      <c r="AE48" s="536" t="b">
        <f t="shared" si="6"/>
        <v>1</v>
      </c>
      <c r="AF48" s="536" t="b">
        <f t="shared" si="6"/>
        <v>1</v>
      </c>
    </row>
    <row r="49" spans="1:32" ht="15.75" thickBot="1">
      <c r="B49" s="547" t="s">
        <v>209</v>
      </c>
      <c r="C49" s="547"/>
      <c r="D49" s="547"/>
      <c r="E49" s="547"/>
      <c r="F49" s="547"/>
      <c r="G49" s="547"/>
      <c r="H49" s="824">
        <f>H45-H47</f>
        <v>401.07908596624316</v>
      </c>
      <c r="I49" s="824">
        <f>I45-I47</f>
        <v>366.04838282917467</v>
      </c>
      <c r="J49" s="824">
        <f>J45-J47</f>
        <v>330.7346007775617</v>
      </c>
      <c r="K49" s="824">
        <f>K45-K47</f>
        <v>280.0320748195644</v>
      </c>
      <c r="L49" s="824">
        <f>L45-L47</f>
        <v>222.61280418072306</v>
      </c>
      <c r="M49" s="820"/>
      <c r="N49" s="824"/>
      <c r="O49" s="824">
        <f>O45-O47</f>
        <v>43.770465858392015</v>
      </c>
      <c r="P49" s="824">
        <f>P45-P47</f>
        <v>38.600527295082316</v>
      </c>
      <c r="Q49" s="824">
        <f>Q45-Q47</f>
        <v>33.860795148928219</v>
      </c>
      <c r="R49" s="824">
        <f>R45-R47</f>
        <v>27.83479797714098</v>
      </c>
      <c r="S49" s="824">
        <f>S45-S47</f>
        <v>21.482915045259276</v>
      </c>
      <c r="V49" s="766">
        <f t="shared" si="10"/>
        <v>401.0790859662427</v>
      </c>
      <c r="W49" s="766">
        <f t="shared" si="8"/>
        <v>366.04838282917518</v>
      </c>
      <c r="X49" s="766">
        <f t="shared" si="8"/>
        <v>330.73460077756124</v>
      </c>
      <c r="Y49" s="766">
        <f t="shared" si="8"/>
        <v>280.03207481956429</v>
      </c>
      <c r="Z49" s="766">
        <f t="shared" si="8"/>
        <v>222.61280418072337</v>
      </c>
      <c r="AA49" s="536"/>
      <c r="AB49" s="536" t="b">
        <f t="shared" si="7"/>
        <v>1</v>
      </c>
      <c r="AC49" s="536" t="b">
        <f t="shared" si="6"/>
        <v>1</v>
      </c>
      <c r="AD49" s="536" t="b">
        <f t="shared" si="6"/>
        <v>0</v>
      </c>
      <c r="AE49" s="536" t="b">
        <f t="shared" si="6"/>
        <v>1</v>
      </c>
      <c r="AF49" s="536" t="b">
        <f t="shared" si="6"/>
        <v>1</v>
      </c>
    </row>
    <row r="50" spans="1:32" ht="15.75" thickTop="1">
      <c r="B50" s="536"/>
      <c r="C50" s="536"/>
      <c r="D50" s="536"/>
      <c r="E50" s="536"/>
      <c r="F50" s="536"/>
      <c r="G50" s="536"/>
      <c r="H50" s="820"/>
      <c r="I50" s="820"/>
      <c r="J50" s="820"/>
      <c r="K50" s="820"/>
      <c r="L50" s="820"/>
      <c r="M50" s="820"/>
      <c r="N50" s="820"/>
      <c r="O50" s="820"/>
      <c r="P50" s="820"/>
      <c r="Q50" s="820"/>
      <c r="R50" s="820"/>
      <c r="S50" s="820"/>
      <c r="V50" s="546"/>
      <c r="W50" s="546"/>
      <c r="X50" s="546"/>
      <c r="Y50" s="546"/>
      <c r="Z50" s="546"/>
      <c r="AA50" s="536"/>
      <c r="AB50" s="536"/>
      <c r="AC50" s="536"/>
      <c r="AD50" s="536"/>
      <c r="AE50" s="536"/>
      <c r="AF50" s="536"/>
    </row>
    <row r="51" spans="1:32" s="316" customFormat="1">
      <c r="A51" s="715"/>
      <c r="H51" s="317"/>
      <c r="I51" s="317"/>
      <c r="J51" s="317"/>
      <c r="K51" s="317"/>
      <c r="L51" s="317"/>
      <c r="M51" s="317"/>
      <c r="O51" s="317"/>
      <c r="P51" s="317"/>
      <c r="Q51" s="317"/>
      <c r="R51" s="317"/>
      <c r="S51" s="317"/>
    </row>
    <row r="52" spans="1:32" s="316" customFormat="1">
      <c r="A52" s="715"/>
      <c r="H52" s="317"/>
      <c r="I52" s="317"/>
      <c r="J52" s="317"/>
      <c r="K52" s="317"/>
      <c r="L52" s="317"/>
      <c r="M52" s="317"/>
      <c r="O52" s="317"/>
      <c r="P52" s="317"/>
      <c r="Q52" s="317"/>
      <c r="R52" s="317"/>
      <c r="S52" s="317"/>
    </row>
    <row r="53" spans="1:32" s="316" customFormat="1">
      <c r="A53" s="715"/>
      <c r="H53" s="807">
        <f>+H49/H26</f>
        <v>0.11349770783876729</v>
      </c>
      <c r="I53" s="807">
        <f>+I49/I26</f>
        <v>9.9100942611440437E-2</v>
      </c>
      <c r="J53" s="807">
        <f>+J49/J26</f>
        <v>8.6071689267978813E-2</v>
      </c>
      <c r="K53" s="807">
        <f>+K49/K26</f>
        <v>7.0053505767069785E-2</v>
      </c>
      <c r="L53" s="807">
        <f>+L49/L26</f>
        <v>5.3532020760789466E-2</v>
      </c>
      <c r="M53" s="317"/>
      <c r="O53" s="317"/>
      <c r="P53" s="317"/>
      <c r="Q53" s="317"/>
      <c r="R53" s="317"/>
      <c r="S53" s="317"/>
    </row>
    <row r="54" spans="1:32">
      <c r="H54" s="406"/>
      <c r="I54" s="406"/>
      <c r="J54" s="406"/>
      <c r="K54" s="406"/>
      <c r="L54" s="406"/>
      <c r="M54" s="406"/>
      <c r="O54" s="406"/>
      <c r="P54" s="406"/>
      <c r="Q54" s="406"/>
      <c r="R54" s="406"/>
      <c r="S54" s="406"/>
    </row>
    <row r="55" spans="1:32">
      <c r="B55" s="35" t="s">
        <v>49</v>
      </c>
      <c r="H55" s="406">
        <f>H45+H42</f>
        <v>413.79553739481457</v>
      </c>
      <c r="I55" s="406">
        <f>I45+I42</f>
        <v>379.76483425774609</v>
      </c>
      <c r="J55" s="406">
        <f>J45+J42</f>
        <v>335.22289220613311</v>
      </c>
      <c r="K55" s="406">
        <f>K45+K42</f>
        <v>284.52036624813582</v>
      </c>
      <c r="L55" s="406">
        <f>L45+L42</f>
        <v>227.10109560929448</v>
      </c>
      <c r="M55" s="406"/>
      <c r="O55" s="404">
        <f>H55/H$17*1000</f>
        <v>45.158234561796938</v>
      </c>
      <c r="P55" s="404">
        <f>I55/I$17*1000</f>
        <v>40.046954277406421</v>
      </c>
      <c r="Q55" s="404">
        <f>J55/J$17*1000</f>
        <v>34.320308959319576</v>
      </c>
      <c r="R55" s="404">
        <f>K55/K$17*1000</f>
        <v>28.280927890142266</v>
      </c>
      <c r="S55" s="404">
        <f>L55/L$17*1000</f>
        <v>21.916050883124562</v>
      </c>
    </row>
    <row r="57" spans="1:32">
      <c r="B57" s="35" t="s">
        <v>210</v>
      </c>
      <c r="H57" s="406">
        <f>H33+H43+H47</f>
        <v>3132.7287204082131</v>
      </c>
      <c r="I57" s="406">
        <f>I33+I43+I47</f>
        <v>3327.6438584686111</v>
      </c>
      <c r="J57" s="406">
        <f>J33+J43+J47</f>
        <v>3511.8134378445247</v>
      </c>
      <c r="K57" s="406">
        <f>K33+K43+K47</f>
        <v>3717.3706497589924</v>
      </c>
      <c r="L57" s="406">
        <f>L33+L43+L47</f>
        <v>3935.8852501983483</v>
      </c>
      <c r="M57" s="406"/>
      <c r="R57" s="406"/>
      <c r="S57" s="406"/>
    </row>
    <row r="58" spans="1:32">
      <c r="B58" s="35" t="s">
        <v>211</v>
      </c>
      <c r="H58" s="406">
        <f>H30+H31+H38+H39</f>
        <v>2015.5658910488371</v>
      </c>
      <c r="I58" s="406">
        <f>I30+I31+I38+I39</f>
        <v>2147.1485632595259</v>
      </c>
      <c r="J58" s="406">
        <f>J30+J31+J38+J39</f>
        <v>2278.2570348432441</v>
      </c>
      <c r="K58" s="406">
        <f>K30+K31+K38+K39</f>
        <v>2417.9815902626224</v>
      </c>
      <c r="L58" s="406">
        <f>L30+L31+L38+L39</f>
        <v>2566.910686247702</v>
      </c>
      <c r="M58" s="406"/>
      <c r="O58" s="406">
        <f>O30+O31+O38+O39</f>
        <v>219.96224960709603</v>
      </c>
      <c r="P58" s="406">
        <f>P30+P31+P38+P39</f>
        <v>226.42107057572895</v>
      </c>
      <c r="Q58" s="406">
        <f>Q30+Q31+Q38+Q39</f>
        <v>233.24924145240968</v>
      </c>
      <c r="R58" s="406">
        <f>R30+R31+R38+R39</f>
        <v>240.34400031058161</v>
      </c>
      <c r="S58" s="406">
        <f>S30+S31+S38+S39</f>
        <v>247.71586883501777</v>
      </c>
    </row>
    <row r="60" spans="1:32">
      <c r="B60" s="35" t="s">
        <v>212</v>
      </c>
    </row>
    <row r="61" spans="1:32">
      <c r="C61" s="35" t="s">
        <v>213</v>
      </c>
    </row>
    <row r="62" spans="1:32">
      <c r="C62" s="405" t="str">
        <f>C41</f>
        <v>Bad Debt Expense</v>
      </c>
    </row>
    <row r="63" spans="1:32">
      <c r="C63" s="405" t="str">
        <f>C42</f>
        <v>Depreciation</v>
      </c>
    </row>
    <row r="65" spans="8:13">
      <c r="H65" s="406">
        <f>SUM(H30:H32)</f>
        <v>1489.1381831102942</v>
      </c>
      <c r="I65" s="406">
        <f>SUM(I30:I32)</f>
        <v>1602.746165194138</v>
      </c>
      <c r="J65" s="406">
        <f>SUM(J30:J32)</f>
        <v>1716.8616921559606</v>
      </c>
      <c r="K65" s="406">
        <f>SUM(K30:K32)</f>
        <v>1839.1022446374652</v>
      </c>
      <c r="L65" s="406">
        <f>SUM(L30:L32)</f>
        <v>1970.0463244556531</v>
      </c>
      <c r="M65" s="406"/>
    </row>
    <row r="66" spans="8:13">
      <c r="I66" s="406">
        <f>I65-H65</f>
        <v>113.60798208384381</v>
      </c>
      <c r="J66" s="406">
        <f>J65-I65</f>
        <v>114.11552696182252</v>
      </c>
      <c r="K66" s="406">
        <f>K65-J65</f>
        <v>122.24055248150466</v>
      </c>
      <c r="L66" s="406">
        <f>L65-K65</f>
        <v>130.9440798181879</v>
      </c>
      <c r="M66" s="406"/>
    </row>
    <row r="70" spans="8:13">
      <c r="I70" s="1130"/>
      <c r="J70" s="1130"/>
      <c r="K70" s="1130"/>
      <c r="L70" s="1130"/>
    </row>
  </sheetData>
  <conditionalFormatting sqref="AB16:AF50">
    <cfRule type="cellIs" dxfId="243" priority="4" operator="equal">
      <formula>FALSE</formula>
    </cfRule>
  </conditionalFormatting>
  <conditionalFormatting sqref="AB10:AF10">
    <cfRule type="cellIs" dxfId="242" priority="3" operator="equal">
      <formula>FALSE</formula>
    </cfRule>
  </conditionalFormatting>
  <conditionalFormatting sqref="AB12:AF14">
    <cfRule type="cellIs" dxfId="241" priority="2" operator="equal">
      <formula>FALSE</formula>
    </cfRule>
  </conditionalFormatting>
  <conditionalFormatting sqref="AB11:AF11">
    <cfRule type="cellIs" dxfId="240" priority="1" operator="equal">
      <formula>FALSE</formula>
    </cfRule>
  </conditionalFormatting>
  <pageMargins left="0.5" right="0.5" top="0.5" bottom="0.5" header="0.3" footer="0.3"/>
  <pageSetup scale="76" fitToWidth="0" fitToHeight="0" orientation="landscape" r:id="rId1"/>
  <colBreaks count="1" manualBreakCount="1">
    <brk id="13" max="49" man="1"/>
  </colBreaks>
  <ignoredErrors>
    <ignoredError sqref="C23:D29 A2:B2 B5 A4 B3 D30:D32 D20:D22 N15:S25 H18:L19 H23:L24 H33:L36 H26:L26 H43:L46 H48:L49 H15 H28:K28 H27 N27:S27 N26 N42:S49 N28:R28 H37:K37 N7:S7 N29:S41" unlockedFormula="1"/>
  </ignoredError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Z160"/>
  <sheetViews>
    <sheetView showGridLines="0" view="pageBreakPreview" topLeftCell="A25" zoomScale="85" zoomScaleNormal="100" zoomScaleSheetLayoutView="85" workbookViewId="0">
      <selection activeCell="D19" sqref="D19"/>
    </sheetView>
  </sheetViews>
  <sheetFormatPr defaultColWidth="8.7109375" defaultRowHeight="15"/>
  <cols>
    <col min="1" max="1" width="1.42578125" style="22" customWidth="1"/>
    <col min="2" max="2" width="6.85546875" style="22" customWidth="1"/>
    <col min="3" max="3" width="4" style="22" customWidth="1"/>
    <col min="4" max="4" width="24.42578125" style="22" customWidth="1"/>
    <col min="5" max="5" width="9.85546875" style="22" customWidth="1"/>
    <col min="6" max="6" width="13.28515625" style="22" customWidth="1"/>
    <col min="7" max="13" width="12" style="22" customWidth="1"/>
    <col min="14" max="14" width="1.85546875" style="22" customWidth="1"/>
    <col min="15" max="15" width="11.28515625" style="22" bestFit="1" customWidth="1"/>
    <col min="16" max="16" width="8.7109375" style="22"/>
    <col min="17" max="17" width="8.140625" style="22" customWidth="1"/>
    <col min="18" max="18" width="16" style="22" customWidth="1"/>
    <col min="19" max="24" width="11.42578125" style="22" customWidth="1"/>
    <col min="25" max="16384" width="8.7109375" style="22"/>
  </cols>
  <sheetData>
    <row r="1" spans="1:26" ht="11.25" customHeight="1" thickBot="1">
      <c r="A1" s="18"/>
      <c r="B1" s="19"/>
      <c r="C1" s="19"/>
      <c r="D1" s="1"/>
      <c r="E1" s="1"/>
      <c r="F1" s="1"/>
      <c r="G1" s="19"/>
      <c r="H1" s="19"/>
      <c r="I1" s="19"/>
      <c r="J1" s="20"/>
      <c r="K1" s="19"/>
      <c r="L1" s="19"/>
      <c r="M1" s="19"/>
      <c r="N1" s="21"/>
      <c r="O1" s="21"/>
      <c r="P1" s="21"/>
    </row>
    <row r="2" spans="1:26" ht="18.75" thickTop="1">
      <c r="A2" s="18"/>
      <c r="B2" s="2" t="str">
        <f>Outline!B2</f>
        <v>Satellite Healthcare WB Santa Cruz Valuation</v>
      </c>
      <c r="C2" s="2"/>
      <c r="D2" s="23"/>
      <c r="E2" s="23"/>
      <c r="F2" s="23"/>
      <c r="G2" s="23"/>
      <c r="H2" s="23"/>
      <c r="I2" s="23"/>
      <c r="J2" s="24"/>
      <c r="K2" s="23"/>
      <c r="L2" s="23"/>
      <c r="M2" s="3"/>
      <c r="N2" s="21"/>
      <c r="O2" s="21"/>
      <c r="P2" s="21"/>
    </row>
    <row r="3" spans="1:26" ht="18">
      <c r="A3" s="25">
        <f>Outline!B17</f>
        <v>0</v>
      </c>
      <c r="B3" s="4" t="str">
        <f>Outline!C18</f>
        <v>Exhibit B2</v>
      </c>
      <c r="C3" s="4"/>
      <c r="D3" s="26"/>
      <c r="E3" s="26"/>
      <c r="F3" s="26"/>
      <c r="G3" s="26"/>
      <c r="H3" s="26"/>
      <c r="I3" s="26"/>
      <c r="J3" s="27"/>
      <c r="K3" s="26"/>
      <c r="L3" s="26"/>
      <c r="M3" s="26"/>
      <c r="N3" s="21"/>
      <c r="O3" s="21"/>
      <c r="P3" s="21"/>
    </row>
    <row r="4" spans="1:26" ht="18.75" thickBot="1">
      <c r="A4" s="18"/>
      <c r="B4" s="5" t="s">
        <v>36</v>
      </c>
      <c r="C4" s="5"/>
      <c r="D4" s="28"/>
      <c r="E4" s="28"/>
      <c r="F4" s="28"/>
      <c r="G4" s="28"/>
      <c r="H4" s="28"/>
      <c r="I4" s="28"/>
      <c r="J4" s="29"/>
      <c r="K4" s="28"/>
      <c r="L4" s="28"/>
      <c r="M4" s="6" t="s">
        <v>227</v>
      </c>
      <c r="N4" s="21"/>
      <c r="O4" s="21"/>
      <c r="P4" s="21"/>
    </row>
    <row r="5" spans="1:26" ht="17.25" thickTop="1">
      <c r="B5" s="57"/>
      <c r="C5" s="57"/>
      <c r="D5" s="57"/>
      <c r="E5" s="57"/>
      <c r="F5" s="57"/>
      <c r="G5" s="57"/>
      <c r="H5" s="57"/>
      <c r="I5" s="57"/>
      <c r="J5" s="57"/>
      <c r="K5" s="57"/>
      <c r="L5" s="549"/>
      <c r="M5" s="57"/>
      <c r="N5" s="549"/>
      <c r="O5" s="549"/>
      <c r="P5" s="549"/>
      <c r="Q5" s="57"/>
      <c r="R5" s="57"/>
      <c r="S5" s="57"/>
      <c r="T5" s="57"/>
      <c r="U5" s="57"/>
      <c r="V5" s="57"/>
      <c r="W5" s="57"/>
      <c r="X5" s="57"/>
      <c r="Y5" s="57"/>
      <c r="Z5" s="57"/>
    </row>
    <row r="6" spans="1:26" ht="18.75" customHeight="1">
      <c r="B6" s="57"/>
      <c r="C6" s="57"/>
      <c r="D6" s="57"/>
      <c r="E6" s="57"/>
      <c r="F6" s="57"/>
      <c r="G6" s="950" t="s">
        <v>51</v>
      </c>
      <c r="H6" s="555" t="s">
        <v>52</v>
      </c>
      <c r="I6" s="555"/>
      <c r="J6" s="555"/>
      <c r="K6" s="555"/>
      <c r="L6" s="555"/>
      <c r="M6" s="556"/>
      <c r="N6" s="549"/>
      <c r="O6" s="549"/>
      <c r="P6" s="549"/>
      <c r="Q6" s="57"/>
      <c r="R6" s="57"/>
      <c r="S6" s="57"/>
      <c r="T6" s="57"/>
      <c r="U6" s="57"/>
      <c r="V6" s="57"/>
      <c r="W6" s="57"/>
      <c r="X6" s="57"/>
      <c r="Y6" s="57"/>
      <c r="Z6" s="57"/>
    </row>
    <row r="7" spans="1:26" ht="21" customHeight="1">
      <c r="B7" s="57"/>
      <c r="C7" s="57"/>
      <c r="D7" s="57"/>
      <c r="E7" s="57"/>
      <c r="F7" s="57"/>
      <c r="G7" s="861">
        <f>'C3'!K7</f>
        <v>2018</v>
      </c>
      <c r="H7" s="977" t="str">
        <f>'C1'!H7</f>
        <v>Year 1</v>
      </c>
      <c r="I7" s="862" t="str">
        <f>'C1'!I7</f>
        <v>Year 2</v>
      </c>
      <c r="J7" s="862" t="str">
        <f>'C1'!J7</f>
        <v>Year 3</v>
      </c>
      <c r="K7" s="862" t="str">
        <f>'C1'!K7</f>
        <v>Year 4</v>
      </c>
      <c r="L7" s="862" t="str">
        <f>'C1'!L7</f>
        <v>Year 5</v>
      </c>
      <c r="M7" s="863" t="s">
        <v>9</v>
      </c>
      <c r="N7" s="549"/>
      <c r="O7" s="549"/>
      <c r="P7" s="549"/>
      <c r="Q7" s="57"/>
      <c r="R7" s="57"/>
      <c r="S7" s="57"/>
      <c r="T7" s="57"/>
      <c r="U7" s="57"/>
      <c r="V7" s="57"/>
      <c r="W7" s="57"/>
      <c r="X7" s="57"/>
      <c r="Y7" s="57"/>
      <c r="Z7" s="57"/>
    </row>
    <row r="8" spans="1:26" s="21" customFormat="1" ht="17.25">
      <c r="B8" s="549"/>
      <c r="C8" s="549"/>
      <c r="D8" s="549"/>
      <c r="E8" s="549"/>
      <c r="F8" s="549"/>
      <c r="G8" s="549"/>
      <c r="H8" s="549"/>
      <c r="I8" s="549"/>
      <c r="J8" s="549"/>
      <c r="K8" s="549"/>
      <c r="L8" s="549"/>
      <c r="M8" s="549"/>
      <c r="N8" s="549"/>
      <c r="O8" s="549"/>
      <c r="P8" s="549"/>
      <c r="Q8" s="549"/>
      <c r="R8" s="549"/>
      <c r="S8" s="549"/>
      <c r="T8" s="549"/>
      <c r="U8" s="549"/>
      <c r="V8" s="549"/>
      <c r="W8" s="549"/>
      <c r="X8" s="549"/>
      <c r="Y8" s="549"/>
      <c r="Z8" s="549"/>
    </row>
    <row r="9" spans="1:26" s="21" customFormat="1" ht="17.25">
      <c r="B9" s="548" t="s">
        <v>22</v>
      </c>
      <c r="C9" s="549"/>
      <c r="D9" s="549"/>
      <c r="E9" s="549"/>
      <c r="F9" s="549"/>
      <c r="G9" s="549"/>
      <c r="H9" s="549"/>
      <c r="I9" s="549"/>
      <c r="J9" s="549"/>
      <c r="K9" s="549"/>
      <c r="L9" s="549"/>
      <c r="M9" s="549"/>
      <c r="N9" s="549"/>
      <c r="O9" s="549"/>
      <c r="P9" s="549"/>
      <c r="Q9" s="557" t="s">
        <v>55</v>
      </c>
      <c r="R9" s="557"/>
      <c r="S9" s="557"/>
      <c r="T9" s="557"/>
      <c r="U9" s="557"/>
      <c r="V9" s="557"/>
      <c r="W9" s="549"/>
      <c r="X9" s="549"/>
      <c r="Y9" s="549"/>
      <c r="Z9" s="549"/>
    </row>
    <row r="10" spans="1:26">
      <c r="B10" s="57"/>
      <c r="C10" s="57" t="s">
        <v>2</v>
      </c>
      <c r="D10" s="57"/>
      <c r="E10" s="57"/>
      <c r="F10" s="57"/>
      <c r="G10" s="825">
        <f>'C3'!K10</f>
        <v>3312.6134900000002</v>
      </c>
      <c r="H10" s="825">
        <f>'C1'!H26</f>
        <v>3533.807806374456</v>
      </c>
      <c r="I10" s="825">
        <f>'C1'!I26</f>
        <v>3693.6922412977856</v>
      </c>
      <c r="J10" s="825">
        <f>'C1'!J26</f>
        <v>3842.5480386220866</v>
      </c>
      <c r="K10" s="825">
        <f>'C1'!K26</f>
        <v>3997.4027245785569</v>
      </c>
      <c r="L10" s="825">
        <f>'C1'!L26</f>
        <v>4158.4980543790716</v>
      </c>
      <c r="M10" s="825">
        <f>L10*(1+$H$28)</f>
        <v>4283.2529960104439</v>
      </c>
      <c r="N10" s="57"/>
      <c r="O10" s="59"/>
      <c r="P10" s="57"/>
      <c r="Q10" s="322">
        <f t="shared" ref="Q10:V12" si="0">H10/G10-1</f>
        <v>6.6773354948348018E-2</v>
      </c>
      <c r="R10" s="322">
        <f t="shared" si="0"/>
        <v>4.5244236156511519E-2</v>
      </c>
      <c r="S10" s="322">
        <f t="shared" si="0"/>
        <v>4.0300000000000002E-2</v>
      </c>
      <c r="T10" s="322">
        <f t="shared" si="0"/>
        <v>4.0300000000000002E-2</v>
      </c>
      <c r="U10" s="322">
        <f t="shared" si="0"/>
        <v>4.029999999999978E-2</v>
      </c>
      <c r="V10" s="322">
        <f t="shared" si="0"/>
        <v>3.0000000000000027E-2</v>
      </c>
      <c r="W10" s="57"/>
      <c r="X10" s="57"/>
      <c r="Y10" s="522"/>
      <c r="Z10" s="57"/>
    </row>
    <row r="11" spans="1:26" ht="16.5">
      <c r="B11" s="57"/>
      <c r="C11" s="57"/>
      <c r="D11" s="57" t="s">
        <v>1</v>
      </c>
      <c r="E11" s="504" t="s">
        <v>334</v>
      </c>
      <c r="F11" s="57"/>
      <c r="G11" s="826">
        <f>'C3'!K31+'C3'!K43+SUM('C3'!K47:K48)</f>
        <v>3294.3746540000002</v>
      </c>
      <c r="H11" s="826">
        <f>'C1'!H33+'C1'!H43</f>
        <v>3132.7287204082131</v>
      </c>
      <c r="I11" s="826">
        <f>'C1'!I33+'C1'!I43</f>
        <v>3327.6438584686111</v>
      </c>
      <c r="J11" s="826">
        <f>'C1'!J33+'C1'!J43</f>
        <v>3511.8134378445247</v>
      </c>
      <c r="K11" s="826">
        <f>'C1'!K33+'C1'!K43</f>
        <v>3717.3706497589924</v>
      </c>
      <c r="L11" s="826">
        <f>'C1'!L33+'C1'!L43</f>
        <v>3935.8852501983483</v>
      </c>
      <c r="M11" s="826">
        <f>(L11-'C1'!L42)*(1+$H$28)</f>
        <v>4049.3388675328706</v>
      </c>
      <c r="N11" s="57"/>
      <c r="O11" s="59"/>
      <c r="P11" s="57"/>
      <c r="Q11" s="322">
        <f t="shared" si="0"/>
        <v>-4.906725875744522E-2</v>
      </c>
      <c r="R11" s="322">
        <f t="shared" si="0"/>
        <v>6.2218964824697354E-2</v>
      </c>
      <c r="S11" s="322">
        <f t="shared" si="0"/>
        <v>5.5345339588314335E-2</v>
      </c>
      <c r="T11" s="322">
        <f t="shared" si="0"/>
        <v>5.8533067189535659E-2</v>
      </c>
      <c r="U11" s="322">
        <f t="shared" si="0"/>
        <v>5.8782031986378103E-2</v>
      </c>
      <c r="V11" s="322">
        <f t="shared" si="0"/>
        <v>2.8825438274351356E-2</v>
      </c>
      <c r="W11" s="57"/>
      <c r="X11" s="57"/>
      <c r="Y11" s="522"/>
      <c r="Z11" s="57"/>
    </row>
    <row r="12" spans="1:26">
      <c r="B12" s="57"/>
      <c r="C12" s="57" t="s">
        <v>3</v>
      </c>
      <c r="D12" s="57"/>
      <c r="E12" s="57"/>
      <c r="F12" s="57"/>
      <c r="G12" s="827">
        <f>G10-G11</f>
        <v>18.238835999999992</v>
      </c>
      <c r="H12" s="827">
        <f t="shared" ref="H12:M12" si="1">H10-H11</f>
        <v>401.07908596624293</v>
      </c>
      <c r="I12" s="827">
        <f t="shared" si="1"/>
        <v>366.04838282917444</v>
      </c>
      <c r="J12" s="827">
        <f t="shared" si="1"/>
        <v>330.73460077756181</v>
      </c>
      <c r="K12" s="827">
        <f t="shared" si="1"/>
        <v>280.03207481956451</v>
      </c>
      <c r="L12" s="827">
        <f t="shared" si="1"/>
        <v>222.61280418072329</v>
      </c>
      <c r="M12" s="827">
        <f t="shared" si="1"/>
        <v>233.91412847757329</v>
      </c>
      <c r="N12" s="57"/>
      <c r="O12" s="59"/>
      <c r="P12" s="57"/>
      <c r="Q12" s="322">
        <f>H12/G12-1</f>
        <v>20.990388310210317</v>
      </c>
      <c r="R12" s="322">
        <f>I12/H12-1</f>
        <v>-8.7341136356376525E-2</v>
      </c>
      <c r="S12" s="322">
        <f>J12/I12-1</f>
        <v>-9.6472990206031506E-2</v>
      </c>
      <c r="T12" s="322">
        <f>K12/J12-1</f>
        <v>-0.15330275646634772</v>
      </c>
      <c r="U12" s="322">
        <f>L12/K12-1</f>
        <v>-0.20504533516683288</v>
      </c>
      <c r="V12" s="322">
        <f t="shared" si="0"/>
        <v>5.0766730774727931E-2</v>
      </c>
      <c r="W12" s="57"/>
      <c r="X12" s="57"/>
      <c r="Y12" s="522"/>
      <c r="Z12" s="57"/>
    </row>
    <row r="13" spans="1:26">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spans="1:26">
      <c r="B14" s="57"/>
      <c r="C14" s="57" t="s">
        <v>18</v>
      </c>
      <c r="D14" s="57"/>
      <c r="E14" s="57"/>
      <c r="F14" s="57"/>
      <c r="G14" s="57"/>
      <c r="H14" s="57"/>
      <c r="I14" s="57"/>
      <c r="J14" s="57"/>
      <c r="K14" s="57"/>
      <c r="L14" s="57"/>
      <c r="M14" s="57"/>
      <c r="N14" s="57"/>
      <c r="O14" s="57"/>
      <c r="P14" s="57"/>
      <c r="Q14" s="57"/>
      <c r="R14" s="57"/>
      <c r="S14" s="57"/>
      <c r="T14" s="57"/>
      <c r="U14" s="57"/>
      <c r="V14" s="57"/>
      <c r="W14" s="57"/>
      <c r="X14" s="57"/>
      <c r="Y14" s="57"/>
      <c r="Z14" s="57"/>
    </row>
    <row r="15" spans="1:26">
      <c r="B15" s="57"/>
      <c r="C15" s="57" t="s">
        <v>20</v>
      </c>
      <c r="D15" s="57" t="s">
        <v>21</v>
      </c>
      <c r="E15" s="504"/>
      <c r="F15" s="57"/>
      <c r="G15" s="59"/>
      <c r="H15" s="978">
        <f>-[14]A1!$O$29/1000</f>
        <v>-10</v>
      </c>
      <c r="I15" s="978">
        <f>-[14]A1!$O$30/1000</f>
        <v>-5</v>
      </c>
      <c r="J15" s="978">
        <f>-[14]A1!$O$31/1000</f>
        <v>-5</v>
      </c>
      <c r="K15" s="978">
        <f>-[14]A1!$O$32/1000</f>
        <v>-5</v>
      </c>
      <c r="L15" s="978">
        <f>-[14]A1!$O$33/1000</f>
        <v>-5</v>
      </c>
      <c r="M15" s="1248">
        <v>0</v>
      </c>
      <c r="N15" s="57"/>
      <c r="O15" s="57"/>
      <c r="P15" s="57" t="s">
        <v>660</v>
      </c>
      <c r="Q15" s="57"/>
      <c r="R15" s="1258">
        <v>45</v>
      </c>
      <c r="S15" s="57"/>
      <c r="T15" s="57"/>
      <c r="U15" s="57"/>
      <c r="V15" s="57"/>
      <c r="W15" s="57"/>
      <c r="X15" s="57"/>
      <c r="Y15" s="57"/>
      <c r="Z15" s="57"/>
    </row>
    <row r="16" spans="1:26">
      <c r="B16" s="57"/>
      <c r="C16" s="57" t="s">
        <v>19</v>
      </c>
      <c r="D16" s="57" t="s">
        <v>11</v>
      </c>
      <c r="E16" s="57"/>
      <c r="F16" s="57"/>
      <c r="G16" s="59"/>
      <c r="H16" s="828">
        <f>'C1'!H42</f>
        <v>12.71645142857143</v>
      </c>
      <c r="I16" s="828">
        <f>'C1'!I42</f>
        <v>13.716451428571428</v>
      </c>
      <c r="J16" s="828">
        <f>'C1'!J42</f>
        <v>4.4882914285714284</v>
      </c>
      <c r="K16" s="828">
        <f>'C1'!K42</f>
        <v>4.4882914285714284</v>
      </c>
      <c r="L16" s="828">
        <f>'C1'!L42</f>
        <v>4.4882914285714284</v>
      </c>
      <c r="M16" s="1248">
        <f>-M15</f>
        <v>0</v>
      </c>
      <c r="N16" s="57"/>
      <c r="O16" s="57"/>
      <c r="P16" s="57" t="s">
        <v>661</v>
      </c>
      <c r="Q16" s="989"/>
      <c r="R16" s="989">
        <f>ROUND(G10*R15/365,-2)</f>
        <v>400</v>
      </c>
      <c r="S16" s="989"/>
      <c r="T16" s="989"/>
      <c r="U16" s="487"/>
      <c r="V16" s="57"/>
      <c r="W16" s="57"/>
      <c r="X16" s="57"/>
      <c r="Y16" s="57"/>
      <c r="Z16" s="57"/>
    </row>
    <row r="17" spans="2:26" ht="16.5">
      <c r="B17" s="57"/>
      <c r="C17" s="57" t="s">
        <v>20</v>
      </c>
      <c r="D17" s="57" t="s">
        <v>44</v>
      </c>
      <c r="E17" s="504"/>
      <c r="F17" s="57"/>
      <c r="G17" s="60"/>
      <c r="H17" s="829">
        <f>(R16*$R$17)+[14]D5!I16</f>
        <v>-338.85566785677202</v>
      </c>
      <c r="I17" s="829">
        <f>[14]D5!J16</f>
        <v>-5.7318698503811305</v>
      </c>
      <c r="J17" s="829">
        <f>[14]D5!K16</f>
        <v>-10.611466720875299</v>
      </c>
      <c r="K17" s="829">
        <f>[14]D5!L16</f>
        <v>-9.7876507809440056</v>
      </c>
      <c r="L17" s="829">
        <f>[14]D5!M16</f>
        <v>-9.8334109566469579</v>
      </c>
      <c r="M17" s="829">
        <f>[14]D5!N16</f>
        <v>-10.621538394374539</v>
      </c>
      <c r="N17" s="57"/>
      <c r="O17" s="57"/>
      <c r="P17" s="1256" t="s">
        <v>662</v>
      </c>
      <c r="Q17" s="1257"/>
      <c r="R17" s="1273">
        <v>0</v>
      </c>
      <c r="S17" s="487"/>
      <c r="T17" s="487"/>
      <c r="U17" s="487"/>
      <c r="V17" s="57"/>
      <c r="W17" s="57"/>
      <c r="X17" s="57"/>
      <c r="Y17" s="57"/>
      <c r="Z17" s="57"/>
    </row>
    <row r="18" spans="2:26">
      <c r="B18" s="57"/>
      <c r="C18" s="57" t="s">
        <v>23</v>
      </c>
      <c r="D18" s="57"/>
      <c r="E18" s="57"/>
      <c r="F18" s="57"/>
      <c r="G18" s="827"/>
      <c r="H18" s="827">
        <f t="shared" ref="H18:M18" si="2">SUM(H15:H17)</f>
        <v>-336.1392164282006</v>
      </c>
      <c r="I18" s="827">
        <f t="shared" si="2"/>
        <v>2.9845815781902978</v>
      </c>
      <c r="J18" s="827">
        <f t="shared" si="2"/>
        <v>-11.12317529230387</v>
      </c>
      <c r="K18" s="827">
        <f t="shared" si="2"/>
        <v>-10.299359352372576</v>
      </c>
      <c r="L18" s="827">
        <f t="shared" si="2"/>
        <v>-10.345119528075529</v>
      </c>
      <c r="M18" s="827">
        <f t="shared" si="2"/>
        <v>-10.621538394374539</v>
      </c>
      <c r="N18" s="57"/>
      <c r="O18" s="57"/>
      <c r="P18" s="988"/>
      <c r="Q18" s="988"/>
      <c r="R18" s="997"/>
      <c r="S18" s="988"/>
      <c r="T18" s="988"/>
      <c r="U18" s="487"/>
      <c r="V18" s="57"/>
      <c r="W18" s="57"/>
      <c r="X18" s="57"/>
      <c r="Y18" s="57"/>
      <c r="Z18" s="57"/>
    </row>
    <row r="19" spans="2:26">
      <c r="B19" s="57"/>
      <c r="C19" s="57"/>
      <c r="D19" s="57"/>
      <c r="E19" s="57"/>
      <c r="F19" s="57"/>
      <c r="G19" s="57"/>
      <c r="H19" s="57"/>
      <c r="I19" s="57"/>
      <c r="J19" s="57"/>
      <c r="K19" s="57"/>
      <c r="L19" s="57"/>
      <c r="M19" s="57"/>
      <c r="N19" s="57"/>
      <c r="O19" s="57"/>
      <c r="P19" s="487"/>
      <c r="Q19" s="1262">
        <f>R16*R17</f>
        <v>0</v>
      </c>
      <c r="R19" s="996"/>
      <c r="S19" s="487"/>
      <c r="T19" s="487"/>
      <c r="U19" s="487"/>
      <c r="V19" s="57"/>
      <c r="W19" s="57"/>
      <c r="X19" s="57"/>
      <c r="Y19" s="57"/>
      <c r="Z19" s="57"/>
    </row>
    <row r="20" spans="2:26" ht="17.25" thickBot="1">
      <c r="B20" s="57"/>
      <c r="C20" s="558" t="s">
        <v>22</v>
      </c>
      <c r="D20" s="558"/>
      <c r="E20" s="558"/>
      <c r="F20" s="558"/>
      <c r="G20" s="558"/>
      <c r="H20" s="830">
        <f t="shared" ref="H20:M20" si="3">H12+H18</f>
        <v>64.939869538042331</v>
      </c>
      <c r="I20" s="830">
        <f t="shared" si="3"/>
        <v>369.03296440736472</v>
      </c>
      <c r="J20" s="830">
        <f t="shared" si="3"/>
        <v>319.61142548525794</v>
      </c>
      <c r="K20" s="830">
        <f t="shared" si="3"/>
        <v>269.73271546719195</v>
      </c>
      <c r="L20" s="830">
        <f t="shared" si="3"/>
        <v>212.26768465264774</v>
      </c>
      <c r="M20" s="830">
        <f t="shared" si="3"/>
        <v>223.29259008319875</v>
      </c>
      <c r="N20" s="57"/>
      <c r="O20" s="57"/>
      <c r="P20" s="990"/>
      <c r="Q20" s="990">
        <f>[14]D5!I16</f>
        <v>-338.85566785677202</v>
      </c>
      <c r="R20" s="990">
        <f>[14]D5!J16</f>
        <v>-5.7318698503811305</v>
      </c>
      <c r="S20" s="990">
        <f>[14]D5!K16</f>
        <v>-10.611466720875299</v>
      </c>
      <c r="T20" s="990">
        <f>[14]D5!L16</f>
        <v>-9.7876507809440056</v>
      </c>
      <c r="U20" s="990">
        <f>[14]D5!M16</f>
        <v>-9.8334109566469579</v>
      </c>
      <c r="V20" s="990">
        <f>[14]D5!N16</f>
        <v>-10.621538394374539</v>
      </c>
      <c r="W20" s="57"/>
      <c r="X20" s="559"/>
      <c r="Y20" s="57"/>
      <c r="Z20" s="57"/>
    </row>
    <row r="21" spans="2:26" ht="16.5" thickTop="1" thickBot="1">
      <c r="B21" s="560"/>
      <c r="C21" s="560"/>
      <c r="D21" s="561"/>
      <c r="E21" s="561"/>
      <c r="F21" s="562"/>
      <c r="G21" s="831"/>
      <c r="H21" s="832"/>
      <c r="I21" s="832"/>
      <c r="J21" s="832"/>
      <c r="K21" s="832"/>
      <c r="L21" s="832"/>
      <c r="M21" s="832"/>
      <c r="N21" s="57"/>
      <c r="O21" s="57"/>
      <c r="P21" s="487"/>
      <c r="Q21" s="1262">
        <f>SUM(Q19:Q20)</f>
        <v>-338.85566785677202</v>
      </c>
      <c r="R21" s="1262">
        <f t="shared" ref="R21:V21" si="4">SUM(R19:R20)</f>
        <v>-5.7318698503811305</v>
      </c>
      <c r="S21" s="1262">
        <f t="shared" si="4"/>
        <v>-10.611466720875299</v>
      </c>
      <c r="T21" s="1262">
        <f t="shared" si="4"/>
        <v>-9.7876507809440056</v>
      </c>
      <c r="U21" s="1262">
        <f t="shared" si="4"/>
        <v>-9.8334109566469579</v>
      </c>
      <c r="V21" s="1262">
        <f t="shared" si="4"/>
        <v>-10.621538394374539</v>
      </c>
      <c r="W21" s="57"/>
      <c r="X21" s="57"/>
      <c r="Y21" s="57"/>
      <c r="Z21" s="57"/>
    </row>
    <row r="22" spans="2:26">
      <c r="B22" s="548" t="s">
        <v>24</v>
      </c>
      <c r="C22" s="57"/>
      <c r="D22" s="57"/>
      <c r="E22" s="57"/>
      <c r="F22" s="57"/>
      <c r="G22" s="57"/>
      <c r="H22" s="57"/>
      <c r="I22" s="57"/>
      <c r="J22" s="57"/>
      <c r="K22" s="57"/>
      <c r="L22" s="57"/>
      <c r="M22" s="57"/>
      <c r="N22" s="57"/>
      <c r="O22" s="57"/>
      <c r="P22" s="487"/>
      <c r="Q22" s="487"/>
      <c r="R22" s="487"/>
      <c r="S22" s="487"/>
      <c r="T22" s="487"/>
      <c r="U22" s="487"/>
      <c r="V22" s="57"/>
      <c r="W22" s="57"/>
      <c r="X22" s="57"/>
      <c r="Y22" s="57"/>
      <c r="Z22" s="57"/>
    </row>
    <row r="23" spans="2:26">
      <c r="B23" s="548"/>
      <c r="C23" s="57" t="s">
        <v>331</v>
      </c>
      <c r="D23" s="57"/>
      <c r="E23" s="57"/>
      <c r="F23" s="57"/>
      <c r="G23" s="57"/>
      <c r="H23" s="563">
        <v>1</v>
      </c>
      <c r="I23" s="563">
        <v>1</v>
      </c>
      <c r="J23" s="563">
        <f>I23</f>
        <v>1</v>
      </c>
      <c r="K23" s="563">
        <f>J23</f>
        <v>1</v>
      </c>
      <c r="L23" s="563">
        <f>K23</f>
        <v>1</v>
      </c>
      <c r="M23" s="563">
        <f>L23</f>
        <v>1</v>
      </c>
      <c r="N23" s="57"/>
      <c r="O23" s="57"/>
      <c r="P23" s="991"/>
      <c r="Q23" s="991"/>
      <c r="R23" s="991"/>
      <c r="S23" s="991"/>
      <c r="T23" s="991"/>
      <c r="U23" s="487"/>
      <c r="V23" s="57"/>
      <c r="W23" s="57"/>
      <c r="X23" s="57"/>
      <c r="Y23" s="57"/>
      <c r="Z23" s="57"/>
    </row>
    <row r="24" spans="2:26">
      <c r="B24" s="57"/>
      <c r="C24" s="57" t="s">
        <v>25</v>
      </c>
      <c r="D24" s="57"/>
      <c r="E24" s="57"/>
      <c r="F24" s="57"/>
      <c r="G24" s="563"/>
      <c r="H24" s="563">
        <f>H23/2</f>
        <v>0.5</v>
      </c>
      <c r="I24" s="563">
        <f>H24*2+0.5</f>
        <v>1.5</v>
      </c>
      <c r="J24" s="563">
        <f>I24+1</f>
        <v>2.5</v>
      </c>
      <c r="K24" s="563">
        <f>J24+1</f>
        <v>3.5</v>
      </c>
      <c r="L24" s="563">
        <f>K24+1</f>
        <v>4.5</v>
      </c>
      <c r="M24" s="563">
        <f>L24</f>
        <v>4.5</v>
      </c>
      <c r="N24" s="57"/>
      <c r="O24" s="57"/>
      <c r="P24" s="991"/>
      <c r="Q24" s="991"/>
      <c r="R24" s="991"/>
      <c r="S24" s="991"/>
      <c r="T24" s="991"/>
      <c r="U24" s="487"/>
      <c r="V24" s="57"/>
      <c r="W24" s="57"/>
      <c r="X24" s="57"/>
      <c r="Y24" s="57"/>
      <c r="Z24" s="57"/>
    </row>
    <row r="25" spans="2:26">
      <c r="B25" s="57"/>
      <c r="C25" s="57" t="s">
        <v>26</v>
      </c>
      <c r="D25" s="57"/>
      <c r="E25" s="498">
        <f>'WACC CAPM'!H14</f>
        <v>0.13</v>
      </c>
      <c r="F25" s="552"/>
      <c r="G25" s="564"/>
      <c r="H25" s="564">
        <f t="shared" ref="H25:M25" si="5">1/(1+$E25)^H$24</f>
        <v>0.94072086838359736</v>
      </c>
      <c r="I25" s="564">
        <f t="shared" si="5"/>
        <v>0.83249634370229864</v>
      </c>
      <c r="J25" s="564">
        <f t="shared" si="5"/>
        <v>0.73672242805513155</v>
      </c>
      <c r="K25" s="564">
        <f t="shared" si="5"/>
        <v>0.65196675049126696</v>
      </c>
      <c r="L25" s="564">
        <f t="shared" si="5"/>
        <v>0.57696172609846641</v>
      </c>
      <c r="M25" s="564">
        <f t="shared" si="5"/>
        <v>0.57696172609846641</v>
      </c>
      <c r="N25" s="57"/>
      <c r="O25" s="57"/>
      <c r="P25" s="992"/>
      <c r="Q25" s="992"/>
      <c r="R25" s="992"/>
      <c r="S25" s="992"/>
      <c r="T25" s="992"/>
      <c r="U25" s="487"/>
      <c r="V25" s="57"/>
      <c r="W25" s="57"/>
      <c r="X25" s="57"/>
      <c r="Y25" s="57"/>
      <c r="Z25" s="57"/>
    </row>
    <row r="26" spans="2:26" ht="15.75" thickBot="1">
      <c r="B26" s="560"/>
      <c r="C26" s="560" t="s">
        <v>27</v>
      </c>
      <c r="D26" s="560"/>
      <c r="E26" s="560"/>
      <c r="F26" s="560"/>
      <c r="G26" s="833"/>
      <c r="H26" s="834">
        <f>H20*H25*H23</f>
        <v>61.090290464544701</v>
      </c>
      <c r="I26" s="834">
        <f>I20*I25*I23</f>
        <v>307.21859357475165</v>
      </c>
      <c r="J26" s="834">
        <f>J20*J25*J23</f>
        <v>235.46490541766099</v>
      </c>
      <c r="K26" s="834">
        <f>K20*K25*K23</f>
        <v>175.85676200433065</v>
      </c>
      <c r="L26" s="834">
        <f>L20*L25*L23</f>
        <v>122.4703297321166</v>
      </c>
      <c r="M26" s="835" t="s">
        <v>430</v>
      </c>
      <c r="N26" s="57"/>
      <c r="O26" s="57"/>
      <c r="P26" s="988"/>
      <c r="Q26" s="988"/>
      <c r="R26" s="988"/>
      <c r="S26" s="988"/>
      <c r="T26" s="988"/>
      <c r="U26" s="487"/>
      <c r="V26" s="57"/>
      <c r="W26" s="57"/>
      <c r="X26" s="57"/>
      <c r="Y26" s="57"/>
      <c r="Z26" s="57"/>
    </row>
    <row r="27" spans="2:26" ht="15.75" thickBot="1">
      <c r="B27" s="57"/>
      <c r="C27" s="57"/>
      <c r="D27" s="57"/>
      <c r="E27" s="57"/>
      <c r="F27" s="57"/>
      <c r="G27" s="57"/>
      <c r="H27" s="57"/>
      <c r="I27" s="57"/>
      <c r="J27" s="57"/>
      <c r="K27" s="57"/>
      <c r="L27" s="57"/>
      <c r="M27" s="57"/>
      <c r="N27" s="57"/>
      <c r="O27" s="57"/>
      <c r="P27" s="487"/>
      <c r="Q27" s="487"/>
      <c r="R27" s="487"/>
      <c r="S27" s="487"/>
      <c r="T27" s="487"/>
      <c r="U27" s="487"/>
      <c r="V27" s="57"/>
      <c r="W27" s="57"/>
      <c r="X27" s="57"/>
      <c r="Y27" s="57"/>
      <c r="Z27" s="57"/>
    </row>
    <row r="28" spans="2:26" ht="15.75" thickBot="1">
      <c r="B28" s="968" t="s">
        <v>465</v>
      </c>
      <c r="C28" s="969"/>
      <c r="D28" s="969"/>
      <c r="E28" s="969"/>
      <c r="F28" s="969"/>
      <c r="G28" s="969"/>
      <c r="H28" s="970">
        <f>[14]A1!$O$50</f>
        <v>0.03</v>
      </c>
      <c r="I28" s="57"/>
      <c r="J28" s="57"/>
      <c r="K28" s="57"/>
      <c r="L28" s="57"/>
      <c r="M28" s="57"/>
      <c r="N28" s="57"/>
      <c r="O28" s="57"/>
      <c r="P28" s="57"/>
      <c r="Q28" s="57"/>
      <c r="R28" s="57"/>
      <c r="S28" s="57"/>
      <c r="T28" s="57"/>
      <c r="U28" s="57"/>
      <c r="V28" s="57"/>
      <c r="W28" s="57"/>
      <c r="X28" s="57"/>
      <c r="Y28" s="57"/>
      <c r="Z28" s="57"/>
    </row>
    <row r="29" spans="2:26" ht="15.75" thickBot="1">
      <c r="B29" s="57"/>
      <c r="C29" s="57"/>
      <c r="D29" s="57"/>
      <c r="E29" s="57"/>
      <c r="F29" s="57"/>
      <c r="G29" s="57"/>
      <c r="H29" s="57"/>
      <c r="I29" s="57"/>
      <c r="J29" s="57"/>
      <c r="K29" s="57"/>
      <c r="L29" s="57"/>
      <c r="M29" s="57"/>
      <c r="N29" s="57"/>
      <c r="O29" s="57"/>
      <c r="P29" s="57"/>
      <c r="Q29" s="57"/>
      <c r="R29" s="565"/>
      <c r="S29" s="57"/>
      <c r="T29" s="57"/>
      <c r="U29" s="57"/>
      <c r="V29" s="57"/>
      <c r="W29" s="57"/>
      <c r="X29" s="57"/>
      <c r="Y29" s="57"/>
      <c r="Z29" s="57"/>
    </row>
    <row r="30" spans="2:26" ht="16.5">
      <c r="B30" s="566" t="s">
        <v>28</v>
      </c>
      <c r="C30" s="1101"/>
      <c r="D30" s="1101"/>
      <c r="E30" s="1101"/>
      <c r="F30" s="567" t="s">
        <v>32</v>
      </c>
      <c r="G30" s="1102"/>
      <c r="H30" s="1103"/>
      <c r="I30" s="57"/>
      <c r="J30" s="465" t="s">
        <v>329</v>
      </c>
      <c r="K30" s="57"/>
      <c r="L30" s="57"/>
      <c r="M30" s="57"/>
      <c r="N30" s="57"/>
      <c r="O30" s="57"/>
      <c r="P30" s="57"/>
      <c r="Q30" s="57"/>
      <c r="R30" s="57"/>
      <c r="S30" s="57"/>
      <c r="T30" s="57"/>
      <c r="U30" s="57"/>
      <c r="V30" s="57"/>
      <c r="W30" s="57"/>
      <c r="X30" s="57"/>
      <c r="Y30" s="57"/>
      <c r="Z30" s="57"/>
    </row>
    <row r="31" spans="2:26" s="44" customFormat="1" ht="14.25">
      <c r="B31" s="568" t="s">
        <v>29</v>
      </c>
      <c r="C31" s="57"/>
      <c r="D31" s="465"/>
      <c r="E31" s="966">
        <f>M20</f>
        <v>223.29259008319875</v>
      </c>
      <c r="F31" s="1105" t="s">
        <v>34</v>
      </c>
      <c r="G31" s="569"/>
      <c r="H31" s="967">
        <f>SUM(G26:L26)</f>
        <v>902.10088119340458</v>
      </c>
      <c r="I31" s="465"/>
      <c r="J31" s="1276" t="s">
        <v>330</v>
      </c>
      <c r="K31" s="1277"/>
      <c r="L31" s="1277"/>
      <c r="M31" s="939" t="str">
        <f>IF((E25-K32)&lt;&gt;0,"CHECK","")</f>
        <v/>
      </c>
      <c r="N31" s="465"/>
      <c r="O31" s="465"/>
      <c r="P31" s="465"/>
      <c r="Q31" s="465"/>
      <c r="R31" s="465"/>
      <c r="S31" s="465"/>
      <c r="T31" s="465"/>
      <c r="U31" s="465"/>
      <c r="V31" s="465"/>
      <c r="W31" s="465"/>
      <c r="X31" s="465"/>
      <c r="Y31" s="465"/>
      <c r="Z31" s="465"/>
    </row>
    <row r="32" spans="2:26">
      <c r="B32" s="568" t="s">
        <v>30</v>
      </c>
      <c r="C32" s="57"/>
      <c r="D32" s="57"/>
      <c r="E32" s="966">
        <f>E31/(E25-$H$28)</f>
        <v>2232.9259008319873</v>
      </c>
      <c r="F32" s="1105" t="s">
        <v>33</v>
      </c>
      <c r="G32" s="569"/>
      <c r="H32" s="1106">
        <f>E33</f>
        <v>1288.3127819939964</v>
      </c>
      <c r="I32" s="57"/>
      <c r="J32" s="836">
        <f>K32-1%</f>
        <v>0.12000000000000001</v>
      </c>
      <c r="K32" s="938">
        <v>0.13</v>
      </c>
      <c r="L32" s="501">
        <f>K32+1%</f>
        <v>0.14000000000000001</v>
      </c>
      <c r="M32" s="837"/>
      <c r="N32" s="57"/>
      <c r="O32" s="504"/>
      <c r="P32" s="504"/>
      <c r="Q32" s="504"/>
      <c r="R32" s="57"/>
      <c r="S32" s="57"/>
      <c r="T32" s="57"/>
      <c r="U32" s="57"/>
      <c r="V32" s="57"/>
      <c r="W32" s="57"/>
      <c r="X32" s="57"/>
      <c r="Y32" s="57"/>
      <c r="Z32" s="57"/>
    </row>
    <row r="33" spans="2:26" ht="15.75" thickBot="1">
      <c r="B33" s="570" t="s">
        <v>31</v>
      </c>
      <c r="C33" s="832"/>
      <c r="D33" s="832"/>
      <c r="E33" s="1104">
        <f>E32*M25</f>
        <v>1288.3127819939964</v>
      </c>
      <c r="F33" s="571" t="s">
        <v>35</v>
      </c>
      <c r="G33" s="838"/>
      <c r="H33" s="1107">
        <f>H31+H32</f>
        <v>2190.4136631874007</v>
      </c>
      <c r="I33" s="839">
        <f>H33</f>
        <v>2190.4136631874007</v>
      </c>
      <c r="J33" s="840">
        <f t="dataTable" ref="J33:L33" dt2D="0" dtr="1" r1="E25"/>
        <v>2412.2211153212293</v>
      </c>
      <c r="K33" s="841">
        <v>2190.4136631874007</v>
      </c>
      <c r="L33" s="841">
        <v>2008.2348818648888</v>
      </c>
      <c r="M33" s="842"/>
      <c r="N33" s="57"/>
      <c r="O33" s="57"/>
      <c r="P33" s="57"/>
      <c r="Q33" s="57"/>
      <c r="R33" s="57"/>
      <c r="S33" s="57"/>
      <c r="T33" s="57"/>
      <c r="U33" s="57"/>
      <c r="V33" s="57"/>
      <c r="W33" s="57"/>
      <c r="X33" s="57"/>
      <c r="Y33" s="57"/>
      <c r="Z33" s="57"/>
    </row>
    <row r="34" spans="2:26">
      <c r="B34" s="1108"/>
      <c r="C34" s="57"/>
      <c r="D34" s="57"/>
      <c r="E34" s="966"/>
      <c r="I34" s="839"/>
      <c r="J34" s="827"/>
      <c r="K34" s="827"/>
      <c r="L34" s="827"/>
      <c r="M34" s="1100"/>
      <c r="N34" s="57"/>
      <c r="O34" s="57"/>
      <c r="P34" s="57"/>
      <c r="Q34" s="57"/>
      <c r="R34" s="57"/>
      <c r="S34" s="57"/>
      <c r="T34" s="57"/>
      <c r="U34" s="57"/>
      <c r="V34" s="57"/>
      <c r="W34" s="57"/>
      <c r="X34" s="57"/>
      <c r="Y34" s="57"/>
      <c r="Z34" s="57"/>
    </row>
    <row r="35" spans="2:26">
      <c r="B35" s="57"/>
      <c r="C35" s="57"/>
      <c r="D35" s="57"/>
      <c r="E35" s="57"/>
      <c r="F35" s="57"/>
      <c r="G35" s="57"/>
      <c r="H35" s="57" t="s">
        <v>226</v>
      </c>
      <c r="I35" s="57"/>
      <c r="J35" s="57"/>
      <c r="K35" s="57"/>
      <c r="L35" s="57"/>
      <c r="M35" s="57"/>
      <c r="N35" s="57"/>
      <c r="O35" s="57"/>
      <c r="P35" s="57"/>
      <c r="Q35" s="57"/>
      <c r="R35" s="57"/>
      <c r="S35" s="57"/>
      <c r="T35" s="57"/>
      <c r="U35" s="57"/>
      <c r="V35" s="57"/>
      <c r="W35" s="57"/>
      <c r="X35" s="57"/>
      <c r="Y35" s="57"/>
      <c r="Z35" s="57"/>
    </row>
    <row r="36" spans="2:26">
      <c r="B36" s="57"/>
      <c r="C36" s="522" t="s">
        <v>246</v>
      </c>
      <c r="D36" s="983"/>
      <c r="E36" s="983"/>
      <c r="F36" s="983"/>
      <c r="G36" s="983"/>
      <c r="H36" s="983"/>
      <c r="I36" s="57"/>
      <c r="J36" s="57"/>
      <c r="K36" s="57"/>
      <c r="L36" s="57"/>
      <c r="M36" s="57"/>
      <c r="N36" s="57"/>
      <c r="O36" s="57"/>
      <c r="P36" s="57"/>
      <c r="Q36" s="57"/>
      <c r="R36" s="57"/>
      <c r="S36" s="57"/>
      <c r="T36" s="57"/>
      <c r="U36" s="57"/>
      <c r="V36" s="57"/>
      <c r="W36" s="57"/>
      <c r="X36" s="57"/>
      <c r="Y36" s="57"/>
      <c r="Z36" s="57"/>
    </row>
    <row r="37" spans="2:26" ht="13.9" customHeight="1">
      <c r="B37" s="986" t="s">
        <v>434</v>
      </c>
      <c r="C37" s="57" t="s">
        <v>530</v>
      </c>
      <c r="D37" s="57"/>
      <c r="E37" s="57"/>
      <c r="F37" s="57"/>
      <c r="G37" s="57"/>
      <c r="H37" s="57"/>
      <c r="I37" s="57"/>
      <c r="J37" s="57"/>
      <c r="K37" s="57"/>
      <c r="L37" s="57"/>
      <c r="M37" s="57"/>
      <c r="N37" s="57"/>
      <c r="O37" s="57"/>
      <c r="P37" s="57"/>
      <c r="Q37" s="57"/>
      <c r="R37" s="57"/>
      <c r="S37" s="57"/>
      <c r="T37" s="57"/>
      <c r="U37" s="57"/>
      <c r="V37" s="57"/>
      <c r="W37" s="57"/>
      <c r="X37" s="57"/>
      <c r="Y37" s="57"/>
      <c r="Z37" s="57"/>
    </row>
    <row r="38" spans="2:26" ht="13.9" customHeight="1">
      <c r="B38" s="986"/>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2:26" ht="15.75" thickBot="1">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2:26">
      <c r="B40" s="572" t="s">
        <v>11</v>
      </c>
      <c r="C40" s="573"/>
      <c r="D40" s="573"/>
      <c r="E40" s="573"/>
      <c r="F40" s="573"/>
      <c r="G40" s="573"/>
      <c r="H40" s="573"/>
      <c r="I40" s="574"/>
      <c r="J40" s="57"/>
      <c r="K40" s="57"/>
      <c r="L40" s="57"/>
      <c r="M40" s="57"/>
      <c r="N40" s="57"/>
      <c r="O40" s="57"/>
      <c r="P40" s="57"/>
      <c r="Q40" s="57"/>
      <c r="R40" s="57"/>
      <c r="S40" s="57"/>
      <c r="T40" s="57"/>
      <c r="U40" s="57"/>
      <c r="V40" s="57"/>
      <c r="W40" s="57"/>
      <c r="X40" s="57"/>
      <c r="Y40" s="57"/>
      <c r="Z40" s="57"/>
    </row>
    <row r="41" spans="2:26">
      <c r="B41" s="323"/>
      <c r="C41" s="57"/>
      <c r="D41" s="57" t="s">
        <v>46</v>
      </c>
      <c r="E41" s="575">
        <v>5</v>
      </c>
      <c r="F41" s="57"/>
      <c r="G41" s="57"/>
      <c r="H41" s="57"/>
      <c r="I41" s="324"/>
      <c r="J41" s="57"/>
      <c r="K41" s="57"/>
      <c r="L41" s="57"/>
      <c r="M41" s="57"/>
      <c r="N41" s="57"/>
      <c r="O41" s="57"/>
      <c r="P41" s="57"/>
      <c r="Q41" s="57"/>
      <c r="R41" s="57"/>
      <c r="S41" s="57"/>
      <c r="T41" s="57"/>
      <c r="U41" s="57"/>
      <c r="V41" s="57"/>
      <c r="W41" s="57"/>
      <c r="X41" s="57"/>
      <c r="Y41" s="57"/>
      <c r="Z41" s="57"/>
    </row>
    <row r="42" spans="2:26">
      <c r="B42" s="323"/>
      <c r="C42" s="57"/>
      <c r="D42" s="57"/>
      <c r="E42" s="57">
        <v>1</v>
      </c>
      <c r="F42" s="57">
        <v>2</v>
      </c>
      <c r="G42" s="57">
        <v>3</v>
      </c>
      <c r="H42" s="57">
        <v>4</v>
      </c>
      <c r="I42" s="324">
        <v>5</v>
      </c>
      <c r="J42" s="57"/>
      <c r="K42" s="57"/>
      <c r="L42" s="57"/>
      <c r="M42" s="57"/>
      <c r="N42" s="57"/>
      <c r="O42" s="57"/>
      <c r="P42" s="57"/>
      <c r="Q42" s="57"/>
      <c r="R42" s="57"/>
      <c r="S42" s="57"/>
      <c r="T42" s="57"/>
      <c r="U42" s="57"/>
      <c r="V42" s="57"/>
      <c r="W42" s="57"/>
      <c r="X42" s="57"/>
      <c r="Y42" s="57"/>
      <c r="Z42" s="57"/>
    </row>
    <row r="43" spans="2:26" ht="16.5">
      <c r="B43" s="323"/>
      <c r="C43" s="57"/>
      <c r="D43" s="57" t="s">
        <v>450</v>
      </c>
      <c r="E43" s="576" t="str">
        <f>H7</f>
        <v>Year 1</v>
      </c>
      <c r="F43" s="576" t="str">
        <f>I7</f>
        <v>Year 2</v>
      </c>
      <c r="G43" s="576" t="str">
        <f>J7</f>
        <v>Year 3</v>
      </c>
      <c r="H43" s="576" t="str">
        <f>K7</f>
        <v>Year 4</v>
      </c>
      <c r="I43" s="577" t="str">
        <f>L7</f>
        <v>Year 5</v>
      </c>
      <c r="J43" s="57"/>
      <c r="K43" s="57"/>
      <c r="L43" s="57"/>
      <c r="M43" s="57"/>
      <c r="N43" s="57"/>
      <c r="O43" s="57"/>
      <c r="P43" s="57"/>
      <c r="Q43" s="57"/>
      <c r="R43" s="57"/>
      <c r="S43" s="57"/>
      <c r="T43" s="57"/>
      <c r="U43" s="57"/>
      <c r="V43" s="57"/>
      <c r="W43" s="57"/>
      <c r="X43" s="57"/>
      <c r="Y43" s="57"/>
      <c r="Z43" s="57"/>
    </row>
    <row r="44" spans="2:26">
      <c r="B44" s="323" t="s">
        <v>45</v>
      </c>
      <c r="C44" s="57"/>
      <c r="D44" s="57"/>
      <c r="E44" s="57"/>
      <c r="F44" s="57"/>
      <c r="G44" s="57"/>
      <c r="H44" s="57"/>
      <c r="I44" s="324"/>
      <c r="J44" s="57"/>
      <c r="K44" s="57"/>
      <c r="L44" s="57"/>
      <c r="M44" s="57"/>
      <c r="N44" s="57"/>
      <c r="O44" s="57"/>
      <c r="P44" s="57"/>
      <c r="Q44" s="57"/>
      <c r="R44" s="57"/>
      <c r="S44" s="57"/>
      <c r="T44" s="57"/>
      <c r="U44" s="57"/>
      <c r="V44" s="57"/>
      <c r="W44" s="57"/>
      <c r="X44" s="57"/>
      <c r="Y44" s="57"/>
      <c r="Z44" s="57"/>
    </row>
    <row r="45" spans="2:26">
      <c r="B45" s="578"/>
      <c r="C45" s="57"/>
      <c r="D45" s="58">
        <f>B45/$E$41</f>
        <v>0</v>
      </c>
      <c r="E45" s="59">
        <f>IF(E$42&gt;$E$41,0,$D45)</f>
        <v>0</v>
      </c>
      <c r="F45" s="59">
        <f>IF(F$42&gt;$E$41,0,$D45)</f>
        <v>0</v>
      </c>
      <c r="G45" s="59">
        <f>IF(G$42&gt;$E$41,0,$D45)</f>
        <v>0</v>
      </c>
      <c r="H45" s="59">
        <f>IF(H$42&gt;$E$41,0,$D45)</f>
        <v>0</v>
      </c>
      <c r="I45" s="407">
        <f>IF(I$42&gt;$E$41,0,$D45)</f>
        <v>0</v>
      </c>
      <c r="J45" s="57"/>
      <c r="K45" s="57"/>
      <c r="L45" s="57"/>
      <c r="M45" s="57"/>
      <c r="N45" s="57"/>
      <c r="O45" s="57"/>
      <c r="P45" s="57"/>
      <c r="Q45" s="57"/>
      <c r="R45" s="57"/>
      <c r="S45" s="57"/>
      <c r="T45" s="57"/>
      <c r="U45" s="57"/>
      <c r="V45" s="57"/>
      <c r="W45" s="57"/>
      <c r="X45" s="57"/>
      <c r="Y45" s="57"/>
      <c r="Z45" s="57"/>
    </row>
    <row r="46" spans="2:26" ht="16.5">
      <c r="B46" s="578">
        <f>-I15</f>
        <v>5</v>
      </c>
      <c r="C46" s="57"/>
      <c r="D46" s="58">
        <f>B46/$E$41</f>
        <v>1</v>
      </c>
      <c r="E46" s="60">
        <v>0</v>
      </c>
      <c r="F46" s="60">
        <f>IF(E$42&gt;$E$41,0,$D46)</f>
        <v>1</v>
      </c>
      <c r="G46" s="60">
        <f>IF(F$42&gt;$E$41,0,$D46)</f>
        <v>1</v>
      </c>
      <c r="H46" s="60">
        <f>IF(G$42&gt;$E$41,0,$D46)</f>
        <v>1</v>
      </c>
      <c r="I46" s="579">
        <f>IF(H$42&gt;$E$41,0,$D46)</f>
        <v>1</v>
      </c>
      <c r="J46" s="57"/>
      <c r="K46" s="57"/>
      <c r="L46" s="57"/>
      <c r="M46" s="57"/>
      <c r="N46" s="57"/>
      <c r="O46" s="57"/>
      <c r="P46" s="57"/>
      <c r="Q46" s="57"/>
      <c r="R46" s="57"/>
      <c r="S46" s="57"/>
      <c r="T46" s="57"/>
      <c r="U46" s="57"/>
      <c r="V46" s="57"/>
      <c r="W46" s="57"/>
      <c r="X46" s="57"/>
      <c r="Y46" s="57"/>
      <c r="Z46" s="57"/>
    </row>
    <row r="47" spans="2:26">
      <c r="B47" s="323"/>
      <c r="C47" s="57"/>
      <c r="D47" s="57"/>
      <c r="E47" s="59">
        <f>E45+E46</f>
        <v>0</v>
      </c>
      <c r="F47" s="59">
        <f>F45+F46</f>
        <v>1</v>
      </c>
      <c r="G47" s="59">
        <f>G45+G46</f>
        <v>1</v>
      </c>
      <c r="H47" s="59">
        <f>H45+H46</f>
        <v>1</v>
      </c>
      <c r="I47" s="407">
        <f>I45+I46</f>
        <v>1</v>
      </c>
      <c r="J47" s="57"/>
      <c r="K47" s="57"/>
      <c r="L47" s="57"/>
      <c r="M47" s="57"/>
      <c r="N47" s="57"/>
      <c r="O47" s="57"/>
      <c r="P47" s="57"/>
      <c r="Q47" s="57"/>
      <c r="R47" s="57"/>
      <c r="S47" s="57"/>
      <c r="T47" s="57"/>
      <c r="U47" s="57"/>
      <c r="V47" s="57"/>
      <c r="W47" s="57"/>
      <c r="X47" s="57"/>
      <c r="Y47" s="57"/>
      <c r="Z47" s="57"/>
    </row>
    <row r="48" spans="2:26" ht="16.5">
      <c r="B48" s="323" t="s">
        <v>53</v>
      </c>
      <c r="C48" s="57"/>
      <c r="D48" s="57"/>
      <c r="E48" s="60">
        <v>0</v>
      </c>
      <c r="F48" s="60">
        <v>0</v>
      </c>
      <c r="G48" s="60">
        <v>0</v>
      </c>
      <c r="H48" s="60">
        <v>0</v>
      </c>
      <c r="I48" s="579">
        <v>0</v>
      </c>
      <c r="J48" s="57"/>
      <c r="K48" s="57"/>
      <c r="L48" s="57"/>
      <c r="M48" s="57"/>
      <c r="N48" s="57"/>
      <c r="O48" s="57"/>
      <c r="P48" s="57"/>
      <c r="Q48" s="57"/>
      <c r="R48" s="57"/>
      <c r="S48" s="57"/>
      <c r="T48" s="57"/>
      <c r="U48" s="57"/>
      <c r="V48" s="57"/>
      <c r="W48" s="57"/>
      <c r="X48" s="57"/>
      <c r="Y48" s="57"/>
      <c r="Z48" s="57"/>
    </row>
    <row r="49" spans="2:26">
      <c r="B49" s="323"/>
      <c r="C49" s="57"/>
      <c r="D49" s="57"/>
      <c r="E49" s="386">
        <f>E47+E48</f>
        <v>0</v>
      </c>
      <c r="F49" s="386">
        <f>F47+F48</f>
        <v>1</v>
      </c>
      <c r="G49" s="386">
        <f>G47+G48</f>
        <v>1</v>
      </c>
      <c r="H49" s="386">
        <f>H47+H48</f>
        <v>1</v>
      </c>
      <c r="I49" s="580">
        <f>I47+I48</f>
        <v>1</v>
      </c>
      <c r="J49" s="57"/>
      <c r="K49" s="57"/>
      <c r="L49" s="57"/>
      <c r="M49" s="57"/>
      <c r="N49" s="57"/>
      <c r="O49" s="57"/>
      <c r="P49" s="57"/>
      <c r="Q49" s="57"/>
      <c r="R49" s="57"/>
      <c r="S49" s="57"/>
      <c r="T49" s="57"/>
      <c r="U49" s="57"/>
      <c r="V49" s="57"/>
      <c r="W49" s="57"/>
      <c r="X49" s="57"/>
      <c r="Y49" s="57"/>
      <c r="Z49" s="57"/>
    </row>
    <row r="50" spans="2:26">
      <c r="B50" s="323"/>
      <c r="C50" s="57"/>
      <c r="D50" s="57"/>
      <c r="E50" s="57"/>
      <c r="F50" s="57"/>
      <c r="G50" s="57"/>
      <c r="H50" s="57"/>
      <c r="I50" s="324"/>
      <c r="J50" s="57"/>
      <c r="K50" s="57"/>
      <c r="L50" s="57"/>
      <c r="M50" s="57"/>
      <c r="N50" s="57"/>
      <c r="O50" s="57"/>
      <c r="P50" s="57"/>
      <c r="Q50" s="57"/>
      <c r="R50" s="57"/>
      <c r="S50" s="57"/>
      <c r="T50" s="57"/>
      <c r="U50" s="57"/>
      <c r="V50" s="57"/>
      <c r="W50" s="57"/>
      <c r="X50" s="57"/>
      <c r="Y50" s="57"/>
      <c r="Z50" s="57"/>
    </row>
    <row r="51" spans="2:26" ht="15.75" thickBot="1">
      <c r="B51" s="581" t="s">
        <v>54</v>
      </c>
      <c r="C51" s="560"/>
      <c r="D51" s="560"/>
      <c r="E51" s="582">
        <v>0.8</v>
      </c>
      <c r="F51" s="582">
        <v>0.6</v>
      </c>
      <c r="G51" s="582">
        <v>0.4</v>
      </c>
      <c r="H51" s="582">
        <v>0.2</v>
      </c>
      <c r="I51" s="583">
        <v>0</v>
      </c>
      <c r="J51" s="57"/>
      <c r="K51" s="57"/>
      <c r="L51" s="57"/>
      <c r="M51" s="57"/>
      <c r="N51" s="57"/>
      <c r="O51" s="57"/>
      <c r="P51" s="57"/>
      <c r="Q51" s="57"/>
      <c r="R51" s="57"/>
      <c r="S51" s="57"/>
      <c r="T51" s="57"/>
      <c r="U51" s="57"/>
      <c r="V51" s="57"/>
      <c r="W51" s="57"/>
      <c r="X51" s="57"/>
      <c r="Y51" s="57"/>
      <c r="Z51" s="57"/>
    </row>
    <row r="52" spans="2:26">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2:26">
      <c r="B53" s="57"/>
      <c r="C53" s="57"/>
      <c r="D53" s="57"/>
      <c r="E53" s="57"/>
      <c r="F53" s="57"/>
      <c r="G53" s="57"/>
      <c r="H53" s="58"/>
      <c r="I53" s="58"/>
      <c r="J53" s="58"/>
      <c r="K53" s="57"/>
      <c r="L53" s="57"/>
      <c r="M53" s="57"/>
      <c r="N53" s="57"/>
      <c r="O53" s="57"/>
      <c r="P53" s="57"/>
      <c r="Q53" s="57"/>
      <c r="R53" s="57"/>
      <c r="S53" s="57"/>
      <c r="T53" s="57"/>
      <c r="U53" s="57"/>
      <c r="V53" s="57"/>
      <c r="W53" s="57"/>
      <c r="X53" s="57"/>
      <c r="Y53" s="57"/>
      <c r="Z53" s="57"/>
    </row>
    <row r="54" spans="2:26">
      <c r="B54" s="57"/>
      <c r="C54" s="57"/>
      <c r="D54" s="57"/>
      <c r="E54" s="57"/>
      <c r="F54" s="57"/>
      <c r="G54" s="57"/>
      <c r="H54" s="58"/>
      <c r="I54" s="58"/>
      <c r="J54" s="58"/>
      <c r="K54" s="57"/>
      <c r="L54" s="57"/>
      <c r="M54" s="57"/>
      <c r="N54" s="57"/>
      <c r="O54" s="57"/>
      <c r="P54" s="57"/>
      <c r="Q54" s="57"/>
      <c r="R54" s="57"/>
      <c r="S54" s="57"/>
      <c r="T54" s="57"/>
      <c r="U54" s="57"/>
      <c r="V54" s="57"/>
      <c r="W54" s="57"/>
      <c r="X54" s="57"/>
      <c r="Y54" s="57"/>
      <c r="Z54" s="57"/>
    </row>
    <row r="55" spans="2:26">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2:26">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2:26">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2:26">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2:26">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2:26">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2:26">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2:26">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2:26">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2:26">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2:26">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2:26">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2:26">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2:26">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2:26">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2:26">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2:26">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2:26">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2:26">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2:26">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2:26">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2:26">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2:26">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2:26">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2:26">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2:26">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2:26">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2:26">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2:26">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2:26">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2:26">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2:26">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2:26">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2:26">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2:26">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2:26">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2:26">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2:26">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2:26">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2:26">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2:26">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2:26">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2:26">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2:26">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2:26">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2:26">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2:26">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2:26">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2:26">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2:26">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2:26">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2:26">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2:26">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2:26">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2:2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2:26">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2:26">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2:26">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2:26">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2:26">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2:26">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2:26">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2:26">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2:26">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2:26">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2:26">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2:26">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2:26">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2:26">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2:26">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2:26">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2:26">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2:26">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2:26">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2:26">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2:26">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2:26">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2:26">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2:26">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2:26">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2:26">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2:26">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2:26">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2:26">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2:26">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2:26">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2:26">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2:26">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2:26">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2:26">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2:26">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2:26">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2:26">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2:26">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2:26">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2:26">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2:26">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2:26">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2:26">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2:26">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2:26">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2:26">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2:26">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2:26">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2:26">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2:26">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sheetData>
  <mergeCells count="1">
    <mergeCell ref="J31:L31"/>
  </mergeCells>
  <conditionalFormatting sqref="M31">
    <cfRule type="containsText" dxfId="239" priority="1" operator="containsText" text="CHECK">
      <formula>NOT(ISERROR(SEARCH("CHECK",M31)))</formula>
    </cfRule>
    <cfRule type="cellIs" dxfId="238" priority="2" operator="greaterThan">
      <formula>0</formula>
    </cfRule>
  </conditionalFormatting>
  <pageMargins left="0.5" right="0.5" top="0.5" bottom="0.5" header="0.3" footer="0.3"/>
  <pageSetup scale="87" orientation="landscape"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'A1'!$E$75:$E$76</xm:f>
          </x14:formula1>
          <xm:sqref>R17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CF137"/>
  <sheetViews>
    <sheetView showGridLines="0" view="pageBreakPreview" zoomScale="70" zoomScaleNormal="100" zoomScaleSheetLayoutView="70" workbookViewId="0">
      <selection activeCell="D19" sqref="D19"/>
    </sheetView>
  </sheetViews>
  <sheetFormatPr defaultColWidth="8.7109375" defaultRowHeight="15" outlineLevelRow="1"/>
  <cols>
    <col min="1" max="1" width="1.5703125" style="22" customWidth="1"/>
    <col min="2" max="2" width="44.85546875" style="22" customWidth="1"/>
    <col min="3" max="3" width="4.28515625" style="22" customWidth="1"/>
    <col min="4" max="11" width="16.140625" style="22" customWidth="1"/>
    <col min="12" max="12" width="4.28515625" style="22" customWidth="1"/>
    <col min="13" max="20" width="16.140625" style="22" customWidth="1"/>
    <col min="21" max="21" width="1.5703125" style="22" customWidth="1"/>
    <col min="22" max="22" width="2.5703125" style="22" customWidth="1"/>
    <col min="23" max="16384" width="8.7109375" style="22"/>
  </cols>
  <sheetData>
    <row r="1" spans="1:84" ht="11.25" customHeight="1" thickBot="1"/>
    <row r="2" spans="1:84" ht="16.5" thickTop="1">
      <c r="A2" s="18"/>
      <c r="B2" s="2" t="str">
        <f>Outline!B2</f>
        <v>Satellite Healthcare WB Santa Cruz Valuation</v>
      </c>
      <c r="C2" s="2"/>
      <c r="D2" s="23"/>
      <c r="E2" s="23"/>
      <c r="F2" s="23"/>
      <c r="G2" s="23"/>
      <c r="H2" s="23"/>
      <c r="I2" s="23"/>
      <c r="J2" s="23"/>
      <c r="K2" s="949" t="s">
        <v>443</v>
      </c>
      <c r="L2" s="23"/>
      <c r="M2" s="23"/>
      <c r="N2" s="23"/>
      <c r="O2" s="23"/>
      <c r="P2" s="23"/>
      <c r="Q2" s="23"/>
      <c r="R2" s="23"/>
      <c r="S2" s="23"/>
      <c r="T2" s="949" t="s">
        <v>442</v>
      </c>
    </row>
    <row r="3" spans="1:84" ht="15.75">
      <c r="A3" s="25">
        <f>Outline!B22</f>
        <v>0</v>
      </c>
      <c r="B3" s="4" t="str">
        <f>+Outline!C19</f>
        <v>Exhibit B3</v>
      </c>
      <c r="C3" s="4"/>
      <c r="D3" s="26"/>
      <c r="E3" s="26"/>
      <c r="F3" s="26"/>
      <c r="G3" s="26"/>
      <c r="H3" s="26"/>
      <c r="I3" s="26"/>
      <c r="J3" s="26"/>
      <c r="K3" s="26"/>
      <c r="L3" s="26"/>
      <c r="M3" s="26"/>
      <c r="N3" s="26"/>
      <c r="O3" s="26"/>
      <c r="P3" s="26"/>
      <c r="Q3" s="26"/>
      <c r="R3" s="26"/>
      <c r="S3" s="26"/>
      <c r="T3" s="26"/>
    </row>
    <row r="4" spans="1:84" ht="16.5" thickBot="1">
      <c r="A4" s="18"/>
      <c r="B4" s="5" t="s">
        <v>431</v>
      </c>
      <c r="C4" s="5"/>
      <c r="D4" s="5"/>
      <c r="E4" s="5"/>
      <c r="F4" s="5"/>
      <c r="G4" s="5"/>
      <c r="H4" s="5"/>
      <c r="I4" s="5"/>
      <c r="J4" s="5"/>
      <c r="K4" s="6" t="str">
        <f>'C1'!L4</f>
        <v>Values in $ Thousands (except Total Treatments and Patient Count)</v>
      </c>
      <c r="L4" s="28"/>
      <c r="M4" s="28"/>
      <c r="N4" s="28"/>
      <c r="O4" s="28"/>
      <c r="P4" s="28"/>
      <c r="Q4" s="28"/>
      <c r="R4" s="28"/>
      <c r="S4" s="28"/>
      <c r="T4" s="6" t="str">
        <f>'C1'!S4</f>
        <v>Values in $ (except Total Treatments and Patient Count)</v>
      </c>
    </row>
    <row r="5" spans="1:84" ht="15.75" thickTop="1">
      <c r="A5" s="57"/>
      <c r="B5" s="390"/>
      <c r="C5" s="584"/>
      <c r="D5" s="585"/>
      <c r="E5" s="585"/>
      <c r="F5" s="585"/>
      <c r="G5" s="585"/>
      <c r="H5" s="585"/>
      <c r="I5" s="585"/>
      <c r="J5" s="585"/>
      <c r="K5" s="383"/>
      <c r="L5" s="390"/>
      <c r="M5" s="383"/>
      <c r="N5" s="383"/>
      <c r="O5" s="383"/>
      <c r="P5" s="383"/>
      <c r="Q5" s="383"/>
      <c r="R5" s="383"/>
      <c r="S5" s="383"/>
      <c r="T5" s="383"/>
      <c r="U5" s="383"/>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row>
    <row r="6" spans="1:84" ht="17.25" customHeight="1">
      <c r="A6" s="57"/>
      <c r="B6" s="390"/>
      <c r="C6" s="584"/>
      <c r="D6" s="1054" t="s">
        <v>656</v>
      </c>
      <c r="E6" s="1055"/>
      <c r="F6" s="1055"/>
      <c r="G6" s="1055"/>
      <c r="H6" s="1055"/>
      <c r="I6" s="1055"/>
      <c r="J6" s="1055"/>
      <c r="K6" s="1109"/>
      <c r="L6" s="584"/>
      <c r="M6" s="1054" t="s">
        <v>657</v>
      </c>
      <c r="N6" s="1055"/>
      <c r="O6" s="1055"/>
      <c r="P6" s="1055"/>
      <c r="Q6" s="1056"/>
      <c r="R6" s="1056"/>
      <c r="S6" s="1056"/>
      <c r="T6" s="1057"/>
      <c r="U6" s="383"/>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row>
    <row r="7" spans="1:84" ht="13.15" customHeight="1">
      <c r="A7" s="57"/>
      <c r="B7" s="390"/>
      <c r="C7" s="584"/>
      <c r="D7" s="859">
        <f>'Historical Actuals'!T41</f>
        <v>2011</v>
      </c>
      <c r="E7" s="858">
        <f>'Historical Actuals'!S41</f>
        <v>2012</v>
      </c>
      <c r="F7" s="858">
        <f>'Historical Actuals'!R41</f>
        <v>2013</v>
      </c>
      <c r="G7" s="858">
        <f>'Historical Actuals'!Q41</f>
        <v>2014</v>
      </c>
      <c r="H7" s="858">
        <f>'Historical Actuals'!P41</f>
        <v>2015</v>
      </c>
      <c r="I7" s="858">
        <f>'Historical Actuals'!O41</f>
        <v>2016</v>
      </c>
      <c r="J7" s="858">
        <f>'Historical Actuals'!N41</f>
        <v>2017</v>
      </c>
      <c r="K7" s="1045">
        <f>'Historical Actuals'!M41</f>
        <v>2018</v>
      </c>
      <c r="L7" s="584"/>
      <c r="M7" s="859">
        <f t="shared" ref="M7:T7" si="0">D7</f>
        <v>2011</v>
      </c>
      <c r="N7" s="858">
        <f t="shared" si="0"/>
        <v>2012</v>
      </c>
      <c r="O7" s="858">
        <f t="shared" si="0"/>
        <v>2013</v>
      </c>
      <c r="P7" s="858">
        <f t="shared" si="0"/>
        <v>2014</v>
      </c>
      <c r="Q7" s="858">
        <f t="shared" si="0"/>
        <v>2015</v>
      </c>
      <c r="R7" s="858">
        <f t="shared" si="0"/>
        <v>2016</v>
      </c>
      <c r="S7" s="858">
        <f t="shared" si="0"/>
        <v>2017</v>
      </c>
      <c r="T7" s="1045">
        <f t="shared" si="0"/>
        <v>2018</v>
      </c>
      <c r="U7" s="383"/>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row>
    <row r="8" spans="1:84" ht="14.25" customHeight="1">
      <c r="A8" s="57"/>
      <c r="B8" s="586"/>
      <c r="C8" s="586"/>
      <c r="D8" s="860" t="s">
        <v>214</v>
      </c>
      <c r="E8" s="1046"/>
      <c r="F8" s="1046" t="s">
        <v>214</v>
      </c>
      <c r="G8" s="1046" t="s">
        <v>214</v>
      </c>
      <c r="H8" s="1046" t="s">
        <v>214</v>
      </c>
      <c r="I8" s="1046" t="s">
        <v>214</v>
      </c>
      <c r="J8" s="1046" t="s">
        <v>214</v>
      </c>
      <c r="K8" s="1047" t="s">
        <v>652</v>
      </c>
      <c r="L8" s="586"/>
      <c r="M8" s="860" t="s">
        <v>214</v>
      </c>
      <c r="N8" s="1046" t="s">
        <v>214</v>
      </c>
      <c r="O8" s="1046" t="s">
        <v>214</v>
      </c>
      <c r="P8" s="1046" t="s">
        <v>214</v>
      </c>
      <c r="Q8" s="1046" t="s">
        <v>214</v>
      </c>
      <c r="R8" s="1046" t="s">
        <v>214</v>
      </c>
      <c r="S8" s="1046" t="str">
        <f>J8</f>
        <v xml:space="preserve">Actual </v>
      </c>
      <c r="T8" s="1047" t="str">
        <f>K8</f>
        <v xml:space="preserve">YTD Dec. Actual </v>
      </c>
      <c r="U8" s="383"/>
      <c r="V8" s="57"/>
      <c r="W8" s="57"/>
      <c r="X8" s="680"/>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row>
    <row r="9" spans="1:84">
      <c r="A9" s="57"/>
      <c r="B9" s="586"/>
      <c r="C9" s="586"/>
      <c r="D9" s="586"/>
      <c r="E9" s="586"/>
      <c r="F9" s="586"/>
      <c r="G9" s="586"/>
      <c r="H9" s="586"/>
      <c r="I9" s="586"/>
      <c r="J9" s="586"/>
      <c r="K9" s="586"/>
      <c r="L9" s="586"/>
      <c r="M9" s="586"/>
      <c r="N9" s="586"/>
      <c r="O9" s="586"/>
      <c r="P9" s="586"/>
      <c r="Q9" s="390"/>
      <c r="R9" s="390"/>
      <c r="S9" s="390"/>
      <c r="T9" s="390"/>
      <c r="U9" s="383"/>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row>
    <row r="10" spans="1:84" s="57" customFormat="1" ht="12.75">
      <c r="B10" s="374" t="s">
        <v>115</v>
      </c>
      <c r="C10" s="318"/>
      <c r="D10" s="843">
        <f>'Historical Actuals'!T44/1000</f>
        <v>2026.6302500000002</v>
      </c>
      <c r="E10" s="843">
        <f>'Historical Actuals'!S44/1000</f>
        <v>2548.5302799999999</v>
      </c>
      <c r="F10" s="843">
        <f>'Historical Actuals'!R44/1000</f>
        <v>2570.1793500000003</v>
      </c>
      <c r="G10" s="843">
        <f>'Historical Actuals'!Q44/1000</f>
        <v>2402.0425999999998</v>
      </c>
      <c r="H10" s="843">
        <f>'Historical Actuals'!P44/1000</f>
        <v>2590.0863100000006</v>
      </c>
      <c r="I10" s="843">
        <f>'Historical Actuals'!O44/1000</f>
        <v>3126.2068000000004</v>
      </c>
      <c r="J10" s="843">
        <f>'Historical Actuals'!N44/1000</f>
        <v>2998.5903899999998</v>
      </c>
      <c r="K10" s="843">
        <f>'Historical Actuals'!M44/1000</f>
        <v>3312.6134900000002</v>
      </c>
      <c r="L10" s="1224"/>
      <c r="M10" s="843">
        <f>'Historical Actuals'!AC44</f>
        <v>402.93148574187683</v>
      </c>
      <c r="N10" s="843">
        <f>'Historical Actuals'!AB44</f>
        <v>384.39370739064856</v>
      </c>
      <c r="O10" s="843">
        <f>'Historical Actuals'!AA44</f>
        <v>375.60032254697296</v>
      </c>
      <c r="P10" s="843">
        <f>'Historical Actuals'!Z44</f>
        <v>346.00169149724252</v>
      </c>
      <c r="Q10" s="843">
        <f>'Historical Actuals'!Y44</f>
        <v>362.30774489428893</v>
      </c>
      <c r="R10" s="843">
        <f>'Historical Actuals'!X44</f>
        <v>373.95457201934425</v>
      </c>
      <c r="S10" s="843">
        <f>'Historical Actuals'!W44</f>
        <v>349.77142073953104</v>
      </c>
      <c r="T10" s="843">
        <f>'Historical Actuals'!V44</f>
        <v>385.21321067845048</v>
      </c>
      <c r="U10" s="383"/>
    </row>
    <row r="11" spans="1:84" s="57" customFormat="1" ht="12.75">
      <c r="B11" s="375" t="s">
        <v>113</v>
      </c>
      <c r="C11" s="318"/>
      <c r="D11" s="844">
        <f>'Historical Actuals'!T45</f>
        <v>5029.7142857142862</v>
      </c>
      <c r="E11" s="844">
        <f>'Historical Actuals'!S45</f>
        <v>6630</v>
      </c>
      <c r="F11" s="844">
        <f>'Historical Actuals'!R45</f>
        <v>6842.8571428571422</v>
      </c>
      <c r="G11" s="844">
        <f>'Historical Actuals'!Q45</f>
        <v>6942.2857142857138</v>
      </c>
      <c r="H11" s="844">
        <f>'Historical Actuals'!P45</f>
        <v>7148.8571428571413</v>
      </c>
      <c r="I11" s="844">
        <f>'Historical Actuals'!O45</f>
        <v>8359.8571428571413</v>
      </c>
      <c r="J11" s="844">
        <f>'Historical Actuals'!N45</f>
        <v>8573</v>
      </c>
      <c r="K11" s="844">
        <f>'Historical Actuals'!M45</f>
        <v>8599.4285714285706</v>
      </c>
      <c r="L11" s="1225"/>
      <c r="M11" s="844">
        <f>'Historical Actuals'!AC45</f>
        <v>5029.7142857142862</v>
      </c>
      <c r="N11" s="844">
        <f>'Historical Actuals'!AB45</f>
        <v>6630</v>
      </c>
      <c r="O11" s="844">
        <f>'Historical Actuals'!AA45</f>
        <v>6842.8571428571422</v>
      </c>
      <c r="P11" s="844">
        <f>'Historical Actuals'!Z45</f>
        <v>6942.2857142857138</v>
      </c>
      <c r="Q11" s="844">
        <f>'Historical Actuals'!Y45</f>
        <v>7148.8571428571413</v>
      </c>
      <c r="R11" s="844">
        <f>'Historical Actuals'!X45</f>
        <v>8359.8571428571413</v>
      </c>
      <c r="S11" s="844">
        <f>'Historical Actuals'!W45</f>
        <v>8573</v>
      </c>
      <c r="T11" s="844">
        <f>'Historical Actuals'!V45</f>
        <v>8599.4285714285706</v>
      </c>
      <c r="U11" s="383"/>
    </row>
    <row r="12" spans="1:84" s="57" customFormat="1" ht="12.75">
      <c r="B12" s="374" t="s">
        <v>50</v>
      </c>
      <c r="C12" s="318"/>
      <c r="D12" s="845">
        <f>'Historical Actuals'!T46</f>
        <v>39</v>
      </c>
      <c r="E12" s="845">
        <f>'Historical Actuals'!S46</f>
        <v>47</v>
      </c>
      <c r="F12" s="845">
        <f>'Historical Actuals'!R46</f>
        <v>42</v>
      </c>
      <c r="G12" s="845">
        <f>'Historical Actuals'!Q46</f>
        <v>45</v>
      </c>
      <c r="H12" s="845">
        <f>'Historical Actuals'!P46</f>
        <v>53</v>
      </c>
      <c r="I12" s="845">
        <f>'Historical Actuals'!O46</f>
        <v>52</v>
      </c>
      <c r="J12" s="845">
        <f>'Historical Actuals'!N46</f>
        <v>58</v>
      </c>
      <c r="K12" s="845">
        <f>'Historical Actuals'!M46</f>
        <v>58</v>
      </c>
      <c r="L12" s="1225"/>
      <c r="M12" s="845">
        <f>'Historical Actuals'!AC46</f>
        <v>39</v>
      </c>
      <c r="N12" s="845">
        <f>'Historical Actuals'!AB46</f>
        <v>47</v>
      </c>
      <c r="O12" s="845">
        <f>'Historical Actuals'!AA46</f>
        <v>42</v>
      </c>
      <c r="P12" s="845">
        <f>'Historical Actuals'!Z46</f>
        <v>45</v>
      </c>
      <c r="Q12" s="845">
        <f>'Historical Actuals'!Y46</f>
        <v>53</v>
      </c>
      <c r="R12" s="845">
        <f>'Historical Actuals'!X46</f>
        <v>52</v>
      </c>
      <c r="S12" s="845">
        <f>'Historical Actuals'!W46</f>
        <v>58</v>
      </c>
      <c r="T12" s="845">
        <f>'Historical Actuals'!V46</f>
        <v>58</v>
      </c>
      <c r="U12" s="383"/>
    </row>
    <row r="13" spans="1:84" s="57" customFormat="1" ht="12.75">
      <c r="B13" s="375"/>
      <c r="C13" s="318"/>
      <c r="D13" s="846"/>
      <c r="E13" s="846"/>
      <c r="F13" s="846"/>
      <c r="G13" s="846"/>
      <c r="H13" s="846"/>
      <c r="I13" s="846"/>
      <c r="J13" s="846"/>
      <c r="K13" s="846"/>
      <c r="L13" s="846"/>
      <c r="M13" s="846"/>
      <c r="N13" s="846"/>
      <c r="O13" s="846"/>
      <c r="P13" s="846"/>
      <c r="Q13" s="846"/>
      <c r="R13" s="846"/>
      <c r="S13" s="846"/>
      <c r="T13" s="846"/>
      <c r="U13" s="383"/>
    </row>
    <row r="14" spans="1:84" s="57" customFormat="1" ht="12.75">
      <c r="B14" s="377" t="s">
        <v>116</v>
      </c>
      <c r="C14" s="385"/>
      <c r="D14" s="848">
        <f>D10/0.99</f>
        <v>2047.1012626262627</v>
      </c>
      <c r="E14" s="848">
        <f>E10/0.99</f>
        <v>2574.2730101010102</v>
      </c>
      <c r="F14" s="848">
        <f t="shared" ref="F14:K14" si="1">F10/0.99</f>
        <v>2596.140757575758</v>
      </c>
      <c r="G14" s="848">
        <f t="shared" si="1"/>
        <v>2426.3056565656561</v>
      </c>
      <c r="H14" s="848">
        <f t="shared" si="1"/>
        <v>2616.2487979797984</v>
      </c>
      <c r="I14" s="848">
        <f t="shared" si="1"/>
        <v>3157.7846464646468</v>
      </c>
      <c r="J14" s="848">
        <f t="shared" si="1"/>
        <v>3028.8791818181817</v>
      </c>
      <c r="K14" s="848">
        <f t="shared" si="1"/>
        <v>3346.0742323232325</v>
      </c>
      <c r="L14" s="846"/>
      <c r="M14" s="848">
        <f>IFERROR(D14/D$11*1000,"NM")</f>
        <v>407.00150074937051</v>
      </c>
      <c r="N14" s="848">
        <f>IFERROR(E14/E$11*1000,"NM")</f>
        <v>388.27647211176622</v>
      </c>
      <c r="O14" s="848">
        <f>IFERROR(F14/F$11*1000,"NM")</f>
        <v>379.39426519896256</v>
      </c>
      <c r="P14" s="848">
        <f>G14/G$11*1000</f>
        <v>349.49665807802279</v>
      </c>
      <c r="Q14" s="848">
        <f>H14/H$11*1000</f>
        <v>365.96741908514036</v>
      </c>
      <c r="R14" s="848">
        <f>I14/I$11*1000</f>
        <v>377.73189092863055</v>
      </c>
      <c r="S14" s="848">
        <f>J14/J$11*1000</f>
        <v>353.3044653934657</v>
      </c>
      <c r="T14" s="848">
        <f>K14/K$11*1000</f>
        <v>389.10425321055601</v>
      </c>
      <c r="U14" s="383"/>
      <c r="W14" s="1228"/>
    </row>
    <row r="15" spans="1:84" s="57" customFormat="1" ht="12.75">
      <c r="B15" s="376"/>
      <c r="C15" s="384"/>
      <c r="D15" s="849"/>
      <c r="E15" s="849"/>
      <c r="F15" s="849"/>
      <c r="G15" s="849"/>
      <c r="H15" s="849"/>
      <c r="I15" s="849"/>
      <c r="J15" s="849"/>
      <c r="K15" s="849"/>
      <c r="L15" s="850"/>
      <c r="M15" s="849"/>
      <c r="N15" s="849"/>
      <c r="O15" s="849"/>
      <c r="P15" s="849"/>
      <c r="Q15" s="849"/>
      <c r="R15" s="849"/>
      <c r="S15" s="849"/>
      <c r="T15" s="849"/>
      <c r="U15" s="383"/>
    </row>
    <row r="16" spans="1:84" s="57" customFormat="1">
      <c r="B16" s="376" t="s">
        <v>60</v>
      </c>
      <c r="C16" s="384"/>
      <c r="D16" s="851">
        <f t="shared" ref="D16:K16" si="2">+D14*1%</f>
        <v>20.471012626262628</v>
      </c>
      <c r="E16" s="851">
        <f>+E14*1%</f>
        <v>25.742730101010103</v>
      </c>
      <c r="F16" s="851">
        <f t="shared" si="2"/>
        <v>25.96140757575758</v>
      </c>
      <c r="G16" s="851">
        <f t="shared" si="2"/>
        <v>24.263056565656562</v>
      </c>
      <c r="H16" s="851">
        <f t="shared" si="2"/>
        <v>26.162487979797984</v>
      </c>
      <c r="I16" s="851">
        <f t="shared" si="2"/>
        <v>31.57784646464647</v>
      </c>
      <c r="J16" s="851">
        <f t="shared" si="2"/>
        <v>30.288791818181817</v>
      </c>
      <c r="K16" s="851">
        <f t="shared" si="2"/>
        <v>33.460742323232324</v>
      </c>
      <c r="L16" s="1226"/>
      <c r="M16" s="851">
        <f t="shared" ref="M16:O17" si="3">IFERROR(D16/D$11*1000,"NM")</f>
        <v>4.0700150074937049</v>
      </c>
      <c r="N16" s="851">
        <f t="shared" si="3"/>
        <v>3.8827647211176624</v>
      </c>
      <c r="O16" s="851">
        <f t="shared" si="3"/>
        <v>3.7939426519896258</v>
      </c>
      <c r="P16" s="851">
        <f t="shared" ref="P16:T17" si="4">G16/G$11*1000</f>
        <v>3.4949665807802277</v>
      </c>
      <c r="Q16" s="851">
        <f t="shared" si="4"/>
        <v>3.659674190851403</v>
      </c>
      <c r="R16" s="851">
        <f t="shared" si="4"/>
        <v>3.777318909286306</v>
      </c>
      <c r="S16" s="851">
        <f t="shared" si="4"/>
        <v>3.5330446539346574</v>
      </c>
      <c r="T16" s="851">
        <f t="shared" si="4"/>
        <v>3.8910425321055602</v>
      </c>
      <c r="U16" s="383"/>
    </row>
    <row r="17" spans="1:31" s="57" customFormat="1" ht="12.75">
      <c r="B17" s="377" t="s">
        <v>115</v>
      </c>
      <c r="C17" s="385"/>
      <c r="D17" s="852">
        <f t="shared" ref="D17:K17" si="5">D14-D16</f>
        <v>2026.6302500000002</v>
      </c>
      <c r="E17" s="852">
        <f>E14-E16</f>
        <v>2548.5302799999999</v>
      </c>
      <c r="F17" s="852">
        <f t="shared" si="5"/>
        <v>2570.1793500000003</v>
      </c>
      <c r="G17" s="852">
        <f t="shared" si="5"/>
        <v>2402.0425999999998</v>
      </c>
      <c r="H17" s="852">
        <f t="shared" si="5"/>
        <v>2590.0863100000006</v>
      </c>
      <c r="I17" s="852">
        <f t="shared" si="5"/>
        <v>3126.2068000000004</v>
      </c>
      <c r="J17" s="852">
        <f t="shared" si="5"/>
        <v>2998.5903899999998</v>
      </c>
      <c r="K17" s="852">
        <f t="shared" si="5"/>
        <v>3312.6134900000002</v>
      </c>
      <c r="L17" s="853"/>
      <c r="M17" s="852">
        <f t="shared" si="3"/>
        <v>402.93148574187683</v>
      </c>
      <c r="N17" s="852">
        <f t="shared" si="3"/>
        <v>384.39370739064856</v>
      </c>
      <c r="O17" s="852">
        <f t="shared" si="3"/>
        <v>375.60032254697296</v>
      </c>
      <c r="P17" s="852">
        <f t="shared" si="4"/>
        <v>346.00169149724258</v>
      </c>
      <c r="Q17" s="852">
        <f t="shared" si="4"/>
        <v>362.30774489428899</v>
      </c>
      <c r="R17" s="852">
        <f t="shared" si="4"/>
        <v>373.95457201934425</v>
      </c>
      <c r="S17" s="852">
        <f t="shared" si="4"/>
        <v>349.77142073953104</v>
      </c>
      <c r="T17" s="852">
        <f t="shared" si="4"/>
        <v>385.21321067845042</v>
      </c>
      <c r="U17" s="383"/>
      <c r="W17" s="1229"/>
    </row>
    <row r="18" spans="1:31" s="57" customFormat="1" ht="12.75">
      <c r="A18" s="767"/>
      <c r="B18" s="376"/>
      <c r="C18" s="384"/>
      <c r="D18" s="850"/>
      <c r="E18" s="850"/>
      <c r="F18" s="850"/>
      <c r="G18" s="850"/>
      <c r="H18" s="850"/>
      <c r="I18" s="850"/>
      <c r="J18" s="1013"/>
      <c r="K18" s="1013"/>
      <c r="L18" s="850"/>
      <c r="M18" s="850"/>
      <c r="N18" s="850"/>
      <c r="O18" s="850"/>
      <c r="P18" s="850"/>
      <c r="Q18" s="850"/>
      <c r="R18" s="850"/>
      <c r="S18" s="850"/>
      <c r="T18" s="850"/>
      <c r="U18" s="383"/>
    </row>
    <row r="19" spans="1:31" s="57" customFormat="1" ht="12.75">
      <c r="A19" s="767">
        <v>1</v>
      </c>
      <c r="B19" s="376" t="s">
        <v>47</v>
      </c>
      <c r="C19" s="384"/>
      <c r="D19" s="854">
        <f>'Historical Actuals'!T48/1000</f>
        <v>209.39919999999998</v>
      </c>
      <c r="E19" s="854">
        <f>'Historical Actuals'!S48/1000</f>
        <v>280.01046000000002</v>
      </c>
      <c r="F19" s="854">
        <f>'Historical Actuals'!R48/1000</f>
        <v>329.52648999999997</v>
      </c>
      <c r="G19" s="854">
        <f>'Historical Actuals'!Q48/1000</f>
        <v>286.44667000000004</v>
      </c>
      <c r="H19" s="854">
        <f>'Historical Actuals'!P48/1000</f>
        <v>295.49644000000001</v>
      </c>
      <c r="I19" s="854">
        <f>'Historical Actuals'!O48/1000</f>
        <v>374.20239999999995</v>
      </c>
      <c r="J19" s="854">
        <f>'Historical Actuals'!N48/1000</f>
        <v>367.47422000000012</v>
      </c>
      <c r="K19" s="854">
        <f>'Historical Actuals'!M48/1000</f>
        <v>457.77917999999994</v>
      </c>
      <c r="L19" s="847"/>
      <c r="M19" s="847">
        <f t="shared" ref="M19:O25" si="6">IFERROR(D19/D$11*1000,"NM")</f>
        <v>41.632424448988857</v>
      </c>
      <c r="N19" s="847">
        <f t="shared" si="6"/>
        <v>42.23385520361991</v>
      </c>
      <c r="O19" s="847">
        <f t="shared" si="6"/>
        <v>48.156272025052189</v>
      </c>
      <c r="P19" s="847">
        <f t="shared" ref="P19:T25" si="7">G19/G$11*1000</f>
        <v>41.26114680220595</v>
      </c>
      <c r="Q19" s="847">
        <f t="shared" si="7"/>
        <v>41.33478038447705</v>
      </c>
      <c r="R19" s="847">
        <f t="shared" si="7"/>
        <v>44.761817529349443</v>
      </c>
      <c r="S19" s="847">
        <f t="shared" si="7"/>
        <v>42.864133908783401</v>
      </c>
      <c r="T19" s="847">
        <f t="shared" si="7"/>
        <v>53.233674330520302</v>
      </c>
      <c r="U19" s="383"/>
    </row>
    <row r="20" spans="1:31" s="57" customFormat="1" ht="12.75">
      <c r="A20" s="767">
        <v>1</v>
      </c>
      <c r="B20" s="376" t="s">
        <v>117</v>
      </c>
      <c r="C20" s="384"/>
      <c r="D20" s="854">
        <f>'Historical Actuals'!T49/1000</f>
        <v>56.869810000000015</v>
      </c>
      <c r="E20" s="854">
        <f>'Historical Actuals'!S49/1000</f>
        <v>62.086120000000001</v>
      </c>
      <c r="F20" s="854">
        <f>'Historical Actuals'!R49/1000</f>
        <v>103.21065000000003</v>
      </c>
      <c r="G20" s="854">
        <f>'Historical Actuals'!Q49/1000</f>
        <v>98.750400000000013</v>
      </c>
      <c r="H20" s="854">
        <f>'Historical Actuals'!P49/1000</f>
        <v>120.47483000000001</v>
      </c>
      <c r="I20" s="854">
        <f>'Historical Actuals'!O49/1000</f>
        <v>129.87923000000001</v>
      </c>
      <c r="J20" s="854">
        <f>'Historical Actuals'!N49/1000</f>
        <v>131.2234</v>
      </c>
      <c r="K20" s="854">
        <f>'Historical Actuals'!M49/1000</f>
        <v>201.14483000000004</v>
      </c>
      <c r="L20" s="847"/>
      <c r="M20" s="847">
        <f t="shared" si="6"/>
        <v>11.306767496023632</v>
      </c>
      <c r="N20" s="847">
        <f t="shared" si="6"/>
        <v>9.3644223227752637</v>
      </c>
      <c r="O20" s="847">
        <f t="shared" si="6"/>
        <v>15.082975991649276</v>
      </c>
      <c r="P20" s="847">
        <f t="shared" si="7"/>
        <v>14.224479381019016</v>
      </c>
      <c r="Q20" s="847">
        <f t="shared" si="7"/>
        <v>16.852320250989173</v>
      </c>
      <c r="R20" s="847">
        <f t="shared" si="7"/>
        <v>15.536058545087924</v>
      </c>
      <c r="S20" s="847">
        <f t="shared" si="7"/>
        <v>15.306590458415956</v>
      </c>
      <c r="T20" s="847">
        <f t="shared" si="7"/>
        <v>23.390487906173178</v>
      </c>
      <c r="U20" s="383"/>
      <c r="Y20" s="57" t="s">
        <v>215</v>
      </c>
      <c r="AA20" s="386">
        <f>SUM(P21:P24)</f>
        <v>118.47632694048896</v>
      </c>
      <c r="AB20" s="386">
        <f>SUM(Q21:Q24)</f>
        <v>118.93935939810564</v>
      </c>
      <c r="AC20" s="386">
        <f>SUM(R21:R24)</f>
        <v>118.71140080999334</v>
      </c>
      <c r="AD20" s="386">
        <f>SUM(S21:S24)</f>
        <v>141.41102904467513</v>
      </c>
      <c r="AE20" s="386"/>
    </row>
    <row r="21" spans="1:31" s="57" customFormat="1" ht="12.75">
      <c r="A21" s="767">
        <v>2</v>
      </c>
      <c r="B21" s="376" t="s">
        <v>118</v>
      </c>
      <c r="C21" s="384"/>
      <c r="D21" s="854">
        <f>'Historical Actuals'!T50/1000</f>
        <v>145.00659000000002</v>
      </c>
      <c r="E21" s="854">
        <f>'Historical Actuals'!S50/1000</f>
        <v>217.727777</v>
      </c>
      <c r="F21" s="854">
        <f>'Historical Actuals'!R50/1000</f>
        <v>213.166719</v>
      </c>
      <c r="G21" s="854">
        <f>'Historical Actuals'!Q50/1000</f>
        <v>203.92913199999995</v>
      </c>
      <c r="H21" s="854">
        <f>'Historical Actuals'!P50/1000</f>
        <v>187.43408899999997</v>
      </c>
      <c r="I21" s="854">
        <f>'Historical Actuals'!O50/1000</f>
        <v>172.62921199999997</v>
      </c>
      <c r="J21" s="854">
        <f>'Historical Actuals'!N50/1000</f>
        <v>203.58096199999994</v>
      </c>
      <c r="K21" s="854">
        <f>'Historical Actuals'!M50/1000</f>
        <v>341.78339399999999</v>
      </c>
      <c r="L21" s="847"/>
      <c r="M21" s="847">
        <f t="shared" si="6"/>
        <v>28.82998551465576</v>
      </c>
      <c r="N21" s="847">
        <f t="shared" si="6"/>
        <v>32.839785369532429</v>
      </c>
      <c r="O21" s="847">
        <f t="shared" si="6"/>
        <v>31.151712588726518</v>
      </c>
      <c r="P21" s="847">
        <f t="shared" si="7"/>
        <v>29.374926413696596</v>
      </c>
      <c r="Q21" s="847">
        <f t="shared" si="7"/>
        <v>26.218748711082693</v>
      </c>
      <c r="R21" s="847">
        <f t="shared" si="7"/>
        <v>20.649780139783658</v>
      </c>
      <c r="S21" s="847">
        <f t="shared" si="7"/>
        <v>23.746758660912157</v>
      </c>
      <c r="T21" s="847">
        <f t="shared" si="7"/>
        <v>39.744895973154364</v>
      </c>
      <c r="U21" s="383"/>
      <c r="Y21" s="57" t="s">
        <v>216</v>
      </c>
      <c r="AA21" s="56">
        <f>AA20/P14</f>
        <v>0.33899130135327332</v>
      </c>
      <c r="AB21" s="56">
        <f>AB20/Q14</f>
        <v>0.32499985844487167</v>
      </c>
      <c r="AC21" s="56">
        <f>AC20/R14</f>
        <v>0.31427423434687679</v>
      </c>
      <c r="AD21" s="56">
        <f>AD20/S14</f>
        <v>0.40025259484674064</v>
      </c>
      <c r="AE21" s="56"/>
    </row>
    <row r="22" spans="1:31" s="57" customFormat="1" ht="12.75">
      <c r="A22" s="767">
        <v>2</v>
      </c>
      <c r="B22" s="376" t="s">
        <v>119</v>
      </c>
      <c r="C22" s="384"/>
      <c r="D22" s="854">
        <f>'Historical Actuals'!T51/1000</f>
        <v>362.02893999999992</v>
      </c>
      <c r="E22" s="854">
        <f>'Historical Actuals'!S51/1000</f>
        <v>468.42593999999997</v>
      </c>
      <c r="F22" s="854">
        <f>'Historical Actuals'!R51/1000</f>
        <v>502.35045999999994</v>
      </c>
      <c r="G22" s="854">
        <f>'Historical Actuals'!Q51/1000</f>
        <v>580.80398000000014</v>
      </c>
      <c r="H22" s="854">
        <f>'Historical Actuals'!P51/1000</f>
        <v>620.78077000000008</v>
      </c>
      <c r="I22" s="854">
        <f>'Historical Actuals'!O51/1000</f>
        <v>775.6270199999999</v>
      </c>
      <c r="J22" s="854">
        <f>'Historical Actuals'!N51/1000</f>
        <v>962.28697999999997</v>
      </c>
      <c r="K22" s="854">
        <f>'Historical Actuals'!M51/1000</f>
        <v>1060.0024500000002</v>
      </c>
      <c r="L22" s="847"/>
      <c r="M22" s="847">
        <f t="shared" si="6"/>
        <v>71.978032833446917</v>
      </c>
      <c r="N22" s="847">
        <f t="shared" si="6"/>
        <v>70.652479638009041</v>
      </c>
      <c r="O22" s="847">
        <f t="shared" si="6"/>
        <v>73.412384551148222</v>
      </c>
      <c r="P22" s="847">
        <f t="shared" si="7"/>
        <v>83.661779981891542</v>
      </c>
      <c r="Q22" s="847">
        <f t="shared" si="7"/>
        <v>86.836365253187353</v>
      </c>
      <c r="R22" s="847">
        <f t="shared" si="7"/>
        <v>92.779937114441466</v>
      </c>
      <c r="S22" s="847">
        <f t="shared" si="7"/>
        <v>112.2462358567596</v>
      </c>
      <c r="T22" s="847">
        <f t="shared" si="7"/>
        <v>123.26428915542564</v>
      </c>
      <c r="U22" s="383"/>
      <c r="W22" s="57">
        <v>19</v>
      </c>
    </row>
    <row r="23" spans="1:31" s="57" customFormat="1" ht="12.75" customHeight="1">
      <c r="A23" s="767">
        <v>2</v>
      </c>
      <c r="B23" s="376" t="s">
        <v>120</v>
      </c>
      <c r="C23" s="384"/>
      <c r="D23" s="854">
        <f>'Historical Actuals'!T52/1000</f>
        <v>8.9370000000000005E-2</v>
      </c>
      <c r="E23" s="854">
        <f>'Historical Actuals'!S52/1000</f>
        <v>2.0021999999999998</v>
      </c>
      <c r="F23" s="854">
        <f>'Historical Actuals'!R52/1000</f>
        <v>4.1373299999999995</v>
      </c>
      <c r="G23" s="854">
        <f>'Historical Actuals'!Q52/1000</f>
        <v>1.5389499999999996</v>
      </c>
      <c r="H23" s="854">
        <f>'Historical Actuals'!P52/1000</f>
        <v>2.5698300000000001</v>
      </c>
      <c r="I23" s="854">
        <f>'Historical Actuals'!O52/1000</f>
        <v>1.7911799999999998</v>
      </c>
      <c r="J23" s="854">
        <f>'Historical Actuals'!N52/1000</f>
        <v>4.8807799999999997</v>
      </c>
      <c r="K23" s="854">
        <f>'Historical Actuals'!M52/1000</f>
        <v>2.4884899999999996</v>
      </c>
      <c r="L23" s="847"/>
      <c r="M23" s="847">
        <f t="shared" si="6"/>
        <v>1.776840490797546E-2</v>
      </c>
      <c r="N23" s="847">
        <f t="shared" si="6"/>
        <v>0.30199095022624428</v>
      </c>
      <c r="O23" s="847">
        <f t="shared" si="6"/>
        <v>0.60462025052192059</v>
      </c>
      <c r="P23" s="847">
        <f t="shared" si="7"/>
        <v>0.22167771009959661</v>
      </c>
      <c r="Q23" s="847">
        <f t="shared" si="7"/>
        <v>0.35947424163702496</v>
      </c>
      <c r="R23" s="847">
        <f t="shared" si="7"/>
        <v>0.21425964216750118</v>
      </c>
      <c r="S23" s="847">
        <f t="shared" si="7"/>
        <v>0.56931995800769852</v>
      </c>
      <c r="T23" s="847">
        <f t="shared" si="7"/>
        <v>0.28937853013489268</v>
      </c>
      <c r="U23" s="383"/>
      <c r="AC23" s="386">
        <f>AC20+W22-T22</f>
        <v>14.447111654567692</v>
      </c>
    </row>
    <row r="24" spans="1:31" s="57" customFormat="1" ht="12.75" customHeight="1">
      <c r="A24" s="767">
        <v>2</v>
      </c>
      <c r="B24" s="376" t="s">
        <v>57</v>
      </c>
      <c r="C24" s="320"/>
      <c r="D24" s="851">
        <f>'Historical Actuals'!T53/1000</f>
        <v>23.202240000000003</v>
      </c>
      <c r="E24" s="851">
        <f>'Historical Actuals'!S53/1000</f>
        <v>35.320449999999994</v>
      </c>
      <c r="F24" s="851">
        <f>'Historical Actuals'!R53/1000</f>
        <v>32.876690000000004</v>
      </c>
      <c r="G24" s="851">
        <f>'Historical Actuals'!Q53/1000</f>
        <v>36.224449999999997</v>
      </c>
      <c r="H24" s="851">
        <f>'Historical Actuals'!P53/1000</f>
        <v>39.495800000000003</v>
      </c>
      <c r="I24" s="851">
        <f>'Historical Actuals'!O53/1000</f>
        <v>42.362940000000002</v>
      </c>
      <c r="J24" s="851">
        <f>'Historical Actuals'!N53/1000</f>
        <v>41.56803</v>
      </c>
      <c r="K24" s="851">
        <f>'Historical Actuals'!M53/1000</f>
        <v>43.937280000000001</v>
      </c>
      <c r="L24" s="1226"/>
      <c r="M24" s="855">
        <f t="shared" si="6"/>
        <v>4.613033401499659</v>
      </c>
      <c r="N24" s="855">
        <f t="shared" si="6"/>
        <v>5.3273680241327295</v>
      </c>
      <c r="O24" s="855">
        <f t="shared" si="6"/>
        <v>4.8045267223382053</v>
      </c>
      <c r="P24" s="855">
        <f t="shared" si="7"/>
        <v>5.2179428348012182</v>
      </c>
      <c r="Q24" s="855">
        <f t="shared" si="7"/>
        <v>5.5247711921985552</v>
      </c>
      <c r="R24" s="855">
        <f t="shared" si="7"/>
        <v>5.0674239136007122</v>
      </c>
      <c r="S24" s="855">
        <f t="shared" si="7"/>
        <v>4.8487145689956845</v>
      </c>
      <c r="T24" s="855">
        <f t="shared" si="7"/>
        <v>5.1093255365805046</v>
      </c>
      <c r="U24" s="383"/>
      <c r="AC24" s="387">
        <f>AC23/T14</f>
        <v>3.7129153781698516E-2</v>
      </c>
    </row>
    <row r="25" spans="1:31" s="57" customFormat="1" ht="12.75">
      <c r="A25" s="767"/>
      <c r="B25" s="377" t="s">
        <v>121</v>
      </c>
      <c r="C25" s="385"/>
      <c r="D25" s="852">
        <f t="shared" ref="D25:K25" si="8">SUM(D19:D24)</f>
        <v>796.59614999999985</v>
      </c>
      <c r="E25" s="852">
        <f>SUM(E19:E24)</f>
        <v>1065.5729469999999</v>
      </c>
      <c r="F25" s="852">
        <f t="shared" si="8"/>
        <v>1185.268339</v>
      </c>
      <c r="G25" s="852">
        <f t="shared" si="8"/>
        <v>1207.6935819999999</v>
      </c>
      <c r="H25" s="852">
        <f t="shared" si="8"/>
        <v>1266.251759</v>
      </c>
      <c r="I25" s="852">
        <f t="shared" si="8"/>
        <v>1496.4919819999998</v>
      </c>
      <c r="J25" s="852">
        <f t="shared" si="8"/>
        <v>1711.0143720000001</v>
      </c>
      <c r="K25" s="852">
        <f t="shared" si="8"/>
        <v>2107.1356240000005</v>
      </c>
      <c r="L25" s="853"/>
      <c r="M25" s="852">
        <f t="shared" si="6"/>
        <v>158.37801209952278</v>
      </c>
      <c r="N25" s="852">
        <f t="shared" si="6"/>
        <v>160.71990150829561</v>
      </c>
      <c r="O25" s="852">
        <f t="shared" si="6"/>
        <v>173.21249212943636</v>
      </c>
      <c r="P25" s="852">
        <f t="shared" si="7"/>
        <v>173.96195312371387</v>
      </c>
      <c r="Q25" s="852">
        <f t="shared" si="7"/>
        <v>177.12646003357182</v>
      </c>
      <c r="R25" s="852">
        <f t="shared" si="7"/>
        <v>179.0092768844307</v>
      </c>
      <c r="S25" s="852">
        <f t="shared" si="7"/>
        <v>199.5817534118745</v>
      </c>
      <c r="T25" s="852">
        <f t="shared" si="7"/>
        <v>245.03205143198892</v>
      </c>
      <c r="U25" s="383"/>
    </row>
    <row r="26" spans="1:31" s="57" customFormat="1" ht="12.75">
      <c r="A26" s="767"/>
      <c r="B26" s="376"/>
      <c r="C26" s="384"/>
      <c r="D26" s="849"/>
      <c r="E26" s="849"/>
      <c r="F26" s="849"/>
      <c r="G26" s="849"/>
      <c r="H26" s="849"/>
      <c r="I26" s="849"/>
      <c r="J26" s="1013"/>
      <c r="K26" s="1013"/>
      <c r="L26" s="850"/>
      <c r="M26" s="850"/>
      <c r="N26" s="850"/>
      <c r="O26" s="850"/>
      <c r="P26" s="850"/>
      <c r="Q26" s="850"/>
      <c r="R26" s="850"/>
      <c r="S26" s="850"/>
      <c r="T26" s="850"/>
      <c r="U26" s="383"/>
    </row>
    <row r="27" spans="1:31" s="57" customFormat="1" ht="12.75">
      <c r="A27" s="767">
        <v>1</v>
      </c>
      <c r="B27" s="376" t="s">
        <v>122</v>
      </c>
      <c r="C27" s="384"/>
      <c r="D27" s="854">
        <f>'Historical Actuals'!T56/1000</f>
        <v>3.5059999999999998</v>
      </c>
      <c r="E27" s="854">
        <f>'Historical Actuals'!S56/1000</f>
        <v>43.933229999999995</v>
      </c>
      <c r="F27" s="854">
        <f>'Historical Actuals'!R56/1000</f>
        <v>157.38035000000002</v>
      </c>
      <c r="G27" s="854">
        <f>'Historical Actuals'!Q56/1000</f>
        <v>137.13042000000002</v>
      </c>
      <c r="H27" s="854">
        <f>'Historical Actuals'!P56/1000</f>
        <v>157.38735999999997</v>
      </c>
      <c r="I27" s="854">
        <f>'Historical Actuals'!O56/1000</f>
        <v>166.46788000000001</v>
      </c>
      <c r="J27" s="854">
        <f>'Historical Actuals'!N56/1000</f>
        <v>191.64344000000003</v>
      </c>
      <c r="K27" s="854">
        <f>'Historical Actuals'!M56/1000</f>
        <v>202.91322999999997</v>
      </c>
      <c r="L27" s="1227"/>
      <c r="M27" s="847">
        <f t="shared" ref="M27:O29" si="9">IFERROR(D27/D$11*1000,"NM")</f>
        <v>0.69705748693478742</v>
      </c>
      <c r="N27" s="847">
        <f t="shared" si="9"/>
        <v>6.6264298642533923</v>
      </c>
      <c r="O27" s="847">
        <f t="shared" si="9"/>
        <v>22.999216075156582</v>
      </c>
      <c r="P27" s="847">
        <f t="shared" ref="P27:T29" si="10">G27/G$11*1000</f>
        <v>19.752920816528114</v>
      </c>
      <c r="Q27" s="847">
        <f t="shared" si="10"/>
        <v>22.015737180768156</v>
      </c>
      <c r="R27" s="847">
        <f t="shared" si="10"/>
        <v>19.912766110152265</v>
      </c>
      <c r="S27" s="847">
        <f t="shared" si="10"/>
        <v>22.354303044441856</v>
      </c>
      <c r="T27" s="847">
        <f t="shared" si="10"/>
        <v>23.596129477041664</v>
      </c>
      <c r="U27" s="383"/>
    </row>
    <row r="28" spans="1:31" s="57" customFormat="1" ht="12.75" customHeight="1">
      <c r="A28" s="767">
        <v>1</v>
      </c>
      <c r="B28" s="376" t="s">
        <v>123</v>
      </c>
      <c r="C28" s="384"/>
      <c r="D28" s="851">
        <f>'Historical Actuals'!T57/1000</f>
        <v>0.19089999999999999</v>
      </c>
      <c r="E28" s="851">
        <f>'Historical Actuals'!S57/1000</f>
        <v>7.3093399999999997</v>
      </c>
      <c r="F28" s="851">
        <f>'Historical Actuals'!R57/1000</f>
        <v>37.74362</v>
      </c>
      <c r="G28" s="851">
        <f>'Historical Actuals'!Q57/1000</f>
        <v>34.411430000000003</v>
      </c>
      <c r="H28" s="851">
        <f>'Historical Actuals'!P57/1000</f>
        <v>39.3187</v>
      </c>
      <c r="I28" s="851">
        <f>'Historical Actuals'!O57/1000</f>
        <v>45.035249999999998</v>
      </c>
      <c r="J28" s="851">
        <f>'Historical Actuals'!N57/1000</f>
        <v>65.920079999999999</v>
      </c>
      <c r="K28" s="851">
        <f>'Historical Actuals'!M57/1000</f>
        <v>90.856749999999991</v>
      </c>
      <c r="L28" s="1226"/>
      <c r="M28" s="855">
        <f t="shared" si="9"/>
        <v>3.795444217223358E-2</v>
      </c>
      <c r="N28" s="855">
        <f t="shared" si="9"/>
        <v>1.1024645550527903</v>
      </c>
      <c r="O28" s="855">
        <f t="shared" si="9"/>
        <v>5.515769102296451</v>
      </c>
      <c r="P28" s="855">
        <f t="shared" si="10"/>
        <v>4.9567867725738752</v>
      </c>
      <c r="Q28" s="855">
        <f t="shared" si="10"/>
        <v>5.4999980016785912</v>
      </c>
      <c r="R28" s="855">
        <f t="shared" si="10"/>
        <v>5.387083682222868</v>
      </c>
      <c r="S28" s="855">
        <f t="shared" si="10"/>
        <v>7.689266301178117</v>
      </c>
      <c r="T28" s="855">
        <f t="shared" si="10"/>
        <v>10.565440394710611</v>
      </c>
      <c r="U28" s="383"/>
    </row>
    <row r="29" spans="1:31" s="57" customFormat="1" ht="12.75">
      <c r="A29" s="767"/>
      <c r="B29" s="377" t="s">
        <v>124</v>
      </c>
      <c r="C29" s="385"/>
      <c r="D29" s="852">
        <f t="shared" ref="D29:K29" si="11">SUM(D27:D28)</f>
        <v>3.6968999999999999</v>
      </c>
      <c r="E29" s="852">
        <f>SUM(E27:E28)</f>
        <v>51.242569999999994</v>
      </c>
      <c r="F29" s="852">
        <f t="shared" si="11"/>
        <v>195.12397000000001</v>
      </c>
      <c r="G29" s="852">
        <f t="shared" si="11"/>
        <v>171.54185000000001</v>
      </c>
      <c r="H29" s="852">
        <f t="shared" si="11"/>
        <v>196.70605999999998</v>
      </c>
      <c r="I29" s="852">
        <f t="shared" si="11"/>
        <v>211.50313</v>
      </c>
      <c r="J29" s="852">
        <f t="shared" si="11"/>
        <v>257.56352000000004</v>
      </c>
      <c r="K29" s="852">
        <f t="shared" si="11"/>
        <v>293.76997999999998</v>
      </c>
      <c r="L29" s="853"/>
      <c r="M29" s="852">
        <f t="shared" si="9"/>
        <v>0.73501192910702107</v>
      </c>
      <c r="N29" s="852">
        <f t="shared" si="9"/>
        <v>7.728894419306183</v>
      </c>
      <c r="O29" s="852">
        <f t="shared" si="9"/>
        <v>28.514985177453031</v>
      </c>
      <c r="P29" s="852">
        <f t="shared" si="10"/>
        <v>24.709707589101988</v>
      </c>
      <c r="Q29" s="852">
        <f t="shared" si="10"/>
        <v>27.515735182446747</v>
      </c>
      <c r="R29" s="852">
        <f t="shared" si="10"/>
        <v>25.299849792375131</v>
      </c>
      <c r="S29" s="852">
        <f t="shared" si="10"/>
        <v>30.043569345619972</v>
      </c>
      <c r="T29" s="852">
        <f t="shared" si="10"/>
        <v>34.161569871752278</v>
      </c>
      <c r="U29" s="383"/>
    </row>
    <row r="30" spans="1:31" s="57" customFormat="1" ht="12.75">
      <c r="A30" s="767"/>
      <c r="B30" s="376"/>
      <c r="C30" s="384"/>
      <c r="D30" s="849"/>
      <c r="E30" s="849"/>
      <c r="F30" s="849"/>
      <c r="G30" s="849"/>
      <c r="H30" s="849"/>
      <c r="I30" s="849"/>
      <c r="J30" s="849"/>
      <c r="K30" s="849"/>
      <c r="L30" s="846"/>
      <c r="M30" s="850"/>
      <c r="N30" s="850"/>
      <c r="O30" s="850"/>
      <c r="P30" s="850"/>
      <c r="Q30" s="850"/>
      <c r="R30" s="850"/>
      <c r="S30" s="850"/>
      <c r="T30" s="850"/>
      <c r="U30" s="383"/>
    </row>
    <row r="31" spans="1:31" s="57" customFormat="1" ht="12.75">
      <c r="A31" s="767"/>
      <c r="B31" s="374" t="s">
        <v>125</v>
      </c>
      <c r="C31" s="388"/>
      <c r="D31" s="852">
        <f t="shared" ref="D31:K31" si="12">D25+D29</f>
        <v>800.29304999999988</v>
      </c>
      <c r="E31" s="852">
        <f>E25+E29</f>
        <v>1116.8155169999998</v>
      </c>
      <c r="F31" s="852">
        <f t="shared" si="12"/>
        <v>1380.3923090000001</v>
      </c>
      <c r="G31" s="852">
        <f t="shared" si="12"/>
        <v>1379.2354319999999</v>
      </c>
      <c r="H31" s="852">
        <f t="shared" si="12"/>
        <v>1462.957819</v>
      </c>
      <c r="I31" s="852">
        <f t="shared" si="12"/>
        <v>1707.9951119999998</v>
      </c>
      <c r="J31" s="852">
        <f t="shared" si="12"/>
        <v>1968.5778920000002</v>
      </c>
      <c r="K31" s="852">
        <f t="shared" si="12"/>
        <v>2400.9056040000005</v>
      </c>
      <c r="L31" s="853"/>
      <c r="M31" s="852">
        <f>IFERROR(D31/D$11*1000,"NM")</f>
        <v>159.11302402862981</v>
      </c>
      <c r="N31" s="852">
        <f>IFERROR(E31/E$11*1000,"NM")</f>
        <v>168.44879592760179</v>
      </c>
      <c r="O31" s="852">
        <f>IFERROR(F31/F$11*1000,"NM")</f>
        <v>201.7274773068894</v>
      </c>
      <c r="P31" s="852">
        <f>G31/G$11*1000</f>
        <v>198.67166071281588</v>
      </c>
      <c r="Q31" s="852">
        <f>H31/H$11*1000</f>
        <v>204.64219521601859</v>
      </c>
      <c r="R31" s="852">
        <f>I31/I$11*1000</f>
        <v>204.30912667680585</v>
      </c>
      <c r="S31" s="852">
        <f>J31/J$11*1000</f>
        <v>229.62532275749447</v>
      </c>
      <c r="T31" s="852">
        <f>K31/K$11*1000</f>
        <v>279.19362130374122</v>
      </c>
      <c r="U31" s="383"/>
    </row>
    <row r="32" spans="1:31" s="57" customFormat="1" ht="12.75">
      <c r="A32" s="767"/>
      <c r="B32" s="376"/>
      <c r="C32" s="384"/>
      <c r="D32" s="849"/>
      <c r="E32" s="849"/>
      <c r="F32" s="849"/>
      <c r="G32" s="849"/>
      <c r="H32" s="849"/>
      <c r="I32" s="849"/>
      <c r="J32" s="1013"/>
      <c r="K32" s="1013"/>
      <c r="L32" s="846"/>
      <c r="M32" s="850"/>
      <c r="N32" s="850"/>
      <c r="O32" s="850"/>
      <c r="P32" s="850"/>
      <c r="Q32" s="850"/>
      <c r="R32" s="850"/>
      <c r="S32" s="850"/>
      <c r="T32" s="850"/>
      <c r="U32" s="383"/>
    </row>
    <row r="33" spans="1:30" s="57" customFormat="1" ht="12.75">
      <c r="A33" s="767"/>
      <c r="B33" s="374" t="s">
        <v>126</v>
      </c>
      <c r="C33" s="321"/>
      <c r="D33" s="852">
        <f>D10-D31</f>
        <v>1226.3372000000004</v>
      </c>
      <c r="E33" s="852">
        <f>E10-E31</f>
        <v>1431.7147630000002</v>
      </c>
      <c r="F33" s="852">
        <f t="shared" ref="F33:K33" si="13">F10-F31</f>
        <v>1189.7870410000003</v>
      </c>
      <c r="G33" s="852">
        <f t="shared" si="13"/>
        <v>1022.8071679999998</v>
      </c>
      <c r="H33" s="852">
        <f t="shared" si="13"/>
        <v>1127.1284910000006</v>
      </c>
      <c r="I33" s="852">
        <f t="shared" si="13"/>
        <v>1418.2116880000005</v>
      </c>
      <c r="J33" s="852">
        <f t="shared" si="13"/>
        <v>1030.0124979999996</v>
      </c>
      <c r="K33" s="852">
        <f t="shared" si="13"/>
        <v>911.70788599999969</v>
      </c>
      <c r="L33" s="853"/>
      <c r="M33" s="852">
        <f>IFERROR(D33/D$11*1000,"NM")</f>
        <v>243.81846171324702</v>
      </c>
      <c r="N33" s="852">
        <f>IFERROR(E33/E$11*1000,"NM")</f>
        <v>215.94491146304679</v>
      </c>
      <c r="O33" s="852">
        <f>IFERROR(F33/F$11*1000,"NM")</f>
        <v>173.87284524008356</v>
      </c>
      <c r="P33" s="852">
        <f>G33/G$11*1000</f>
        <v>147.3300307844267</v>
      </c>
      <c r="Q33" s="852">
        <f>H33/H$11*1000</f>
        <v>157.66554967827037</v>
      </c>
      <c r="R33" s="852">
        <f>I33/I$11*1000</f>
        <v>169.64544534253841</v>
      </c>
      <c r="S33" s="852">
        <f>J33/J$11*1000</f>
        <v>120.14609798203658</v>
      </c>
      <c r="T33" s="852">
        <f>K33/K$11*1000</f>
        <v>106.01958937470926</v>
      </c>
      <c r="U33" s="383"/>
      <c r="X33" s="57">
        <f>D33/D$12</f>
        <v>31.444543589743599</v>
      </c>
      <c r="Y33" s="57">
        <f t="shared" ref="Y33:AD33" si="14">F33/F$12</f>
        <v>28.328262880952387</v>
      </c>
      <c r="Z33" s="57">
        <f t="shared" si="14"/>
        <v>22.729048177777774</v>
      </c>
      <c r="AA33" s="57">
        <f t="shared" si="14"/>
        <v>21.266575301886803</v>
      </c>
      <c r="AB33" s="57">
        <f t="shared" si="14"/>
        <v>27.273301692307705</v>
      </c>
      <c r="AC33" s="57">
        <f t="shared" si="14"/>
        <v>17.758836172413787</v>
      </c>
      <c r="AD33" s="57">
        <f t="shared" si="14"/>
        <v>15.719101482758616</v>
      </c>
    </row>
    <row r="34" spans="1:30" s="57" customFormat="1" ht="13.5">
      <c r="A34" s="767"/>
      <c r="B34" s="378"/>
      <c r="C34" s="384"/>
      <c r="D34" s="849"/>
      <c r="E34" s="849"/>
      <c r="F34" s="849"/>
      <c r="G34" s="849"/>
      <c r="H34" s="849"/>
      <c r="I34" s="849"/>
      <c r="J34" s="849"/>
      <c r="K34" s="849"/>
      <c r="L34" s="846"/>
      <c r="M34" s="850"/>
      <c r="N34" s="850"/>
      <c r="O34" s="850"/>
      <c r="P34" s="850"/>
      <c r="Q34" s="850"/>
      <c r="R34" s="850"/>
      <c r="S34" s="850"/>
      <c r="T34" s="850"/>
      <c r="U34" s="383"/>
    </row>
    <row r="35" spans="1:30" s="57" customFormat="1" ht="12.75">
      <c r="A35" s="767">
        <v>4</v>
      </c>
      <c r="B35" s="376" t="s">
        <v>127</v>
      </c>
      <c r="C35" s="384"/>
      <c r="D35" s="854">
        <f>'Historical Actuals'!T62/1000</f>
        <v>11.2721</v>
      </c>
      <c r="E35" s="854">
        <f>'Historical Actuals'!S62/1000</f>
        <v>107.49820000000003</v>
      </c>
      <c r="F35" s="854">
        <f>'Historical Actuals'!R62/1000</f>
        <v>99.922289999999975</v>
      </c>
      <c r="G35" s="854">
        <f>'Historical Actuals'!Q62/1000</f>
        <v>105.63762000000001</v>
      </c>
      <c r="H35" s="854">
        <f>'Historical Actuals'!P62/1000</f>
        <v>102.41385</v>
      </c>
      <c r="I35" s="854">
        <f>'Historical Actuals'!O62/1000</f>
        <v>116.58452999999999</v>
      </c>
      <c r="J35" s="854">
        <f>'Historical Actuals'!N62/1000</f>
        <v>105.57906</v>
      </c>
      <c r="K35" s="854">
        <f>'Historical Actuals'!M62/1000</f>
        <v>99.947829999999996</v>
      </c>
      <c r="L35" s="846"/>
      <c r="M35" s="847">
        <f t="shared" ref="M35:M43" si="15">IFERROR(D35/D$11*1000,"NM")</f>
        <v>2.241101454214951</v>
      </c>
      <c r="N35" s="847">
        <f t="shared" ref="N35:N43" si="16">IFERROR(E35/E$11*1000,"NM")</f>
        <v>16.213906485671195</v>
      </c>
      <c r="O35" s="847">
        <f t="shared" ref="O35:O43" si="17">IFERROR(F35/F$11*1000,"NM")</f>
        <v>14.602422338204592</v>
      </c>
      <c r="P35" s="847">
        <f t="shared" ref="P35:P43" si="18">G35/G$11*1000</f>
        <v>15.216547452465226</v>
      </c>
      <c r="Q35" s="847">
        <f t="shared" ref="Q35:Q43" si="19">H35/H$11*1000</f>
        <v>14.32590523959874</v>
      </c>
      <c r="R35" s="847">
        <f t="shared" ref="R35:R43" si="20">I35/I$11*1000</f>
        <v>13.945756250106804</v>
      </c>
      <c r="S35" s="847">
        <f t="shared" ref="S35:S43" si="21">J35/J$11*1000</f>
        <v>12.315299195147556</v>
      </c>
      <c r="T35" s="847">
        <f t="shared" ref="T35:T43" si="22">K35/K$11*1000</f>
        <v>11.622612964316566</v>
      </c>
      <c r="U35" s="383"/>
    </row>
    <row r="36" spans="1:30" s="57" customFormat="1" ht="12.75">
      <c r="A36" s="767">
        <v>4</v>
      </c>
      <c r="B36" s="376" t="s">
        <v>128</v>
      </c>
      <c r="C36" s="384"/>
      <c r="D36" s="854">
        <f>'Historical Actuals'!T63/1000</f>
        <v>8.1982700000000008</v>
      </c>
      <c r="E36" s="854">
        <f>'Historical Actuals'!S63/1000</f>
        <v>15.405470000000003</v>
      </c>
      <c r="F36" s="854">
        <f>'Historical Actuals'!R63/1000</f>
        <v>68.929299999999998</v>
      </c>
      <c r="G36" s="854">
        <f>'Historical Actuals'!Q63/1000</f>
        <v>63.118869999999994</v>
      </c>
      <c r="H36" s="854">
        <f>'Historical Actuals'!P63/1000</f>
        <v>50.602999999999994</v>
      </c>
      <c r="I36" s="854">
        <f>'Historical Actuals'!O63/1000</f>
        <v>68.419059999999988</v>
      </c>
      <c r="J36" s="854">
        <f>'Historical Actuals'!N63/1000</f>
        <v>54.340360000000004</v>
      </c>
      <c r="K36" s="854">
        <f>'Historical Actuals'!M63/1000</f>
        <v>57.711789999999993</v>
      </c>
      <c r="L36" s="846"/>
      <c r="M36" s="847">
        <f t="shared" si="15"/>
        <v>1.6299673369688708</v>
      </c>
      <c r="N36" s="847">
        <f t="shared" si="16"/>
        <v>2.3236003016591256</v>
      </c>
      <c r="O36" s="847">
        <f t="shared" si="17"/>
        <v>10.073175365344468</v>
      </c>
      <c r="P36" s="847">
        <f t="shared" si="18"/>
        <v>9.0919435756029294</v>
      </c>
      <c r="Q36" s="847">
        <f t="shared" si="19"/>
        <v>7.0784740817713132</v>
      </c>
      <c r="R36" s="847">
        <f t="shared" si="20"/>
        <v>8.1842379398144196</v>
      </c>
      <c r="S36" s="847">
        <f t="shared" si="21"/>
        <v>6.338546599790039</v>
      </c>
      <c r="T36" s="847">
        <f t="shared" si="22"/>
        <v>6.7111191773539769</v>
      </c>
      <c r="U36" s="383"/>
    </row>
    <row r="37" spans="1:30" s="57" customFormat="1" ht="12.75">
      <c r="A37" s="767">
        <v>4</v>
      </c>
      <c r="B37" s="376" t="s">
        <v>129</v>
      </c>
      <c r="C37" s="384"/>
      <c r="D37" s="854">
        <f>'Historical Actuals'!T64/1000</f>
        <v>0.70992</v>
      </c>
      <c r="E37" s="854">
        <f>'Historical Actuals'!S64/1000</f>
        <v>1.8028299999999999</v>
      </c>
      <c r="F37" s="854">
        <f>'Historical Actuals'!R64/1000</f>
        <v>3.4067099999999999</v>
      </c>
      <c r="G37" s="854">
        <f>'Historical Actuals'!Q64/1000</f>
        <v>1.79925</v>
      </c>
      <c r="H37" s="854">
        <f>'Historical Actuals'!P64/1000</f>
        <v>4.3528700000000011</v>
      </c>
      <c r="I37" s="854">
        <f>'Historical Actuals'!O64/1000</f>
        <v>3.5393900000000005</v>
      </c>
      <c r="J37" s="854">
        <f>'Historical Actuals'!N64/1000</f>
        <v>3.7850899999999998</v>
      </c>
      <c r="K37" s="854">
        <f>'Historical Actuals'!M64/1000</f>
        <v>58.315429999999999</v>
      </c>
      <c r="L37" s="846"/>
      <c r="M37" s="847">
        <f t="shared" si="15"/>
        <v>0.14114519427402861</v>
      </c>
      <c r="N37" s="847">
        <f t="shared" si="16"/>
        <v>0.27192006033182503</v>
      </c>
      <c r="O37" s="847">
        <f t="shared" si="17"/>
        <v>0.49784906054279754</v>
      </c>
      <c r="P37" s="847">
        <f t="shared" si="18"/>
        <v>0.25917256564326285</v>
      </c>
      <c r="Q37" s="847">
        <f t="shared" si="19"/>
        <v>0.60889033212101873</v>
      </c>
      <c r="R37" s="847">
        <f t="shared" si="20"/>
        <v>0.42337924434798968</v>
      </c>
      <c r="S37" s="847">
        <f t="shared" si="21"/>
        <v>0.44151288930362764</v>
      </c>
      <c r="T37" s="847">
        <f t="shared" si="22"/>
        <v>6.7813145391720386</v>
      </c>
      <c r="U37" s="383"/>
    </row>
    <row r="38" spans="1:30" s="57" customFormat="1" ht="12.75">
      <c r="A38" s="767">
        <v>4</v>
      </c>
      <c r="B38" s="376" t="s">
        <v>61</v>
      </c>
      <c r="C38" s="384"/>
      <c r="D38" s="854">
        <f>'Historical Actuals'!T65/1000</f>
        <v>1.3206</v>
      </c>
      <c r="E38" s="854">
        <f>'Historical Actuals'!S65/1000</f>
        <v>3.1125599999999993</v>
      </c>
      <c r="F38" s="854">
        <f>'Historical Actuals'!R65/1000</f>
        <v>1.9773000000000003</v>
      </c>
      <c r="G38" s="854">
        <f>'Historical Actuals'!Q65/1000</f>
        <v>1.81348</v>
      </c>
      <c r="H38" s="854">
        <f>'Historical Actuals'!P65/1000</f>
        <v>2.2913800000000002</v>
      </c>
      <c r="I38" s="854">
        <f>'Historical Actuals'!O65/1000</f>
        <v>3.3176999999999999</v>
      </c>
      <c r="J38" s="854">
        <f>'Historical Actuals'!N65/1000</f>
        <v>2.29054</v>
      </c>
      <c r="K38" s="854">
        <f>'Historical Actuals'!M65/1000</f>
        <v>2.6339800000000007</v>
      </c>
      <c r="L38" s="846"/>
      <c r="M38" s="847">
        <f t="shared" si="15"/>
        <v>0.26255964553510563</v>
      </c>
      <c r="N38" s="847">
        <f t="shared" si="16"/>
        <v>0.46946606334841617</v>
      </c>
      <c r="O38" s="847">
        <f t="shared" si="17"/>
        <v>0.28895824634655537</v>
      </c>
      <c r="P38" s="847">
        <f t="shared" si="18"/>
        <v>0.26122232282492386</v>
      </c>
      <c r="Q38" s="847">
        <f t="shared" si="19"/>
        <v>0.32052395987370619</v>
      </c>
      <c r="R38" s="847">
        <f t="shared" si="20"/>
        <v>0.39686084861327098</v>
      </c>
      <c r="S38" s="847">
        <f t="shared" si="21"/>
        <v>0.26718068354135077</v>
      </c>
      <c r="T38" s="847">
        <f t="shared" si="22"/>
        <v>0.30629709615256834</v>
      </c>
      <c r="U38" s="383"/>
    </row>
    <row r="39" spans="1:30" s="57" customFormat="1" ht="12.75">
      <c r="A39" s="767">
        <v>4</v>
      </c>
      <c r="B39" s="376" t="s">
        <v>62</v>
      </c>
      <c r="C39" s="384"/>
      <c r="D39" s="854">
        <f>'Historical Actuals'!T66/1000</f>
        <v>0</v>
      </c>
      <c r="E39" s="854">
        <f>'Historical Actuals'!S66/1000</f>
        <v>0</v>
      </c>
      <c r="F39" s="854">
        <f>'Historical Actuals'!R66/1000</f>
        <v>0.59529999999999994</v>
      </c>
      <c r="G39" s="854">
        <f>'Historical Actuals'!Q66/1000</f>
        <v>0</v>
      </c>
      <c r="H39" s="854">
        <f>'Historical Actuals'!P66/1000</f>
        <v>0</v>
      </c>
      <c r="I39" s="854">
        <f>'Historical Actuals'!O66/1000</f>
        <v>0</v>
      </c>
      <c r="J39" s="854">
        <f>'Historical Actuals'!N66/1000</f>
        <v>0</v>
      </c>
      <c r="K39" s="854">
        <f>'Historical Actuals'!M66/1000</f>
        <v>8.1939999999999999E-2</v>
      </c>
      <c r="L39" s="846"/>
      <c r="M39" s="847">
        <f t="shared" si="15"/>
        <v>0</v>
      </c>
      <c r="N39" s="847">
        <f t="shared" si="16"/>
        <v>0</v>
      </c>
      <c r="O39" s="847">
        <f t="shared" si="17"/>
        <v>8.6995824634655522E-2</v>
      </c>
      <c r="P39" s="847">
        <f t="shared" si="18"/>
        <v>0</v>
      </c>
      <c r="Q39" s="847">
        <f t="shared" si="19"/>
        <v>0</v>
      </c>
      <c r="R39" s="847">
        <f t="shared" si="20"/>
        <v>0</v>
      </c>
      <c r="S39" s="847">
        <f t="shared" si="21"/>
        <v>0</v>
      </c>
      <c r="T39" s="847">
        <f t="shared" si="22"/>
        <v>9.5285401023323807E-3</v>
      </c>
      <c r="U39" s="383"/>
    </row>
    <row r="40" spans="1:30" s="57" customFormat="1" ht="12.75">
      <c r="A40" s="767">
        <v>3</v>
      </c>
      <c r="B40" s="376" t="s">
        <v>48</v>
      </c>
      <c r="C40" s="384"/>
      <c r="D40" s="854">
        <f>'Historical Actuals'!T67/1000</f>
        <v>61.666709999999988</v>
      </c>
      <c r="E40" s="854">
        <f>'Historical Actuals'!S67/1000</f>
        <v>57.500039999999984</v>
      </c>
      <c r="F40" s="854">
        <f>'Historical Actuals'!R67/1000</f>
        <v>34.641299999999987</v>
      </c>
      <c r="G40" s="854">
        <f>'Historical Actuals'!Q67/1000</f>
        <v>57.500039999999984</v>
      </c>
      <c r="H40" s="854">
        <f>'Historical Actuals'!P67/1000</f>
        <v>57.500039999999984</v>
      </c>
      <c r="I40" s="854">
        <f>'Historical Actuals'!O67/1000</f>
        <v>57.500039999999984</v>
      </c>
      <c r="J40" s="854">
        <f>'Historical Actuals'!N67/1000</f>
        <v>57.500039999999984</v>
      </c>
      <c r="K40" s="854">
        <f>'Historical Actuals'!M67/1000</f>
        <v>53.333369999999988</v>
      </c>
      <c r="L40" s="846"/>
      <c r="M40" s="847">
        <f t="shared" si="15"/>
        <v>12.26047972051806</v>
      </c>
      <c r="N40" s="847">
        <f t="shared" si="16"/>
        <v>8.6727058823529379</v>
      </c>
      <c r="O40" s="847">
        <f t="shared" si="17"/>
        <v>5.0624029227557399</v>
      </c>
      <c r="P40" s="847">
        <f t="shared" si="18"/>
        <v>8.2825804592970602</v>
      </c>
      <c r="Q40" s="847">
        <f t="shared" si="19"/>
        <v>8.0432492706126855</v>
      </c>
      <c r="R40" s="847">
        <f t="shared" si="20"/>
        <v>6.8781127497052239</v>
      </c>
      <c r="S40" s="847">
        <f t="shared" si="21"/>
        <v>6.7071083634666957</v>
      </c>
      <c r="T40" s="847">
        <f t="shared" si="22"/>
        <v>6.2019667419762099</v>
      </c>
      <c r="U40" s="383"/>
    </row>
    <row r="41" spans="1:30" s="57" customFormat="1" ht="12.75">
      <c r="A41" s="767">
        <v>6</v>
      </c>
      <c r="B41" s="376" t="s">
        <v>63</v>
      </c>
      <c r="C41" s="384"/>
      <c r="D41" s="854">
        <f>'Historical Actuals'!T68/1000</f>
        <v>31.367450000000002</v>
      </c>
      <c r="E41" s="854">
        <f>'Historical Actuals'!S68/1000</f>
        <v>25.485310000000005</v>
      </c>
      <c r="F41" s="854">
        <f>'Historical Actuals'!R68/1000</f>
        <v>33.670799999999993</v>
      </c>
      <c r="G41" s="854">
        <f>'Historical Actuals'!Q68/1000</f>
        <v>48.073089999999993</v>
      </c>
      <c r="H41" s="854">
        <f>'Historical Actuals'!P68/1000</f>
        <v>37.988780000000006</v>
      </c>
      <c r="I41" s="854">
        <f>'Historical Actuals'!O68/1000</f>
        <v>28.481240000000003</v>
      </c>
      <c r="J41" s="854">
        <f>'Historical Actuals'!N68/1000</f>
        <v>17.84675</v>
      </c>
      <c r="K41" s="854">
        <f>'Historical Actuals'!M68/1000</f>
        <v>16.16836</v>
      </c>
      <c r="L41" s="846"/>
      <c r="M41" s="847">
        <f t="shared" si="15"/>
        <v>6.2364278004998859</v>
      </c>
      <c r="N41" s="847">
        <f t="shared" si="16"/>
        <v>3.843938159879337</v>
      </c>
      <c r="O41" s="847">
        <f t="shared" si="17"/>
        <v>4.9205762004175364</v>
      </c>
      <c r="P41" s="847">
        <f t="shared" si="18"/>
        <v>6.9246775454769933</v>
      </c>
      <c r="Q41" s="847">
        <f t="shared" si="19"/>
        <v>5.3139654690060363</v>
      </c>
      <c r="R41" s="847">
        <f t="shared" si="20"/>
        <v>3.4069051077427854</v>
      </c>
      <c r="S41" s="847">
        <f t="shared" si="21"/>
        <v>2.0817391811501227</v>
      </c>
      <c r="T41" s="847">
        <f t="shared" si="22"/>
        <v>1.8801667884909299</v>
      </c>
      <c r="U41" s="383"/>
    </row>
    <row r="42" spans="1:30" s="57" customFormat="1" ht="12.75" customHeight="1">
      <c r="A42" s="767">
        <v>5</v>
      </c>
      <c r="B42" s="376" t="s">
        <v>471</v>
      </c>
      <c r="C42" s="384"/>
      <c r="D42" s="851">
        <f>'Historical Actuals'!T69/1000</f>
        <v>274.23068999999998</v>
      </c>
      <c r="E42" s="851">
        <f>'Historical Actuals'!S69/1000</f>
        <v>386.26769999999999</v>
      </c>
      <c r="F42" s="851">
        <f>'Historical Actuals'!R69/1000</f>
        <v>413.04651000000001</v>
      </c>
      <c r="G42" s="851">
        <f>'Historical Actuals'!Q69/1000</f>
        <v>355.87142999999992</v>
      </c>
      <c r="H42" s="851">
        <f>'Historical Actuals'!P69/1000</f>
        <v>431.95241000000004</v>
      </c>
      <c r="I42" s="851">
        <f>'Historical Actuals'!O69/1000</f>
        <v>510.43047999999999</v>
      </c>
      <c r="J42" s="851">
        <f>'Historical Actuals'!N69/1000</f>
        <v>522.94295</v>
      </c>
      <c r="K42" s="851">
        <f>'Historical Actuals'!M69/1000</f>
        <v>551.16251</v>
      </c>
      <c r="L42" s="846"/>
      <c r="M42" s="855">
        <f t="shared" si="15"/>
        <v>54.522120824812532</v>
      </c>
      <c r="N42" s="855">
        <f t="shared" si="16"/>
        <v>58.260588235294122</v>
      </c>
      <c r="O42" s="855">
        <f t="shared" si="17"/>
        <v>60.361702922755747</v>
      </c>
      <c r="P42" s="855">
        <f t="shared" si="18"/>
        <v>51.261420898839404</v>
      </c>
      <c r="Q42" s="855">
        <f t="shared" si="19"/>
        <v>60.422582430758183</v>
      </c>
      <c r="R42" s="855">
        <f t="shared" si="20"/>
        <v>61.057320870144743</v>
      </c>
      <c r="S42" s="855">
        <f t="shared" si="21"/>
        <v>60.998827714918932</v>
      </c>
      <c r="T42" s="855">
        <f t="shared" si="22"/>
        <v>64.092922619443158</v>
      </c>
      <c r="U42" s="383"/>
    </row>
    <row r="43" spans="1:30" s="57" customFormat="1" ht="12.75">
      <c r="A43" s="767"/>
      <c r="B43" s="377" t="s">
        <v>130</v>
      </c>
      <c r="C43" s="385"/>
      <c r="D43" s="852">
        <f t="shared" ref="D43:K43" si="23">SUM(D35:D42)</f>
        <v>388.76573999999999</v>
      </c>
      <c r="E43" s="852">
        <f>SUM(E35:E42)</f>
        <v>597.07211000000007</v>
      </c>
      <c r="F43" s="852">
        <f t="shared" si="23"/>
        <v>656.18950999999993</v>
      </c>
      <c r="G43" s="852">
        <f t="shared" si="23"/>
        <v>633.81377999999995</v>
      </c>
      <c r="H43" s="852">
        <f t="shared" si="23"/>
        <v>687.10232999999994</v>
      </c>
      <c r="I43" s="852">
        <f t="shared" si="23"/>
        <v>788.27243999999996</v>
      </c>
      <c r="J43" s="852">
        <f t="shared" si="23"/>
        <v>764.28478999999993</v>
      </c>
      <c r="K43" s="852">
        <f t="shared" si="23"/>
        <v>839.35520999999994</v>
      </c>
      <c r="L43" s="853"/>
      <c r="M43" s="852">
        <f t="shared" si="15"/>
        <v>77.293801976823431</v>
      </c>
      <c r="N43" s="852">
        <f t="shared" si="16"/>
        <v>90.056125188536967</v>
      </c>
      <c r="O43" s="852">
        <f t="shared" si="17"/>
        <v>95.894082881002078</v>
      </c>
      <c r="P43" s="852">
        <f t="shared" si="18"/>
        <v>91.297564820149802</v>
      </c>
      <c r="Q43" s="852">
        <f t="shared" si="19"/>
        <v>96.113590783741671</v>
      </c>
      <c r="R43" s="852">
        <f t="shared" si="20"/>
        <v>94.292573010475238</v>
      </c>
      <c r="S43" s="852">
        <f t="shared" si="21"/>
        <v>89.15021462731832</v>
      </c>
      <c r="T43" s="852">
        <f t="shared" si="22"/>
        <v>97.605928467007772</v>
      </c>
      <c r="U43" s="383"/>
    </row>
    <row r="44" spans="1:30" s="57" customFormat="1" ht="12.75">
      <c r="A44" s="767"/>
      <c r="B44" s="376"/>
      <c r="C44" s="384"/>
      <c r="D44" s="849"/>
      <c r="E44" s="849"/>
      <c r="F44" s="849"/>
      <c r="G44" s="849"/>
      <c r="H44" s="849"/>
      <c r="I44" s="1013"/>
      <c r="J44" s="1013"/>
      <c r="K44" s="1013"/>
      <c r="L44" s="846"/>
      <c r="M44" s="850"/>
      <c r="N44" s="850"/>
      <c r="O44" s="850"/>
      <c r="P44" s="850"/>
      <c r="Q44" s="850"/>
      <c r="R44" s="850"/>
      <c r="S44" s="850"/>
      <c r="T44" s="850"/>
      <c r="U44" s="383"/>
    </row>
    <row r="45" spans="1:30" s="57" customFormat="1" ht="13.7" customHeight="1" thickBot="1">
      <c r="A45" s="767"/>
      <c r="B45" s="379" t="s">
        <v>131</v>
      </c>
      <c r="C45" s="389"/>
      <c r="D45" s="856">
        <f t="shared" ref="D45:K45" si="24">D33-D43</f>
        <v>837.57146000000034</v>
      </c>
      <c r="E45" s="856">
        <f>E33-E43</f>
        <v>834.64265300000011</v>
      </c>
      <c r="F45" s="856">
        <f t="shared" si="24"/>
        <v>533.59753100000034</v>
      </c>
      <c r="G45" s="856">
        <f t="shared" si="24"/>
        <v>388.99338799999987</v>
      </c>
      <c r="H45" s="856">
        <f t="shared" si="24"/>
        <v>440.02616100000068</v>
      </c>
      <c r="I45" s="856">
        <f t="shared" si="24"/>
        <v>629.93924800000059</v>
      </c>
      <c r="J45" s="856">
        <f t="shared" si="24"/>
        <v>265.72770799999967</v>
      </c>
      <c r="K45" s="856">
        <f t="shared" si="24"/>
        <v>72.352675999999747</v>
      </c>
      <c r="L45" s="852"/>
      <c r="M45" s="856">
        <f>IFERROR(D45/D$11*1000,"NM")</f>
        <v>166.52465973642359</v>
      </c>
      <c r="N45" s="856">
        <f>IFERROR(E45/E$11*1000,"NM")</f>
        <v>125.88878627450984</v>
      </c>
      <c r="O45" s="856">
        <f>IFERROR(F45/F$11*1000,"NM")</f>
        <v>77.978762359081486</v>
      </c>
      <c r="P45" s="856">
        <f>G45/G$11*1000</f>
        <v>56.032465964276874</v>
      </c>
      <c r="Q45" s="856">
        <f>H45/H$11*1000</f>
        <v>61.551958894528703</v>
      </c>
      <c r="R45" s="856">
        <f>I45/I$11*1000</f>
        <v>75.352872332063171</v>
      </c>
      <c r="S45" s="856">
        <f>J45/J$11*1000</f>
        <v>30.995883354718263</v>
      </c>
      <c r="T45" s="856">
        <f>K45/K$11*1000</f>
        <v>8.4136609077014803</v>
      </c>
      <c r="U45" s="383"/>
    </row>
    <row r="46" spans="1:30" s="57" customFormat="1" ht="13.5" thickTop="1">
      <c r="A46" s="767"/>
      <c r="B46" s="374"/>
      <c r="C46" s="321"/>
      <c r="D46" s="848"/>
      <c r="E46" s="848"/>
      <c r="F46" s="848"/>
      <c r="G46" s="848"/>
      <c r="H46" s="848"/>
      <c r="I46" s="848"/>
      <c r="J46" s="848"/>
      <c r="K46" s="848"/>
      <c r="L46" s="846"/>
      <c r="M46" s="848"/>
      <c r="N46" s="848"/>
      <c r="O46" s="848"/>
      <c r="P46" s="848"/>
      <c r="Q46" s="848"/>
      <c r="R46" s="848"/>
      <c r="S46" s="848"/>
      <c r="T46" s="848"/>
      <c r="U46" s="383"/>
    </row>
    <row r="47" spans="1:30" s="57" customFormat="1" ht="12.75">
      <c r="A47" s="767">
        <v>7</v>
      </c>
      <c r="B47" s="376" t="s">
        <v>326</v>
      </c>
      <c r="C47" s="321"/>
      <c r="D47" s="854">
        <f>'Historical Actuals'!T77/1000</f>
        <v>0.76669999999999994</v>
      </c>
      <c r="E47" s="854">
        <f>'Historical Actuals'!S77/1000</f>
        <v>0.76879999999999971</v>
      </c>
      <c r="F47" s="854">
        <f>'Historical Actuals'!R77/1000</f>
        <v>62.519110000000012</v>
      </c>
      <c r="G47" s="854">
        <f>'Historical Actuals'!Q77/1000</f>
        <v>126.34332000000001</v>
      </c>
      <c r="H47" s="854">
        <f>'Historical Actuals'!P77/1000</f>
        <v>128.70740999999998</v>
      </c>
      <c r="I47" s="854">
        <f>'Historical Actuals'!O77/1000</f>
        <v>133.50377000000003</v>
      </c>
      <c r="J47" s="854">
        <f>'Historical Actuals'!N77/1000</f>
        <v>133.33896000000001</v>
      </c>
      <c r="K47" s="854">
        <f>'Historical Actuals'!M77/1000</f>
        <v>64.602640000000008</v>
      </c>
      <c r="L47" s="846"/>
      <c r="M47" s="847">
        <f t="shared" ref="M47:O48" si="25">IFERROR(D47/D$11*1000,"NM")</f>
        <v>0.15243410588502609</v>
      </c>
      <c r="N47" s="847">
        <f t="shared" si="25"/>
        <v>0.11595776772247357</v>
      </c>
      <c r="O47" s="847">
        <f t="shared" si="25"/>
        <v>9.1364043841336144</v>
      </c>
      <c r="P47" s="847">
        <f t="shared" ref="P47:T48" si="26">G47/G$11*1000</f>
        <v>18.199095398798256</v>
      </c>
      <c r="Q47" s="847">
        <f t="shared" si="26"/>
        <v>18.0039141121458</v>
      </c>
      <c r="R47" s="847">
        <f t="shared" si="26"/>
        <v>15.969623370187467</v>
      </c>
      <c r="S47" s="847">
        <f t="shared" si="26"/>
        <v>15.553360550565731</v>
      </c>
      <c r="T47" s="847">
        <f t="shared" si="26"/>
        <v>7.5124340487740069</v>
      </c>
      <c r="U47" s="383"/>
    </row>
    <row r="48" spans="1:30" s="57" customFormat="1" ht="12.75">
      <c r="A48" s="767">
        <v>6</v>
      </c>
      <c r="B48" s="376" t="s">
        <v>328</v>
      </c>
      <c r="C48" s="321"/>
      <c r="D48" s="854">
        <f>-'Historical Actuals'!T78/1000</f>
        <v>0</v>
      </c>
      <c r="E48" s="854">
        <f>-'Historical Actuals'!S78/1000</f>
        <v>0</v>
      </c>
      <c r="F48" s="854">
        <f>-'Historical Actuals'!R78/1000</f>
        <v>0</v>
      </c>
      <c r="G48" s="854">
        <f>-'Historical Actuals'!Q78/1000</f>
        <v>-2.0423399999999674</v>
      </c>
      <c r="H48" s="854">
        <f>-'Historical Actuals'!P78/1000</f>
        <v>-0.72724999999994178</v>
      </c>
      <c r="I48" s="854">
        <f>-'Historical Actuals'!O78/1000</f>
        <v>-8.4170000000158327E-2</v>
      </c>
      <c r="J48" s="854">
        <f>-'Historical Actuals'!N78/1000</f>
        <v>-2.2210199999999602</v>
      </c>
      <c r="K48" s="854">
        <f>-'Historical Actuals'!M78/1000</f>
        <v>-10.488799999999975</v>
      </c>
      <c r="L48" s="846"/>
      <c r="M48" s="854">
        <f t="shared" si="25"/>
        <v>0</v>
      </c>
      <c r="N48" s="854">
        <f t="shared" si="25"/>
        <v>0</v>
      </c>
      <c r="O48" s="854">
        <f t="shared" si="25"/>
        <v>0</v>
      </c>
      <c r="P48" s="854">
        <f t="shared" si="26"/>
        <v>-0.29418841056876638</v>
      </c>
      <c r="Q48" s="854">
        <f t="shared" si="26"/>
        <v>-0.10172954718036037</v>
      </c>
      <c r="R48" s="854">
        <f t="shared" si="26"/>
        <v>-1.0068353867993445E-2</v>
      </c>
      <c r="S48" s="854">
        <f t="shared" si="26"/>
        <v>-0.25907150355767644</v>
      </c>
      <c r="T48" s="854">
        <f t="shared" si="26"/>
        <v>-1.219708950760845</v>
      </c>
      <c r="U48" s="383"/>
    </row>
    <row r="49" spans="1:30" s="57" customFormat="1" ht="12.75">
      <c r="B49" s="374"/>
      <c r="C49" s="321"/>
      <c r="D49" s="848"/>
      <c r="E49" s="848"/>
      <c r="F49" s="848"/>
      <c r="G49" s="848"/>
      <c r="H49" s="848"/>
      <c r="I49" s="848"/>
      <c r="J49" s="848"/>
      <c r="K49" s="848"/>
      <c r="L49" s="846"/>
      <c r="M49" s="848"/>
      <c r="N49" s="848"/>
      <c r="O49" s="848"/>
      <c r="P49" s="848"/>
      <c r="Q49" s="848"/>
      <c r="R49" s="848"/>
      <c r="S49" s="848"/>
      <c r="T49" s="848"/>
      <c r="U49" s="383"/>
    </row>
    <row r="50" spans="1:30" s="57" customFormat="1" ht="13.7" customHeight="1" thickBot="1">
      <c r="B50" s="379" t="s">
        <v>327</v>
      </c>
      <c r="C50" s="463"/>
      <c r="D50" s="857">
        <f t="shared" ref="D50:K50" si="27">D45-D47-D48</f>
        <v>836.80476000000033</v>
      </c>
      <c r="E50" s="857">
        <f>E45-E47-E48</f>
        <v>833.87385300000005</v>
      </c>
      <c r="F50" s="857">
        <f t="shared" si="27"/>
        <v>471.07842100000033</v>
      </c>
      <c r="G50" s="857">
        <f t="shared" si="27"/>
        <v>264.69240799999983</v>
      </c>
      <c r="H50" s="857">
        <f t="shared" si="27"/>
        <v>312.04600100000067</v>
      </c>
      <c r="I50" s="857">
        <f t="shared" si="27"/>
        <v>496.5196480000007</v>
      </c>
      <c r="J50" s="857">
        <f t="shared" si="27"/>
        <v>134.6097679999996</v>
      </c>
      <c r="K50" s="857">
        <f t="shared" si="27"/>
        <v>18.238835999999715</v>
      </c>
      <c r="L50" s="852"/>
      <c r="M50" s="856">
        <f>IFERROR(D50/D$11*1000,"NM")</f>
        <v>166.37222563053854</v>
      </c>
      <c r="N50" s="856">
        <f>IFERROR(E50/E$11*1000,"NM")</f>
        <v>125.77282850678733</v>
      </c>
      <c r="O50" s="856">
        <f>IFERROR(F50/F$11*1000,"NM")</f>
        <v>68.842357974947859</v>
      </c>
      <c r="P50" s="856">
        <f>G50/G$11*1000</f>
        <v>38.127558976047389</v>
      </c>
      <c r="Q50" s="856">
        <f>H50/H$11*1000</f>
        <v>43.649774329563265</v>
      </c>
      <c r="R50" s="856">
        <f>I50/I$11*1000</f>
        <v>59.393317315743694</v>
      </c>
      <c r="S50" s="856">
        <f>J50/J$11*1000</f>
        <v>15.701594307710208</v>
      </c>
      <c r="T50" s="856">
        <f>K50/K$11*1000</f>
        <v>2.1209358096883184</v>
      </c>
      <c r="U50" s="383"/>
    </row>
    <row r="51" spans="1:30" s="57" customFormat="1" ht="13.7" customHeight="1" thickTop="1">
      <c r="B51" s="374"/>
      <c r="D51" s="983"/>
      <c r="E51" s="983"/>
      <c r="F51" s="983"/>
      <c r="G51" s="983"/>
      <c r="H51" s="983"/>
      <c r="I51" s="983"/>
      <c r="J51" s="1014"/>
      <c r="K51" s="1014"/>
      <c r="L51" s="853"/>
      <c r="M51" s="852"/>
      <c r="N51" s="852"/>
      <c r="O51" s="852"/>
      <c r="P51" s="852"/>
      <c r="Q51" s="852"/>
      <c r="R51" s="852"/>
      <c r="S51" s="852"/>
      <c r="T51" s="462"/>
      <c r="U51" s="383"/>
    </row>
    <row r="52" spans="1:30" s="57" customFormat="1" ht="13.7" customHeight="1">
      <c r="B52" s="374" t="s">
        <v>477</v>
      </c>
      <c r="D52" s="983">
        <f>+D17*[14]A1!$O$23</f>
        <v>202.66302500000003</v>
      </c>
      <c r="E52" s="983">
        <f>+E17*[14]A1!$O$23</f>
        <v>254.85302799999999</v>
      </c>
      <c r="F52" s="983">
        <f>+F17*[14]A1!$O$23</f>
        <v>257.01793500000002</v>
      </c>
      <c r="G52" s="983">
        <f>+G17*[14]A1!$O$23</f>
        <v>240.20425999999998</v>
      </c>
      <c r="H52" s="983">
        <f>+H17*[14]A1!$O$23</f>
        <v>259.00863100000009</v>
      </c>
      <c r="I52" s="983">
        <f>+I17*[14]A1!$O$23</f>
        <v>312.62068000000005</v>
      </c>
      <c r="J52" s="983">
        <f>+J17*[14]A1!$O$23</f>
        <v>299.859039</v>
      </c>
      <c r="K52" s="983">
        <f>+K17*[14]A1!$O$23</f>
        <v>331.26134900000005</v>
      </c>
      <c r="L52" s="853"/>
      <c r="M52" s="987"/>
      <c r="N52" s="987"/>
      <c r="O52" s="987"/>
      <c r="P52" s="987"/>
      <c r="Q52" s="987"/>
      <c r="R52" s="987"/>
      <c r="S52" s="987"/>
      <c r="T52" s="987"/>
      <c r="U52" s="383"/>
      <c r="X52" s="57">
        <f>D52/D$12</f>
        <v>5.1964878205128215</v>
      </c>
      <c r="Y52" s="57">
        <f t="shared" ref="Y52:AD52" si="28">F52/F$12</f>
        <v>6.1194746428571438</v>
      </c>
      <c r="Z52" s="57">
        <f t="shared" si="28"/>
        <v>5.3378724444444439</v>
      </c>
      <c r="AA52" s="57">
        <f t="shared" si="28"/>
        <v>4.8869553018867942</v>
      </c>
      <c r="AB52" s="57">
        <f t="shared" si="28"/>
        <v>6.0119361538461549</v>
      </c>
      <c r="AC52" s="57">
        <f t="shared" si="28"/>
        <v>5.169983431034483</v>
      </c>
      <c r="AD52" s="57">
        <f t="shared" si="28"/>
        <v>5.7114025689655179</v>
      </c>
    </row>
    <row r="53" spans="1:30" s="57" customFormat="1" ht="13.7" customHeight="1">
      <c r="B53" s="374"/>
      <c r="D53" s="983"/>
      <c r="E53" s="983"/>
      <c r="F53" s="983"/>
      <c r="G53" s="983"/>
      <c r="H53" s="983"/>
      <c r="I53" s="983"/>
      <c r="J53" s="983"/>
      <c r="K53" s="983"/>
      <c r="L53" s="853"/>
      <c r="M53" s="852"/>
      <c r="N53" s="852"/>
      <c r="O53" s="852"/>
      <c r="P53" s="852"/>
      <c r="Q53" s="852"/>
      <c r="R53" s="852"/>
      <c r="S53" s="852"/>
      <c r="T53" s="852"/>
      <c r="U53" s="383"/>
    </row>
    <row r="54" spans="1:30" s="57" customFormat="1" ht="13.7" hidden="1" customHeight="1" outlineLevel="1">
      <c r="B54" s="374" t="s">
        <v>491</v>
      </c>
      <c r="D54" s="987"/>
      <c r="E54" s="987"/>
      <c r="F54" s="987"/>
      <c r="G54" s="987"/>
      <c r="H54" s="987"/>
      <c r="I54" s="987"/>
      <c r="J54" s="983">
        <f>[14]C8!$G$62*J75</f>
        <v>0</v>
      </c>
      <c r="K54" s="983">
        <f>[14]C8!$G$62*K75</f>
        <v>0</v>
      </c>
      <c r="L54" s="853"/>
      <c r="M54" s="987"/>
      <c r="N54" s="987"/>
      <c r="O54" s="987"/>
      <c r="P54" s="987"/>
      <c r="Q54" s="987"/>
      <c r="R54" s="987"/>
      <c r="S54" s="987"/>
      <c r="T54" s="987"/>
      <c r="U54" s="383"/>
      <c r="X54" s="57">
        <f t="shared" ref="X54:AC54" si="29">X33-X52</f>
        <v>26.248055769230778</v>
      </c>
      <c r="Y54" s="57">
        <f t="shared" si="29"/>
        <v>22.208788238095245</v>
      </c>
      <c r="Z54" s="57">
        <f t="shared" si="29"/>
        <v>17.391175733333331</v>
      </c>
      <c r="AA54" s="57">
        <f t="shared" si="29"/>
        <v>16.37962000000001</v>
      </c>
      <c r="AB54" s="57">
        <f t="shared" si="29"/>
        <v>21.261365538461551</v>
      </c>
      <c r="AC54" s="57">
        <f t="shared" si="29"/>
        <v>12.588852741379304</v>
      </c>
      <c r="AD54" s="57">
        <f>AD33-AD52</f>
        <v>10.007698913793098</v>
      </c>
    </row>
    <row r="55" spans="1:30" s="57" customFormat="1" ht="13.7" hidden="1" customHeight="1" outlineLevel="1">
      <c r="B55" s="374"/>
      <c r="D55" s="983"/>
      <c r="E55" s="983"/>
      <c r="F55" s="983"/>
      <c r="G55" s="983"/>
      <c r="H55" s="983"/>
      <c r="I55" s="983"/>
      <c r="J55" s="983"/>
      <c r="K55" s="983"/>
      <c r="L55" s="853"/>
      <c r="M55" s="852"/>
      <c r="N55" s="852"/>
      <c r="O55" s="852"/>
      <c r="P55" s="852"/>
      <c r="Q55" s="852"/>
      <c r="R55" s="852"/>
      <c r="S55" s="852"/>
      <c r="T55" s="852"/>
      <c r="U55" s="383"/>
      <c r="X55" s="57">
        <f>X54*D12</f>
        <v>1023.6741750000003</v>
      </c>
      <c r="Y55" s="57">
        <f t="shared" ref="Y55:AD55" si="30">Y54*F12</f>
        <v>932.76910600000031</v>
      </c>
      <c r="Z55" s="57">
        <f t="shared" si="30"/>
        <v>782.60290799999984</v>
      </c>
      <c r="AA55" s="57">
        <f t="shared" si="30"/>
        <v>868.11986000000047</v>
      </c>
      <c r="AB55" s="57">
        <f t="shared" si="30"/>
        <v>1105.5910080000006</v>
      </c>
      <c r="AC55" s="57">
        <f t="shared" si="30"/>
        <v>730.15345899999966</v>
      </c>
      <c r="AD55" s="57">
        <f t="shared" si="30"/>
        <v>580.44653699999969</v>
      </c>
    </row>
    <row r="56" spans="1:30" s="57" customFormat="1" ht="13.7" hidden="1" customHeight="1" outlineLevel="1">
      <c r="B56" s="374" t="s">
        <v>492</v>
      </c>
      <c r="D56" s="987"/>
      <c r="E56" s="987"/>
      <c r="F56" s="987"/>
      <c r="G56" s="987"/>
      <c r="H56" s="987"/>
      <c r="I56" s="987"/>
      <c r="J56" s="983">
        <f>[14]C8!$G$69*$J$76</f>
        <v>0</v>
      </c>
      <c r="K56" s="983">
        <f>[14]C8!$G$69*$J$76</f>
        <v>0</v>
      </c>
      <c r="L56" s="853"/>
      <c r="M56" s="987"/>
      <c r="N56" s="987"/>
      <c r="O56" s="987"/>
      <c r="P56" s="987"/>
      <c r="Q56" s="987"/>
      <c r="R56" s="987"/>
      <c r="S56" s="987"/>
      <c r="T56" s="987"/>
      <c r="U56" s="383"/>
    </row>
    <row r="57" spans="1:30" s="57" customFormat="1" ht="13.7" hidden="1" customHeight="1" outlineLevel="1">
      <c r="B57" s="374"/>
      <c r="D57" s="1038"/>
      <c r="E57" s="1038"/>
      <c r="F57" s="1038"/>
      <c r="G57" s="1038"/>
      <c r="H57" s="1038"/>
      <c r="I57" s="1038"/>
      <c r="J57" s="983"/>
      <c r="K57" s="983"/>
      <c r="L57" s="853"/>
      <c r="M57" s="987"/>
      <c r="N57" s="987"/>
      <c r="O57" s="987"/>
      <c r="P57" s="987"/>
      <c r="Q57" s="987"/>
      <c r="R57" s="987"/>
      <c r="S57" s="987"/>
      <c r="T57" s="987"/>
      <c r="U57" s="383"/>
    </row>
    <row r="58" spans="1:30" s="57" customFormat="1" ht="13.7" customHeight="1" collapsed="1">
      <c r="B58" s="374" t="s">
        <v>499</v>
      </c>
      <c r="D58" s="1038">
        <f>D45+D42-D52</f>
        <v>909.13912500000038</v>
      </c>
      <c r="E58" s="1038">
        <f t="shared" ref="E58:K58" si="31">E45+E42-E52</f>
        <v>966.05732500000022</v>
      </c>
      <c r="F58" s="1038">
        <f t="shared" si="31"/>
        <v>689.62610600000039</v>
      </c>
      <c r="G58" s="1038">
        <f t="shared" si="31"/>
        <v>504.66055799999981</v>
      </c>
      <c r="H58" s="1038">
        <f t="shared" si="31"/>
        <v>612.96994000000063</v>
      </c>
      <c r="I58" s="1038">
        <f t="shared" si="31"/>
        <v>827.74904800000058</v>
      </c>
      <c r="J58" s="1038">
        <f t="shared" si="31"/>
        <v>488.81161899999967</v>
      </c>
      <c r="K58" s="1038">
        <f t="shared" si="31"/>
        <v>292.25383699999969</v>
      </c>
      <c r="L58" s="853"/>
      <c r="M58" s="987"/>
      <c r="N58" s="987"/>
      <c r="O58" s="987"/>
      <c r="P58" s="987"/>
      <c r="Q58" s="987"/>
      <c r="R58" s="987"/>
      <c r="S58" s="987"/>
      <c r="T58" s="987"/>
      <c r="U58" s="383"/>
    </row>
    <row r="59" spans="1:30" s="57" customFormat="1" ht="13.7" customHeight="1">
      <c r="B59" s="374"/>
      <c r="D59" s="983"/>
      <c r="E59" s="983"/>
      <c r="F59" s="983"/>
      <c r="G59" s="983"/>
      <c r="H59" s="983"/>
      <c r="I59" s="983"/>
      <c r="J59" s="983"/>
      <c r="K59" s="983"/>
      <c r="L59" s="853"/>
      <c r="M59" s="852"/>
      <c r="N59" s="852"/>
      <c r="O59" s="852"/>
      <c r="P59" s="852"/>
      <c r="Q59" s="852"/>
      <c r="R59" s="852"/>
      <c r="S59" s="852"/>
      <c r="T59" s="852"/>
      <c r="U59" s="383"/>
    </row>
    <row r="60" spans="1:30" s="57" customFormat="1" ht="13.7" customHeight="1">
      <c r="B60" s="374" t="s">
        <v>479</v>
      </c>
      <c r="D60" s="983">
        <f>SUM(D58:$D58)</f>
        <v>909.13912500000038</v>
      </c>
      <c r="E60" s="983">
        <f>SUM($D58:E58)</f>
        <v>1875.1964500000006</v>
      </c>
      <c r="F60" s="983">
        <f>SUM($D58:F58)</f>
        <v>2564.822556000001</v>
      </c>
      <c r="G60" s="983">
        <f>SUM($D58:G58)</f>
        <v>3069.4831140000006</v>
      </c>
      <c r="H60" s="983">
        <f>SUM($D58:H58)</f>
        <v>3682.4530540000014</v>
      </c>
      <c r="I60" s="983">
        <f>SUM($D58:I58)</f>
        <v>4510.202102000002</v>
      </c>
      <c r="J60" s="983">
        <f>SUM($D58:J58)</f>
        <v>4999.0137210000021</v>
      </c>
      <c r="K60" s="983">
        <f>SUM($D58:K58)</f>
        <v>5291.2675580000014</v>
      </c>
      <c r="L60" s="853"/>
      <c r="M60" s="852"/>
      <c r="N60" s="852"/>
      <c r="O60" s="852"/>
      <c r="P60" s="852"/>
      <c r="Q60" s="852"/>
      <c r="R60" s="852"/>
      <c r="S60" s="852"/>
      <c r="T60" s="852"/>
      <c r="U60" s="383"/>
    </row>
    <row r="61" spans="1:30" s="57" customFormat="1" ht="13.7" customHeight="1">
      <c r="B61" s="374"/>
      <c r="D61" s="983"/>
      <c r="E61" s="983"/>
      <c r="F61" s="983"/>
      <c r="G61" s="983"/>
      <c r="H61" s="983"/>
      <c r="I61" s="983"/>
      <c r="J61" s="983"/>
      <c r="K61" s="983"/>
      <c r="L61" s="853"/>
      <c r="M61" s="852"/>
      <c r="N61" s="852"/>
      <c r="O61" s="852"/>
      <c r="P61" s="852"/>
      <c r="Q61" s="852"/>
      <c r="R61" s="852"/>
      <c r="S61" s="852"/>
      <c r="T61" s="852"/>
      <c r="U61" s="383"/>
    </row>
    <row r="62" spans="1:30" s="57" customFormat="1" ht="13.7" customHeight="1">
      <c r="B62" s="374"/>
      <c r="D62" s="983"/>
      <c r="E62" s="983"/>
      <c r="F62" s="983"/>
      <c r="G62" s="983"/>
      <c r="H62" s="983"/>
      <c r="I62" s="983"/>
      <c r="J62" s="983"/>
      <c r="K62" s="983"/>
      <c r="L62" s="853"/>
      <c r="M62" s="852"/>
      <c r="N62" s="852"/>
      <c r="O62" s="852"/>
      <c r="P62" s="852"/>
      <c r="Q62" s="852"/>
      <c r="R62" s="852"/>
      <c r="S62" s="852"/>
      <c r="T62" s="462"/>
      <c r="U62" s="383"/>
    </row>
    <row r="63" spans="1:30" s="57" customFormat="1" ht="13.7" customHeight="1">
      <c r="D63" s="522" t="s">
        <v>246</v>
      </c>
      <c r="E63" s="522"/>
      <c r="F63" s="983"/>
      <c r="G63" s="983"/>
      <c r="H63" s="983"/>
      <c r="I63" s="983"/>
      <c r="J63" s="983"/>
      <c r="L63" s="853"/>
      <c r="M63" s="1118" t="str">
        <f>D63</f>
        <v>Footnotes:</v>
      </c>
      <c r="N63" s="1118"/>
      <c r="O63" s="983"/>
      <c r="P63" s="983"/>
      <c r="Q63" s="983"/>
      <c r="R63" s="983"/>
      <c r="S63" s="983"/>
      <c r="T63" s="983"/>
      <c r="U63" s="383"/>
    </row>
    <row r="64" spans="1:30" s="57" customFormat="1" ht="27" customHeight="1">
      <c r="A64" s="775"/>
      <c r="B64" s="985"/>
      <c r="C64" s="1048" t="s">
        <v>334</v>
      </c>
      <c r="D64" s="1278" t="s">
        <v>478</v>
      </c>
      <c r="E64" s="1278"/>
      <c r="F64" s="1278"/>
      <c r="G64" s="1278"/>
      <c r="H64" s="1278"/>
      <c r="I64" s="1278"/>
      <c r="J64" s="1278"/>
      <c r="K64" s="1278"/>
      <c r="L64" s="853"/>
      <c r="M64" s="1278" t="str">
        <f>D64</f>
        <v>Management fees were charged at a rate higher than 10.0% historically. However, we have considered a 10.0% fee in our forecast, as Management expects to enter into a joint venture. As such, we calculated the adjusted EBITDA based on 10.0% Management fee.</v>
      </c>
      <c r="N64" s="1278"/>
      <c r="O64" s="1278"/>
      <c r="P64" s="1278"/>
      <c r="Q64" s="1278"/>
      <c r="R64" s="1278"/>
      <c r="S64" s="1278"/>
      <c r="T64" s="1278"/>
      <c r="U64" s="383"/>
    </row>
    <row r="65" spans="1:84" s="57" customFormat="1" ht="28.5" hidden="1" customHeight="1" outlineLevel="1">
      <c r="A65" s="775"/>
      <c r="B65" s="985"/>
      <c r="C65" s="1048" t="s">
        <v>335</v>
      </c>
      <c r="D65" s="1279" t="s">
        <v>502</v>
      </c>
      <c r="E65" s="1279"/>
      <c r="F65" s="1279"/>
      <c r="G65" s="1279"/>
      <c r="H65" s="1279"/>
      <c r="I65" s="1279"/>
      <c r="J65" s="1279"/>
      <c r="K65" s="1279"/>
      <c r="L65" s="853"/>
      <c r="M65" s="1278" t="str">
        <f>D65</f>
        <v>Based on discussions with Management, the center operated with a clinical manager for only half of 2016. As such, RNA adjusted the historical EBITDA to reflect a full time clinical manager for the entire year 2016. RNA applied an adjustment of 50.0% of a full time position.</v>
      </c>
      <c r="N65" s="1278"/>
      <c r="O65" s="1278"/>
      <c r="P65" s="1278"/>
      <c r="Q65" s="1278"/>
      <c r="R65" s="1278"/>
      <c r="S65" s="1278"/>
      <c r="T65" s="1278"/>
      <c r="U65" s="383"/>
    </row>
    <row r="66" spans="1:84" s="57" customFormat="1" ht="30" hidden="1" customHeight="1" outlineLevel="1">
      <c r="A66" s="775"/>
      <c r="B66" s="985"/>
      <c r="C66" s="1048" t="s">
        <v>336</v>
      </c>
      <c r="D66" s="1279" t="str">
        <f>"RNA considered adjusting the historical EBITDA to reflect expected social worker headcount in operations. RNA ultimately did not apply an adjustment."</f>
        <v>RNA considered adjusting the historical EBITDA to reflect expected social worker headcount in operations. RNA ultimately did not apply an adjustment.</v>
      </c>
      <c r="E66" s="1279"/>
      <c r="F66" s="1279"/>
      <c r="G66" s="1279"/>
      <c r="H66" s="1279"/>
      <c r="I66" s="1279"/>
      <c r="J66" s="1279"/>
      <c r="K66" s="1279"/>
      <c r="L66" s="853"/>
      <c r="M66" s="1278" t="str">
        <f>D66</f>
        <v>RNA considered adjusting the historical EBITDA to reflect expected social worker headcount in operations. RNA ultimately did not apply an adjustment.</v>
      </c>
      <c r="N66" s="1278"/>
      <c r="O66" s="1278"/>
      <c r="P66" s="1278"/>
      <c r="Q66" s="1278"/>
      <c r="R66" s="1278"/>
      <c r="S66" s="1278"/>
      <c r="T66" s="1278"/>
      <c r="U66" s="383"/>
    </row>
    <row r="67" spans="1:84" s="57" customFormat="1" ht="13.7" customHeight="1" collapsed="1" thickBot="1">
      <c r="B67" s="374"/>
      <c r="D67" s="982"/>
      <c r="E67" s="982"/>
      <c r="F67" s="982"/>
      <c r="G67" s="982"/>
      <c r="H67" s="982"/>
      <c r="I67" s="982"/>
      <c r="J67" s="982"/>
      <c r="K67" s="857"/>
      <c r="L67" s="853"/>
      <c r="M67" s="852"/>
      <c r="N67" s="852"/>
      <c r="O67" s="852"/>
      <c r="P67" s="852"/>
      <c r="Q67" s="852"/>
      <c r="R67" s="852"/>
      <c r="S67" s="852"/>
      <c r="T67" s="462"/>
      <c r="U67" s="383"/>
    </row>
    <row r="68" spans="1:84" ht="16.5" thickTop="1" thickBot="1">
      <c r="A68" s="57"/>
      <c r="B68" s="57"/>
      <c r="C68" s="57"/>
      <c r="D68" s="464">
        <f>'Historical Actuals'!T80/1000</f>
        <v>836.80476000000021</v>
      </c>
      <c r="E68" s="464">
        <f>'Historical Actuals'!S80/1000</f>
        <v>833.8738529999996</v>
      </c>
      <c r="F68" s="464">
        <f>'Historical Actuals'!R80/1000</f>
        <v>471.07842100000016</v>
      </c>
      <c r="G68" s="464">
        <f>'Historical Actuals'!Q80/1000</f>
        <v>264.69240799999949</v>
      </c>
      <c r="H68" s="464">
        <f>'Historical Actuals'!P80/1000</f>
        <v>312.04600099999959</v>
      </c>
      <c r="I68" s="464">
        <f>'Historical Actuals'!O80/1000</f>
        <v>496.51964799999973</v>
      </c>
      <c r="J68" s="464">
        <f>'Historical Actuals'!N80/1000</f>
        <v>134.60976799999875</v>
      </c>
      <c r="K68" s="464">
        <f>'Historical Actuals'!M80/1000</f>
        <v>18.238835999999981</v>
      </c>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57"/>
      <c r="AV68" s="57"/>
      <c r="AW68" s="57"/>
      <c r="AX68" s="57"/>
      <c r="AY68" s="57"/>
      <c r="AZ68" s="57"/>
      <c r="BA68" s="57"/>
      <c r="BB68" s="57"/>
      <c r="BC68" s="57"/>
      <c r="BD68" s="57"/>
      <c r="BE68" s="57"/>
      <c r="BF68" s="57"/>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c r="CE68" s="57"/>
      <c r="CF68" s="57"/>
    </row>
    <row r="69" spans="1:84" ht="15.75" thickTop="1">
      <c r="A69" s="57"/>
      <c r="B69" s="57"/>
      <c r="C69" s="57"/>
      <c r="D69" s="387"/>
      <c r="E69" s="387"/>
      <c r="F69" s="387">
        <f t="shared" ref="F69:K69" si="32">F42/F14</f>
        <v>0.15910019855229166</v>
      </c>
      <c r="G69" s="387">
        <f t="shared" si="32"/>
        <v>0.14667213466572157</v>
      </c>
      <c r="H69" s="387">
        <f t="shared" si="32"/>
        <v>0.16510372038528706</v>
      </c>
      <c r="I69" s="387">
        <f t="shared" si="32"/>
        <v>0.16164195382084126</v>
      </c>
      <c r="J69" s="387">
        <f t="shared" si="32"/>
        <v>0.1726522976350898</v>
      </c>
      <c r="K69" s="498">
        <f t="shared" si="32"/>
        <v>0.16471915197688819</v>
      </c>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row>
    <row r="70" spans="1:84">
      <c r="A70" s="57"/>
      <c r="B70" s="57"/>
      <c r="C70" s="57"/>
      <c r="D70" s="57" t="b">
        <f t="shared" ref="D70:K70" si="33">ROUND(D50,1)=ROUND(D68,1)</f>
        <v>1</v>
      </c>
      <c r="E70" s="57" t="b">
        <f t="shared" si="33"/>
        <v>1</v>
      </c>
      <c r="F70" s="57" t="b">
        <f t="shared" si="33"/>
        <v>1</v>
      </c>
      <c r="G70" s="57" t="b">
        <f t="shared" si="33"/>
        <v>1</v>
      </c>
      <c r="H70" s="57" t="b">
        <f t="shared" si="33"/>
        <v>1</v>
      </c>
      <c r="I70" s="57" t="b">
        <f t="shared" si="33"/>
        <v>1</v>
      </c>
      <c r="J70" s="57" t="b">
        <f t="shared" si="33"/>
        <v>1</v>
      </c>
      <c r="K70" s="57" t="b">
        <f t="shared" si="33"/>
        <v>1</v>
      </c>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c r="BD70" s="57"/>
      <c r="BE70" s="57"/>
      <c r="BF70" s="57"/>
      <c r="BG70" s="57"/>
      <c r="BH70" s="57"/>
      <c r="BI70" s="57"/>
      <c r="BJ70" s="57"/>
      <c r="BK70" s="57"/>
      <c r="BL70" s="57"/>
      <c r="BM70" s="57"/>
      <c r="BN70" s="57"/>
      <c r="BO70" s="57"/>
      <c r="BP70" s="57"/>
      <c r="BQ70" s="57"/>
      <c r="BR70" s="57"/>
      <c r="BS70" s="57"/>
      <c r="BT70" s="57"/>
      <c r="BU70" s="57"/>
      <c r="BV70" s="57"/>
      <c r="BW70" s="57"/>
      <c r="BX70" s="57"/>
      <c r="BY70" s="57"/>
      <c r="BZ70" s="57"/>
      <c r="CA70" s="57"/>
      <c r="CB70" s="57"/>
      <c r="CC70" s="57"/>
      <c r="CD70" s="57"/>
      <c r="CE70" s="57"/>
      <c r="CF70" s="57"/>
    </row>
    <row r="71" spans="1:84">
      <c r="A71" s="57"/>
      <c r="B71" s="57"/>
      <c r="C71" s="57"/>
      <c r="D71" s="498">
        <f t="shared" ref="D71:K71" si="34">D58/D17</f>
        <v>0.44859644476341964</v>
      </c>
      <c r="E71" s="498">
        <f t="shared" si="34"/>
        <v>0.3790644877093633</v>
      </c>
      <c r="F71" s="498">
        <f t="shared" si="34"/>
        <v>0.26831828136818558</v>
      </c>
      <c r="G71" s="498">
        <f t="shared" si="34"/>
        <v>0.21009642293604613</v>
      </c>
      <c r="H71" s="498">
        <f t="shared" si="34"/>
        <v>0.23666004396587095</v>
      </c>
      <c r="I71" s="498">
        <f t="shared" si="34"/>
        <v>0.26477744466552899</v>
      </c>
      <c r="J71" s="498">
        <f t="shared" si="34"/>
        <v>0.16301380162830431</v>
      </c>
      <c r="K71" s="498">
        <f t="shared" si="34"/>
        <v>8.8224550760976239E-2</v>
      </c>
      <c r="L71" s="498"/>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c r="BG71" s="57"/>
      <c r="BH71" s="57"/>
      <c r="BI71" s="57"/>
      <c r="BJ71" s="57"/>
      <c r="BK71" s="57"/>
      <c r="BL71" s="57"/>
      <c r="BM71" s="57"/>
      <c r="BN71" s="57"/>
      <c r="BO71" s="57"/>
      <c r="BP71" s="57"/>
      <c r="BQ71" s="57"/>
      <c r="BR71" s="57"/>
      <c r="BS71" s="57"/>
      <c r="BT71" s="57"/>
      <c r="BU71" s="57"/>
      <c r="BV71" s="57"/>
      <c r="BW71" s="57"/>
      <c r="BX71" s="57"/>
      <c r="BY71" s="57"/>
      <c r="BZ71" s="57"/>
      <c r="CA71" s="57"/>
      <c r="CB71" s="57"/>
      <c r="CC71" s="57"/>
      <c r="CD71" s="57"/>
      <c r="CE71" s="57"/>
      <c r="CF71" s="57"/>
    </row>
    <row r="72" spans="1:84">
      <c r="A72" s="57"/>
      <c r="B72" s="57"/>
      <c r="C72" s="57"/>
      <c r="D72" s="498" t="e">
        <f t="shared" ref="D72:J72" si="35">D10/C10-1</f>
        <v>#DIV/0!</v>
      </c>
      <c r="E72" s="498">
        <f t="shared" si="35"/>
        <v>0.25752108950312946</v>
      </c>
      <c r="F72" s="498">
        <f t="shared" si="35"/>
        <v>8.4947274002962203E-3</v>
      </c>
      <c r="G72" s="498">
        <f t="shared" si="35"/>
        <v>-6.5418294641578445E-2</v>
      </c>
      <c r="H72" s="498">
        <f t="shared" si="35"/>
        <v>7.8284918843654516E-2</v>
      </c>
      <c r="I72" s="498">
        <f t="shared" si="35"/>
        <v>0.20698943040241757</v>
      </c>
      <c r="J72" s="498">
        <f t="shared" si="35"/>
        <v>-4.082148692146681E-2</v>
      </c>
      <c r="K72" s="498">
        <f>K10/J10-1</f>
        <v>0.10472357313197422</v>
      </c>
      <c r="L72" s="319"/>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7"/>
      <c r="BF72" s="57"/>
      <c r="BG72" s="57"/>
      <c r="BH72" s="57"/>
      <c r="BI72" s="57"/>
      <c r="BJ72" s="57"/>
      <c r="BK72" s="57"/>
      <c r="BL72" s="57"/>
      <c r="BM72" s="57"/>
      <c r="BN72" s="57"/>
      <c r="BO72" s="57"/>
      <c r="BP72" s="57"/>
      <c r="BQ72" s="57"/>
      <c r="BR72" s="57"/>
      <c r="BS72" s="57"/>
      <c r="BT72" s="57"/>
      <c r="BU72" s="57"/>
      <c r="BV72" s="57"/>
      <c r="BW72" s="57"/>
      <c r="BX72" s="57"/>
      <c r="BY72" s="57"/>
      <c r="BZ72" s="57"/>
      <c r="CA72" s="57"/>
      <c r="CB72" s="57"/>
      <c r="CC72" s="57"/>
      <c r="CD72" s="57"/>
      <c r="CE72" s="57"/>
      <c r="CF72" s="57"/>
    </row>
    <row r="73" spans="1:84">
      <c r="A73" s="57"/>
      <c r="B73" s="57"/>
      <c r="C73" s="57"/>
      <c r="D73" s="57"/>
      <c r="E73" s="57"/>
      <c r="F73" s="57"/>
      <c r="G73" s="57"/>
      <c r="H73" s="1004" t="s">
        <v>489</v>
      </c>
      <c r="I73" s="1005"/>
      <c r="J73" s="1006"/>
      <c r="K73" s="57"/>
      <c r="L73" s="319"/>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c r="BO73" s="57"/>
      <c r="BP73" s="57"/>
      <c r="BQ73" s="57"/>
      <c r="BR73" s="57"/>
      <c r="BS73" s="57"/>
      <c r="BT73" s="57"/>
      <c r="BU73" s="57"/>
      <c r="BV73" s="57"/>
      <c r="BW73" s="57"/>
      <c r="BX73" s="57"/>
      <c r="BY73" s="57"/>
      <c r="BZ73" s="57"/>
      <c r="CA73" s="57"/>
      <c r="CB73" s="57"/>
      <c r="CC73" s="57"/>
      <c r="CD73" s="57"/>
      <c r="CE73" s="57"/>
      <c r="CF73" s="57"/>
    </row>
    <row r="74" spans="1:84">
      <c r="A74" s="57"/>
      <c r="B74" s="57"/>
      <c r="C74" s="57"/>
      <c r="D74" s="57"/>
      <c r="E74" s="57"/>
      <c r="F74" s="57"/>
      <c r="G74" s="57"/>
      <c r="H74" s="1000" t="s">
        <v>488</v>
      </c>
      <c r="I74" s="1001"/>
      <c r="J74" s="1002"/>
      <c r="K74" s="57"/>
      <c r="L74" s="319"/>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row>
    <row r="75" spans="1:84">
      <c r="A75" s="57"/>
      <c r="B75" s="57"/>
      <c r="C75" s="57"/>
      <c r="D75" s="57"/>
      <c r="E75" s="57"/>
      <c r="F75" s="57"/>
      <c r="G75" s="57"/>
      <c r="H75" s="785" t="s">
        <v>486</v>
      </c>
      <c r="J75" s="1007">
        <v>0</v>
      </c>
      <c r="K75" s="57"/>
      <c r="L75" s="319"/>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57"/>
      <c r="BF75" s="57"/>
      <c r="BG75" s="57"/>
      <c r="BH75" s="57"/>
      <c r="BI75" s="57"/>
      <c r="BJ75" s="57"/>
      <c r="BK75" s="57"/>
      <c r="BL75" s="57"/>
      <c r="BM75" s="57"/>
      <c r="BN75" s="57"/>
      <c r="BO75" s="57"/>
      <c r="BP75" s="57"/>
      <c r="BQ75" s="57"/>
      <c r="BR75" s="57"/>
      <c r="BS75" s="57"/>
      <c r="BT75" s="57"/>
      <c r="BU75" s="57"/>
      <c r="BV75" s="57"/>
      <c r="BW75" s="57"/>
      <c r="BX75" s="57"/>
      <c r="BY75" s="57"/>
      <c r="BZ75" s="57"/>
      <c r="CA75" s="57"/>
      <c r="CB75" s="57"/>
      <c r="CC75" s="57"/>
      <c r="CD75" s="57"/>
      <c r="CE75" s="57"/>
      <c r="CF75" s="57"/>
    </row>
    <row r="76" spans="1:84">
      <c r="A76" s="57"/>
      <c r="B76" s="57"/>
      <c r="C76" s="57"/>
      <c r="D76" s="57"/>
      <c r="E76" s="57"/>
      <c r="F76" s="57"/>
      <c r="G76" s="57"/>
      <c r="H76" s="786" t="s">
        <v>487</v>
      </c>
      <c r="I76" s="1003"/>
      <c r="J76" s="1008">
        <v>0</v>
      </c>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c r="BG76" s="57"/>
      <c r="BH76" s="57"/>
      <c r="BI76" s="57"/>
      <c r="BJ76" s="57"/>
      <c r="BK76" s="57"/>
      <c r="BL76" s="57"/>
      <c r="BM76" s="57"/>
      <c r="BN76" s="57"/>
      <c r="BO76" s="57"/>
      <c r="BP76" s="57"/>
      <c r="BQ76" s="57"/>
      <c r="BR76" s="57"/>
      <c r="BS76" s="57"/>
      <c r="BT76" s="57"/>
      <c r="BU76" s="57"/>
      <c r="BV76" s="57"/>
      <c r="BW76" s="57"/>
      <c r="BX76" s="57"/>
      <c r="BY76" s="57"/>
      <c r="BZ76" s="57"/>
      <c r="CA76" s="57"/>
      <c r="CB76" s="57"/>
      <c r="CC76" s="57"/>
      <c r="CD76" s="57"/>
      <c r="CE76" s="57"/>
      <c r="CF76" s="57"/>
    </row>
    <row r="77" spans="1:84">
      <c r="A77" s="57"/>
      <c r="B77" s="57"/>
      <c r="C77" s="57"/>
      <c r="D77" s="57"/>
      <c r="E77" s="57"/>
      <c r="F77" s="57"/>
      <c r="G77" s="57"/>
      <c r="H77" s="57"/>
      <c r="I77" s="764"/>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7"/>
      <c r="BF77" s="57"/>
      <c r="BG77" s="57"/>
      <c r="BH77" s="57"/>
      <c r="BI77" s="57"/>
      <c r="BJ77" s="57"/>
      <c r="BK77" s="57"/>
      <c r="BL77" s="57"/>
      <c r="BM77" s="57"/>
      <c r="BN77" s="57"/>
      <c r="BO77" s="57"/>
      <c r="BP77" s="57"/>
      <c r="BQ77" s="57"/>
      <c r="BR77" s="57"/>
      <c r="BS77" s="57"/>
      <c r="BT77" s="57"/>
      <c r="BU77" s="57"/>
      <c r="BV77" s="57"/>
      <c r="BW77" s="57"/>
      <c r="BX77" s="57"/>
      <c r="BY77" s="57"/>
      <c r="BZ77" s="57"/>
      <c r="CA77" s="57"/>
      <c r="CB77" s="57"/>
      <c r="CC77" s="57"/>
      <c r="CD77" s="57"/>
      <c r="CE77" s="57"/>
      <c r="CF77" s="57"/>
    </row>
    <row r="78" spans="1:84">
      <c r="A78" s="57"/>
      <c r="B78" s="57"/>
      <c r="C78" s="57"/>
      <c r="D78" s="57"/>
      <c r="E78" s="57"/>
      <c r="F78" s="57"/>
      <c r="G78" s="57"/>
      <c r="H78" s="57"/>
      <c r="I78" s="764"/>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7"/>
      <c r="BF78" s="57"/>
      <c r="BG78" s="57"/>
      <c r="BH78" s="57"/>
      <c r="BI78" s="57"/>
      <c r="BJ78" s="57"/>
      <c r="BK78" s="57"/>
      <c r="BL78" s="57"/>
      <c r="BM78" s="57"/>
      <c r="BN78" s="57"/>
      <c r="BO78" s="57"/>
      <c r="BP78" s="57"/>
      <c r="BQ78" s="57"/>
      <c r="BR78" s="57"/>
      <c r="BS78" s="57"/>
      <c r="BT78" s="57"/>
      <c r="BU78" s="57"/>
      <c r="BV78" s="57"/>
      <c r="BW78" s="57"/>
      <c r="BX78" s="57"/>
      <c r="BY78" s="57"/>
      <c r="BZ78" s="57"/>
      <c r="CA78" s="57"/>
      <c r="CB78" s="57"/>
      <c r="CC78" s="57"/>
      <c r="CD78" s="57"/>
      <c r="CE78" s="57"/>
      <c r="CF78" s="57"/>
    </row>
    <row r="79" spans="1:84">
      <c r="A79" s="57"/>
      <c r="B79" s="377" t="s">
        <v>508</v>
      </c>
      <c r="C79" s="57"/>
      <c r="D79" s="552">
        <f t="shared" ref="D79:K79" si="36">(D20+D28)/SUM(D19:D20,D27:D28)</f>
        <v>0.21136264945451827</v>
      </c>
      <c r="E79" s="552">
        <f t="shared" si="36"/>
        <v>0.17642652657382313</v>
      </c>
      <c r="F79" s="552">
        <f t="shared" si="36"/>
        <v>0.22449912529221633</v>
      </c>
      <c r="G79" s="552">
        <f t="shared" si="36"/>
        <v>0.23918182332214169</v>
      </c>
      <c r="H79" s="552">
        <f t="shared" si="36"/>
        <v>0.2608118860869228</v>
      </c>
      <c r="I79" s="552">
        <f t="shared" si="36"/>
        <v>0.24443572554563628</v>
      </c>
      <c r="J79" s="552">
        <f t="shared" si="36"/>
        <v>0.26068175339539457</v>
      </c>
      <c r="K79" s="552">
        <f t="shared" si="36"/>
        <v>0.30650091536737839</v>
      </c>
      <c r="L79" s="552"/>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c r="BG79" s="57"/>
      <c r="BH79" s="57"/>
      <c r="BI79" s="57"/>
      <c r="BJ79" s="57"/>
      <c r="BK79" s="57"/>
      <c r="BL79" s="57"/>
      <c r="BM79" s="57"/>
      <c r="BN79" s="57"/>
      <c r="BO79" s="57"/>
      <c r="BP79" s="57"/>
      <c r="BQ79" s="57"/>
      <c r="BR79" s="57"/>
      <c r="BS79" s="57"/>
      <c r="BT79" s="57"/>
      <c r="BU79" s="57"/>
      <c r="BV79" s="57"/>
      <c r="BW79" s="57"/>
      <c r="BX79" s="57"/>
      <c r="BY79" s="57"/>
      <c r="BZ79" s="57"/>
      <c r="CA79" s="57"/>
      <c r="CB79" s="57"/>
      <c r="CC79" s="57"/>
      <c r="CD79" s="57"/>
      <c r="CE79" s="57"/>
      <c r="CF79" s="57"/>
    </row>
    <row r="80" spans="1:84">
      <c r="A80" s="57"/>
      <c r="B80" s="57"/>
      <c r="C80" s="57"/>
      <c r="D80" s="41"/>
      <c r="E80" s="41"/>
      <c r="F80" s="41"/>
      <c r="G80" s="41"/>
      <c r="H80" s="41"/>
      <c r="I80" s="41"/>
      <c r="J80" s="41"/>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c r="BO80" s="57"/>
      <c r="BP80" s="57"/>
      <c r="BQ80" s="57"/>
      <c r="BR80" s="57"/>
      <c r="BS80" s="57"/>
      <c r="BT80" s="57"/>
      <c r="BU80" s="57"/>
      <c r="BV80" s="57"/>
      <c r="BW80" s="57"/>
      <c r="BX80" s="57"/>
      <c r="BY80" s="57"/>
      <c r="BZ80" s="57"/>
      <c r="CA80" s="57"/>
      <c r="CB80" s="57"/>
      <c r="CC80" s="57"/>
      <c r="CD80" s="57"/>
      <c r="CE80" s="57"/>
      <c r="CF80" s="57"/>
    </row>
    <row r="81" spans="1:84">
      <c r="A81" s="57"/>
      <c r="B81" s="465" t="s">
        <v>509</v>
      </c>
      <c r="C81" s="57"/>
      <c r="D81" s="552">
        <f>D42/D10</f>
        <v>0.13531362714042186</v>
      </c>
      <c r="E81" s="552">
        <f>E42/E10</f>
        <v>0.15156488546802749</v>
      </c>
      <c r="F81" s="552">
        <f t="shared" ref="F81:K81" si="37">F42/F10</f>
        <v>0.16070727126494108</v>
      </c>
      <c r="G81" s="552">
        <f t="shared" si="37"/>
        <v>0.14815367137951674</v>
      </c>
      <c r="H81" s="552">
        <f t="shared" si="37"/>
        <v>0.16677143473261319</v>
      </c>
      <c r="I81" s="552">
        <f t="shared" si="37"/>
        <v>0.16327470082913259</v>
      </c>
      <c r="J81" s="552">
        <f t="shared" si="37"/>
        <v>0.17439626023746446</v>
      </c>
      <c r="K81" s="552">
        <f t="shared" si="37"/>
        <v>0.16638298179483654</v>
      </c>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7"/>
      <c r="BE81" s="57"/>
      <c r="BF81" s="57"/>
      <c r="BG81" s="57"/>
      <c r="BH81" s="57"/>
      <c r="BI81" s="57"/>
      <c r="BJ81" s="57"/>
      <c r="BK81" s="57"/>
      <c r="BL81" s="57"/>
      <c r="BM81" s="57"/>
      <c r="BN81" s="57"/>
      <c r="BO81" s="57"/>
      <c r="BP81" s="57"/>
      <c r="BQ81" s="57"/>
      <c r="BR81" s="57"/>
      <c r="BS81" s="57"/>
      <c r="BT81" s="57"/>
      <c r="BU81" s="57"/>
      <c r="BV81" s="57"/>
      <c r="BW81" s="57"/>
      <c r="BX81" s="57"/>
      <c r="BY81" s="57"/>
      <c r="BZ81" s="57"/>
      <c r="CA81" s="57"/>
      <c r="CB81" s="57"/>
      <c r="CC81" s="57"/>
      <c r="CD81" s="57"/>
      <c r="CE81" s="57"/>
      <c r="CF81" s="57"/>
    </row>
    <row r="82" spans="1:84">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row>
    <row r="83" spans="1:84">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row>
    <row r="84" spans="1: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57"/>
      <c r="CC84" s="57"/>
      <c r="CD84" s="57"/>
      <c r="CE84" s="57"/>
      <c r="CF84" s="57"/>
    </row>
    <row r="85" spans="1:84">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row>
    <row r="86" spans="1:84">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7"/>
      <c r="AZ86" s="57"/>
      <c r="BA86" s="57"/>
      <c r="BB86" s="57"/>
      <c r="BC86" s="57"/>
      <c r="BD86" s="57"/>
      <c r="BE86" s="57"/>
      <c r="BF86" s="57"/>
      <c r="BG86" s="57"/>
      <c r="BH86" s="57"/>
      <c r="BI86" s="57"/>
      <c r="BJ86" s="57"/>
      <c r="BK86" s="57"/>
      <c r="BL86" s="57"/>
      <c r="BM86" s="57"/>
      <c r="BN86" s="57"/>
      <c r="BO86" s="57"/>
      <c r="BP86" s="57"/>
      <c r="BQ86" s="57"/>
      <c r="BR86" s="57"/>
      <c r="BS86" s="57"/>
      <c r="BT86" s="57"/>
      <c r="BU86" s="57"/>
      <c r="BV86" s="57"/>
      <c r="BW86" s="57"/>
      <c r="BX86" s="57"/>
      <c r="BY86" s="57"/>
      <c r="BZ86" s="57"/>
      <c r="CA86" s="57"/>
      <c r="CB86" s="57"/>
      <c r="CC86" s="57"/>
      <c r="CD86" s="57"/>
      <c r="CE86" s="57"/>
      <c r="CF86" s="57"/>
    </row>
    <row r="87" spans="1:84">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c r="BG87" s="57"/>
      <c r="BH87" s="57"/>
      <c r="BI87" s="57"/>
      <c r="BJ87" s="57"/>
      <c r="BK87" s="57"/>
      <c r="BL87" s="57"/>
      <c r="BM87" s="57"/>
      <c r="BN87" s="57"/>
      <c r="BO87" s="57"/>
      <c r="BP87" s="57"/>
      <c r="BQ87" s="57"/>
      <c r="BR87" s="57"/>
      <c r="BS87" s="57"/>
      <c r="BT87" s="57"/>
      <c r="BU87" s="57"/>
      <c r="BV87" s="57"/>
      <c r="BW87" s="57"/>
      <c r="BX87" s="57"/>
      <c r="BY87" s="57"/>
      <c r="BZ87" s="57"/>
      <c r="CA87" s="57"/>
      <c r="CB87" s="57"/>
      <c r="CC87" s="57"/>
      <c r="CD87" s="57"/>
      <c r="CE87" s="57"/>
      <c r="CF87" s="57"/>
    </row>
    <row r="88" spans="1:84">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57"/>
      <c r="BF88" s="57"/>
      <c r="BG88" s="57"/>
      <c r="BH88" s="57"/>
      <c r="BI88" s="57"/>
      <c r="BJ88" s="57"/>
      <c r="BK88" s="57"/>
      <c r="BL88" s="57"/>
      <c r="BM88" s="57"/>
      <c r="BN88" s="57"/>
      <c r="BO88" s="57"/>
      <c r="BP88" s="57"/>
      <c r="BQ88" s="57"/>
      <c r="BR88" s="57"/>
      <c r="BS88" s="57"/>
      <c r="BT88" s="57"/>
      <c r="BU88" s="57"/>
      <c r="BV88" s="57"/>
      <c r="BW88" s="57"/>
      <c r="BX88" s="57"/>
      <c r="BY88" s="57"/>
      <c r="BZ88" s="57"/>
      <c r="CA88" s="57"/>
      <c r="CB88" s="57"/>
      <c r="CC88" s="57"/>
      <c r="CD88" s="57"/>
      <c r="CE88" s="57"/>
      <c r="CF88" s="57"/>
    </row>
    <row r="89" spans="1:84">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c r="BD89" s="57"/>
      <c r="BE89" s="57"/>
      <c r="BF89" s="57"/>
      <c r="BG89" s="57"/>
      <c r="BH89" s="57"/>
      <c r="BI89" s="57"/>
      <c r="BJ89" s="57"/>
      <c r="BK89" s="57"/>
      <c r="BL89" s="57"/>
      <c r="BM89" s="57"/>
      <c r="BN89" s="57"/>
      <c r="BO89" s="57"/>
      <c r="BP89" s="57"/>
      <c r="BQ89" s="57"/>
      <c r="BR89" s="57"/>
      <c r="BS89" s="57"/>
      <c r="BT89" s="57"/>
      <c r="BU89" s="57"/>
      <c r="BV89" s="57"/>
      <c r="BW89" s="57"/>
      <c r="BX89" s="57"/>
      <c r="BY89" s="57"/>
      <c r="BZ89" s="57"/>
      <c r="CA89" s="57"/>
      <c r="CB89" s="57"/>
      <c r="CC89" s="57"/>
      <c r="CD89" s="57"/>
      <c r="CE89" s="57"/>
      <c r="CF89" s="57"/>
    </row>
    <row r="90" spans="1:84">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c r="BC90" s="57"/>
      <c r="BD90" s="57"/>
      <c r="BE90" s="57"/>
      <c r="BF90" s="57"/>
      <c r="BG90" s="57"/>
      <c r="BH90" s="57"/>
      <c r="BI90" s="57"/>
      <c r="BJ90" s="57"/>
      <c r="BK90" s="57"/>
      <c r="BL90" s="57"/>
      <c r="BM90" s="57"/>
      <c r="BN90" s="57"/>
      <c r="BO90" s="57"/>
      <c r="BP90" s="57"/>
      <c r="BQ90" s="57"/>
      <c r="BR90" s="57"/>
      <c r="BS90" s="57"/>
      <c r="BT90" s="57"/>
      <c r="BU90" s="57"/>
      <c r="BV90" s="57"/>
      <c r="BW90" s="57"/>
      <c r="BX90" s="57"/>
      <c r="BY90" s="57"/>
      <c r="BZ90" s="57"/>
      <c r="CA90" s="57"/>
      <c r="CB90" s="57"/>
      <c r="CC90" s="57"/>
      <c r="CD90" s="57"/>
      <c r="CE90" s="57"/>
      <c r="CF90" s="57"/>
    </row>
    <row r="91" spans="1:84">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c r="BG91" s="57"/>
      <c r="BH91" s="57"/>
      <c r="BI91" s="57"/>
      <c r="BJ91" s="57"/>
      <c r="BK91" s="57"/>
      <c r="BL91" s="57"/>
      <c r="BM91" s="57"/>
      <c r="BN91" s="57"/>
      <c r="BO91" s="57"/>
      <c r="BP91" s="57"/>
      <c r="BQ91" s="57"/>
      <c r="BR91" s="57"/>
      <c r="BS91" s="57"/>
      <c r="BT91" s="57"/>
      <c r="BU91" s="57"/>
      <c r="BV91" s="57"/>
      <c r="BW91" s="57"/>
      <c r="BX91" s="57"/>
      <c r="BY91" s="57"/>
      <c r="BZ91" s="57"/>
      <c r="CA91" s="57"/>
      <c r="CB91" s="57"/>
      <c r="CC91" s="57"/>
      <c r="CD91" s="57"/>
      <c r="CE91" s="57"/>
      <c r="CF91" s="57"/>
    </row>
    <row r="92" spans="1:84">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57"/>
      <c r="CC92" s="57"/>
      <c r="CD92" s="57"/>
      <c r="CE92" s="57"/>
      <c r="CF92" s="57"/>
    </row>
    <row r="93" spans="1:84">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c r="BO93" s="57"/>
      <c r="BP93" s="57"/>
      <c r="BQ93" s="57"/>
      <c r="BR93" s="57"/>
      <c r="BS93" s="57"/>
      <c r="BT93" s="57"/>
      <c r="BU93" s="57"/>
      <c r="BV93" s="57"/>
      <c r="BW93" s="57"/>
      <c r="BX93" s="57"/>
      <c r="BY93" s="57"/>
      <c r="BZ93" s="57"/>
      <c r="CA93" s="57"/>
      <c r="CB93" s="57"/>
      <c r="CC93" s="57"/>
      <c r="CD93" s="57"/>
      <c r="CE93" s="57"/>
      <c r="CF93" s="57"/>
    </row>
    <row r="94" spans="1:8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c r="BO94" s="57"/>
      <c r="BP94" s="57"/>
      <c r="BQ94" s="57"/>
      <c r="BR94" s="57"/>
      <c r="BS94" s="57"/>
      <c r="BT94" s="57"/>
      <c r="BU94" s="57"/>
      <c r="BV94" s="57"/>
      <c r="BW94" s="57"/>
      <c r="BX94" s="57"/>
      <c r="BY94" s="57"/>
      <c r="BZ94" s="57"/>
      <c r="CA94" s="57"/>
      <c r="CB94" s="57"/>
      <c r="CC94" s="57"/>
      <c r="CD94" s="57"/>
      <c r="CE94" s="57"/>
      <c r="CF94" s="57"/>
    </row>
    <row r="95" spans="1:84">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c r="BO95" s="57"/>
      <c r="BP95" s="57"/>
      <c r="BQ95" s="57"/>
      <c r="BR95" s="57"/>
      <c r="BS95" s="57"/>
      <c r="BT95" s="57"/>
      <c r="BU95" s="57"/>
      <c r="BV95" s="57"/>
      <c r="BW95" s="57"/>
      <c r="BX95" s="57"/>
      <c r="BY95" s="57"/>
      <c r="BZ95" s="57"/>
      <c r="CA95" s="57"/>
      <c r="CB95" s="57"/>
      <c r="CC95" s="57"/>
      <c r="CD95" s="57"/>
      <c r="CE95" s="57"/>
      <c r="CF95" s="57"/>
    </row>
    <row r="96" spans="1:84">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c r="BO96" s="57"/>
      <c r="BP96" s="57"/>
      <c r="BQ96" s="57"/>
      <c r="BR96" s="57"/>
      <c r="BS96" s="57"/>
      <c r="BT96" s="57"/>
      <c r="BU96" s="57"/>
      <c r="BV96" s="57"/>
      <c r="BW96" s="57"/>
      <c r="BX96" s="57"/>
      <c r="BY96" s="57"/>
      <c r="BZ96" s="57"/>
      <c r="CA96" s="57"/>
      <c r="CB96" s="57"/>
      <c r="CC96" s="57"/>
      <c r="CD96" s="57"/>
      <c r="CE96" s="57"/>
      <c r="CF96" s="57"/>
    </row>
    <row r="97" spans="1:84">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c r="BO97" s="57"/>
      <c r="BP97" s="57"/>
      <c r="BQ97" s="57"/>
      <c r="BR97" s="57"/>
      <c r="BS97" s="57"/>
      <c r="BT97" s="57"/>
      <c r="BU97" s="57"/>
      <c r="BV97" s="57"/>
      <c r="BW97" s="57"/>
      <c r="BX97" s="57"/>
      <c r="BY97" s="57"/>
      <c r="BZ97" s="57"/>
      <c r="CA97" s="57"/>
      <c r="CB97" s="57"/>
      <c r="CC97" s="57"/>
      <c r="CD97" s="57"/>
      <c r="CE97" s="57"/>
      <c r="CF97" s="57"/>
    </row>
    <row r="98" spans="1:84">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c r="BO98" s="57"/>
      <c r="BP98" s="57"/>
      <c r="BQ98" s="57"/>
      <c r="BR98" s="57"/>
      <c r="BS98" s="57"/>
      <c r="BT98" s="57"/>
      <c r="BU98" s="57"/>
      <c r="BV98" s="57"/>
      <c r="BW98" s="57"/>
      <c r="BX98" s="57"/>
      <c r="BY98" s="57"/>
      <c r="BZ98" s="57"/>
      <c r="CA98" s="57"/>
      <c r="CB98" s="57"/>
      <c r="CC98" s="57"/>
      <c r="CD98" s="57"/>
      <c r="CE98" s="57"/>
      <c r="CF98" s="57"/>
    </row>
    <row r="99" spans="1:84">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c r="BE99" s="57"/>
      <c r="BF99" s="57"/>
      <c r="BG99" s="57"/>
      <c r="BH99" s="57"/>
      <c r="BI99" s="57"/>
      <c r="BJ99" s="57"/>
      <c r="BK99" s="57"/>
      <c r="BL99" s="57"/>
      <c r="BM99" s="57"/>
      <c r="BN99" s="57"/>
      <c r="BO99" s="57"/>
      <c r="BP99" s="57"/>
      <c r="BQ99" s="57"/>
      <c r="BR99" s="57"/>
      <c r="BS99" s="57"/>
      <c r="BT99" s="57"/>
      <c r="BU99" s="57"/>
      <c r="BV99" s="57"/>
      <c r="BW99" s="57"/>
      <c r="BX99" s="57"/>
      <c r="BY99" s="57"/>
      <c r="BZ99" s="57"/>
      <c r="CA99" s="57"/>
      <c r="CB99" s="57"/>
      <c r="CC99" s="57"/>
      <c r="CD99" s="57"/>
      <c r="CE99" s="57"/>
      <c r="CF99" s="57"/>
    </row>
    <row r="100" spans="1:8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c r="BT100" s="57"/>
      <c r="BU100" s="57"/>
      <c r="BV100" s="57"/>
      <c r="BW100" s="57"/>
      <c r="BX100" s="57"/>
      <c r="BY100" s="57"/>
      <c r="BZ100" s="57"/>
      <c r="CA100" s="57"/>
      <c r="CB100" s="57"/>
      <c r="CC100" s="57"/>
      <c r="CD100" s="57"/>
      <c r="CE100" s="57"/>
      <c r="CF100" s="57"/>
    </row>
    <row r="101" spans="1:8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c r="BT101" s="57"/>
      <c r="BU101" s="57"/>
      <c r="BV101" s="57"/>
      <c r="BW101" s="57"/>
      <c r="BX101" s="57"/>
      <c r="BY101" s="57"/>
      <c r="BZ101" s="57"/>
      <c r="CA101" s="57"/>
      <c r="CB101" s="57"/>
      <c r="CC101" s="57"/>
      <c r="CD101" s="57"/>
      <c r="CE101" s="57"/>
      <c r="CF101" s="57"/>
    </row>
    <row r="102" spans="1:8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c r="BT102" s="57"/>
      <c r="BU102" s="57"/>
      <c r="BV102" s="57"/>
      <c r="BW102" s="57"/>
      <c r="BX102" s="57"/>
      <c r="BY102" s="57"/>
      <c r="BZ102" s="57"/>
      <c r="CA102" s="57"/>
      <c r="CB102" s="57"/>
      <c r="CC102" s="57"/>
      <c r="CD102" s="57"/>
      <c r="CE102" s="57"/>
      <c r="CF102" s="57"/>
    </row>
    <row r="103" spans="1:8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c r="BT103" s="57"/>
      <c r="BU103" s="57"/>
      <c r="BV103" s="57"/>
      <c r="BW103" s="57"/>
      <c r="BX103" s="57"/>
      <c r="BY103" s="57"/>
      <c r="BZ103" s="57"/>
      <c r="CA103" s="57"/>
      <c r="CB103" s="57"/>
      <c r="CC103" s="57"/>
      <c r="CD103" s="57"/>
      <c r="CE103" s="57"/>
      <c r="CF103" s="57"/>
    </row>
    <row r="104" spans="1:8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c r="BO104" s="57"/>
      <c r="BP104" s="57"/>
      <c r="BQ104" s="57"/>
      <c r="BR104" s="57"/>
      <c r="BS104" s="57"/>
      <c r="BT104" s="57"/>
      <c r="BU104" s="57"/>
      <c r="BV104" s="57"/>
      <c r="BW104" s="57"/>
      <c r="BX104" s="57"/>
      <c r="BY104" s="57"/>
      <c r="BZ104" s="57"/>
      <c r="CA104" s="57"/>
      <c r="CB104" s="57"/>
      <c r="CC104" s="57"/>
      <c r="CD104" s="57"/>
      <c r="CE104" s="57"/>
      <c r="CF104" s="57"/>
    </row>
    <row r="105" spans="1:8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c r="BO105" s="57"/>
      <c r="BP105" s="57"/>
      <c r="BQ105" s="57"/>
      <c r="BR105" s="57"/>
      <c r="BS105" s="57"/>
      <c r="BT105" s="57"/>
      <c r="BU105" s="57"/>
      <c r="BV105" s="57"/>
      <c r="BW105" s="57"/>
      <c r="BX105" s="57"/>
      <c r="BY105" s="57"/>
      <c r="BZ105" s="57"/>
      <c r="CA105" s="57"/>
      <c r="CB105" s="57"/>
      <c r="CC105" s="57"/>
      <c r="CD105" s="57"/>
      <c r="CE105" s="57"/>
      <c r="CF105" s="57"/>
    </row>
    <row r="106" spans="1:8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c r="BR106" s="57"/>
      <c r="BS106" s="57"/>
      <c r="BT106" s="57"/>
      <c r="BU106" s="57"/>
      <c r="BV106" s="57"/>
      <c r="BW106" s="57"/>
      <c r="BX106" s="57"/>
      <c r="BY106" s="57"/>
      <c r="BZ106" s="57"/>
      <c r="CA106" s="57"/>
      <c r="CB106" s="57"/>
      <c r="CC106" s="57"/>
      <c r="CD106" s="57"/>
      <c r="CE106" s="57"/>
      <c r="CF106" s="57"/>
    </row>
    <row r="107" spans="1:8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c r="BO107" s="57"/>
      <c r="BP107" s="57"/>
      <c r="BQ107" s="57"/>
      <c r="BR107" s="57"/>
      <c r="BS107" s="57"/>
      <c r="BT107" s="57"/>
      <c r="BU107" s="57"/>
      <c r="BV107" s="57"/>
      <c r="BW107" s="57"/>
      <c r="BX107" s="57"/>
      <c r="BY107" s="57"/>
      <c r="BZ107" s="57"/>
      <c r="CA107" s="57"/>
      <c r="CB107" s="57"/>
      <c r="CC107" s="57"/>
      <c r="CD107" s="57"/>
      <c r="CE107" s="57"/>
      <c r="CF107" s="57"/>
    </row>
    <row r="108" spans="1:8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c r="BT108" s="57"/>
      <c r="BU108" s="57"/>
      <c r="BV108" s="57"/>
      <c r="BW108" s="57"/>
      <c r="BX108" s="57"/>
      <c r="BY108" s="57"/>
      <c r="BZ108" s="57"/>
      <c r="CA108" s="57"/>
      <c r="CB108" s="57"/>
      <c r="CC108" s="57"/>
      <c r="CD108" s="57"/>
      <c r="CE108" s="57"/>
      <c r="CF108" s="57"/>
    </row>
    <row r="109" spans="1:8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c r="BR109" s="57"/>
      <c r="BS109" s="57"/>
      <c r="BT109" s="57"/>
      <c r="BU109" s="57"/>
      <c r="BV109" s="57"/>
      <c r="BW109" s="57"/>
      <c r="BX109" s="57"/>
      <c r="BY109" s="57"/>
      <c r="BZ109" s="57"/>
      <c r="CA109" s="57"/>
      <c r="CB109" s="57"/>
      <c r="CC109" s="57"/>
      <c r="CD109" s="57"/>
      <c r="CE109" s="57"/>
      <c r="CF109" s="57"/>
    </row>
    <row r="110" spans="1:8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c r="BO110" s="57"/>
      <c r="BP110" s="57"/>
      <c r="BQ110" s="57"/>
      <c r="BR110" s="57"/>
      <c r="BS110" s="57"/>
      <c r="BT110" s="57"/>
      <c r="BU110" s="57"/>
      <c r="BV110" s="57"/>
      <c r="BW110" s="57"/>
      <c r="BX110" s="57"/>
      <c r="BY110" s="57"/>
      <c r="BZ110" s="57"/>
      <c r="CA110" s="57"/>
      <c r="CB110" s="57"/>
      <c r="CC110" s="57"/>
      <c r="CD110" s="57"/>
      <c r="CE110" s="57"/>
      <c r="CF110" s="57"/>
    </row>
    <row r="111" spans="1:8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c r="BR111" s="57"/>
      <c r="BS111" s="57"/>
      <c r="BT111" s="57"/>
      <c r="BU111" s="57"/>
      <c r="BV111" s="57"/>
      <c r="BW111" s="57"/>
      <c r="BX111" s="57"/>
      <c r="BY111" s="57"/>
      <c r="BZ111" s="57"/>
      <c r="CA111" s="57"/>
      <c r="CB111" s="57"/>
      <c r="CC111" s="57"/>
      <c r="CD111" s="57"/>
      <c r="CE111" s="57"/>
      <c r="CF111" s="57"/>
    </row>
    <row r="112" spans="1:8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c r="BO112" s="57"/>
      <c r="BP112" s="57"/>
      <c r="BQ112" s="57"/>
      <c r="BR112" s="57"/>
      <c r="BS112" s="57"/>
      <c r="BT112" s="57"/>
      <c r="BU112" s="57"/>
      <c r="BV112" s="57"/>
      <c r="BW112" s="57"/>
      <c r="BX112" s="57"/>
      <c r="BY112" s="57"/>
      <c r="BZ112" s="57"/>
      <c r="CA112" s="57"/>
      <c r="CB112" s="57"/>
      <c r="CC112" s="57"/>
      <c r="CD112" s="57"/>
      <c r="CE112" s="57"/>
      <c r="CF112" s="57"/>
    </row>
    <row r="113" spans="1:8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c r="BT113" s="57"/>
      <c r="BU113" s="57"/>
      <c r="BV113" s="57"/>
      <c r="BW113" s="57"/>
      <c r="BX113" s="57"/>
      <c r="BY113" s="57"/>
      <c r="BZ113" s="57"/>
      <c r="CA113" s="57"/>
      <c r="CB113" s="57"/>
      <c r="CC113" s="57"/>
      <c r="CD113" s="57"/>
      <c r="CE113" s="57"/>
      <c r="CF113" s="57"/>
    </row>
    <row r="114" spans="1:8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c r="BO114" s="57"/>
      <c r="BP114" s="57"/>
      <c r="BQ114" s="57"/>
      <c r="BR114" s="57"/>
      <c r="BS114" s="57"/>
      <c r="BT114" s="57"/>
      <c r="BU114" s="57"/>
      <c r="BV114" s="57"/>
      <c r="BW114" s="57"/>
      <c r="BX114" s="57"/>
      <c r="BY114" s="57"/>
      <c r="BZ114" s="57"/>
      <c r="CA114" s="57"/>
      <c r="CB114" s="57"/>
      <c r="CC114" s="57"/>
      <c r="CD114" s="57"/>
      <c r="CE114" s="57"/>
      <c r="CF114" s="57"/>
    </row>
    <row r="115" spans="1:8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c r="BD115" s="57"/>
      <c r="BE115" s="57"/>
      <c r="BF115" s="57"/>
      <c r="BG115" s="57"/>
      <c r="BH115" s="57"/>
      <c r="BI115" s="57"/>
      <c r="BJ115" s="57"/>
      <c r="BK115" s="57"/>
      <c r="BL115" s="57"/>
      <c r="BM115" s="57"/>
      <c r="BN115" s="57"/>
      <c r="BO115" s="57"/>
      <c r="BP115" s="57"/>
      <c r="BQ115" s="57"/>
      <c r="BR115" s="57"/>
      <c r="BS115" s="57"/>
      <c r="BT115" s="57"/>
      <c r="BU115" s="57"/>
      <c r="BV115" s="57"/>
      <c r="BW115" s="57"/>
      <c r="BX115" s="57"/>
      <c r="BY115" s="57"/>
      <c r="BZ115" s="57"/>
      <c r="CA115" s="57"/>
      <c r="CB115" s="57"/>
      <c r="CC115" s="57"/>
      <c r="CD115" s="57"/>
      <c r="CE115" s="57"/>
      <c r="CF115" s="57"/>
    </row>
    <row r="116" spans="1:8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57"/>
      <c r="BE116" s="57"/>
      <c r="BF116" s="57"/>
      <c r="BG116" s="57"/>
      <c r="BH116" s="57"/>
      <c r="BI116" s="57"/>
      <c r="BJ116" s="57"/>
      <c r="BK116" s="57"/>
      <c r="BL116" s="57"/>
      <c r="BM116" s="57"/>
      <c r="BN116" s="57"/>
      <c r="BO116" s="57"/>
      <c r="BP116" s="57"/>
      <c r="BQ116" s="57"/>
      <c r="BR116" s="57"/>
      <c r="BS116" s="57"/>
      <c r="BT116" s="57"/>
      <c r="BU116" s="57"/>
      <c r="BV116" s="57"/>
      <c r="BW116" s="57"/>
      <c r="BX116" s="57"/>
      <c r="BY116" s="57"/>
      <c r="BZ116" s="57"/>
      <c r="CA116" s="57"/>
      <c r="CB116" s="57"/>
      <c r="CC116" s="57"/>
      <c r="CD116" s="57"/>
      <c r="CE116" s="57"/>
      <c r="CF116" s="57"/>
    </row>
    <row r="117" spans="1:8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c r="BA117" s="57"/>
      <c r="BB117" s="57"/>
      <c r="BC117" s="57"/>
      <c r="BD117" s="57"/>
      <c r="BE117" s="57"/>
      <c r="BF117" s="57"/>
      <c r="BG117" s="57"/>
      <c r="BH117" s="57"/>
      <c r="BI117" s="57"/>
      <c r="BJ117" s="57"/>
      <c r="BK117" s="57"/>
      <c r="BL117" s="57"/>
      <c r="BM117" s="57"/>
      <c r="BN117" s="57"/>
      <c r="BO117" s="57"/>
      <c r="BP117" s="57"/>
      <c r="BQ117" s="57"/>
      <c r="BR117" s="57"/>
      <c r="BS117" s="57"/>
      <c r="BT117" s="57"/>
      <c r="BU117" s="57"/>
      <c r="BV117" s="57"/>
      <c r="BW117" s="57"/>
      <c r="BX117" s="57"/>
      <c r="BY117" s="57"/>
      <c r="BZ117" s="57"/>
      <c r="CA117" s="57"/>
      <c r="CB117" s="57"/>
      <c r="CC117" s="57"/>
      <c r="CD117" s="57"/>
      <c r="CE117" s="57"/>
      <c r="CF117" s="57"/>
    </row>
    <row r="118" spans="1:8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c r="BD118" s="57"/>
      <c r="BE118" s="57"/>
      <c r="BF118" s="57"/>
      <c r="BG118" s="57"/>
      <c r="BH118" s="57"/>
      <c r="BI118" s="57"/>
      <c r="BJ118" s="57"/>
      <c r="BK118" s="57"/>
      <c r="BL118" s="57"/>
      <c r="BM118" s="57"/>
      <c r="BN118" s="57"/>
      <c r="BO118" s="57"/>
      <c r="BP118" s="57"/>
      <c r="BQ118" s="57"/>
      <c r="BR118" s="57"/>
      <c r="BS118" s="57"/>
      <c r="BT118" s="57"/>
      <c r="BU118" s="57"/>
      <c r="BV118" s="57"/>
      <c r="BW118" s="57"/>
      <c r="BX118" s="57"/>
      <c r="BY118" s="57"/>
      <c r="BZ118" s="57"/>
      <c r="CA118" s="57"/>
      <c r="CB118" s="57"/>
      <c r="CC118" s="57"/>
      <c r="CD118" s="57"/>
      <c r="CE118" s="57"/>
      <c r="CF118" s="57"/>
    </row>
    <row r="119" spans="1:8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c r="BD119" s="57"/>
      <c r="BE119" s="57"/>
      <c r="BF119" s="57"/>
      <c r="BG119" s="57"/>
      <c r="BH119" s="57"/>
      <c r="BI119" s="57"/>
      <c r="BJ119" s="57"/>
      <c r="BK119" s="57"/>
      <c r="BL119" s="57"/>
      <c r="BM119" s="57"/>
      <c r="BN119" s="57"/>
      <c r="BO119" s="57"/>
      <c r="BP119" s="57"/>
      <c r="BQ119" s="57"/>
      <c r="BR119" s="57"/>
      <c r="BS119" s="57"/>
      <c r="BT119" s="57"/>
      <c r="BU119" s="57"/>
      <c r="BV119" s="57"/>
      <c r="BW119" s="57"/>
      <c r="BX119" s="57"/>
      <c r="BY119" s="57"/>
      <c r="BZ119" s="57"/>
      <c r="CA119" s="57"/>
      <c r="CB119" s="57"/>
      <c r="CC119" s="57"/>
      <c r="CD119" s="57"/>
      <c r="CE119" s="57"/>
      <c r="CF119" s="57"/>
    </row>
    <row r="120" spans="1:8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57"/>
      <c r="BE120" s="57"/>
      <c r="BF120" s="57"/>
      <c r="BG120" s="57"/>
      <c r="BH120" s="57"/>
      <c r="BI120" s="57"/>
      <c r="BJ120" s="57"/>
      <c r="BK120" s="57"/>
      <c r="BL120" s="57"/>
      <c r="BM120" s="57"/>
      <c r="BN120" s="57"/>
      <c r="BO120" s="57"/>
      <c r="BP120" s="57"/>
      <c r="BQ120" s="57"/>
      <c r="BR120" s="57"/>
      <c r="BS120" s="57"/>
      <c r="BT120" s="57"/>
      <c r="BU120" s="57"/>
      <c r="BV120" s="57"/>
      <c r="BW120" s="57"/>
      <c r="BX120" s="57"/>
      <c r="BY120" s="57"/>
      <c r="BZ120" s="57"/>
      <c r="CA120" s="57"/>
      <c r="CB120" s="57"/>
      <c r="CC120" s="57"/>
      <c r="CD120" s="57"/>
      <c r="CE120" s="57"/>
      <c r="CF120" s="57"/>
    </row>
    <row r="121" spans="1:8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57"/>
      <c r="BE121" s="57"/>
      <c r="BF121" s="57"/>
      <c r="BG121" s="57"/>
      <c r="BH121" s="57"/>
      <c r="BI121" s="57"/>
      <c r="BJ121" s="57"/>
      <c r="BK121" s="57"/>
      <c r="BL121" s="57"/>
      <c r="BM121" s="57"/>
      <c r="BN121" s="57"/>
      <c r="BO121" s="57"/>
      <c r="BP121" s="57"/>
      <c r="BQ121" s="57"/>
      <c r="BR121" s="57"/>
      <c r="BS121" s="57"/>
      <c r="BT121" s="57"/>
      <c r="BU121" s="57"/>
      <c r="BV121" s="57"/>
      <c r="BW121" s="57"/>
      <c r="BX121" s="57"/>
      <c r="BY121" s="57"/>
      <c r="BZ121" s="57"/>
      <c r="CA121" s="57"/>
      <c r="CB121" s="57"/>
      <c r="CC121" s="57"/>
      <c r="CD121" s="57"/>
      <c r="CE121" s="57"/>
      <c r="CF121" s="57"/>
    </row>
    <row r="122" spans="1:8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57"/>
      <c r="CC122" s="57"/>
      <c r="CD122" s="57"/>
      <c r="CE122" s="57"/>
      <c r="CF122" s="57"/>
    </row>
    <row r="123" spans="1:8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57"/>
      <c r="AV123" s="57"/>
      <c r="AW123" s="57"/>
      <c r="AX123" s="57"/>
      <c r="AY123" s="57"/>
      <c r="AZ123" s="57"/>
      <c r="BA123" s="57"/>
      <c r="BB123" s="57"/>
      <c r="BC123" s="57"/>
      <c r="BD123" s="57"/>
      <c r="BE123" s="57"/>
      <c r="BF123" s="57"/>
      <c r="BG123" s="57"/>
      <c r="BH123" s="57"/>
      <c r="BI123" s="57"/>
      <c r="BJ123" s="57"/>
      <c r="BK123" s="57"/>
      <c r="BL123" s="57"/>
      <c r="BM123" s="57"/>
      <c r="BN123" s="57"/>
      <c r="BO123" s="57"/>
      <c r="BP123" s="57"/>
      <c r="BQ123" s="57"/>
      <c r="BR123" s="57"/>
      <c r="BS123" s="57"/>
      <c r="BT123" s="57"/>
      <c r="BU123" s="57"/>
      <c r="BV123" s="57"/>
      <c r="BW123" s="57"/>
      <c r="BX123" s="57"/>
      <c r="BY123" s="57"/>
      <c r="BZ123" s="57"/>
      <c r="CA123" s="57"/>
      <c r="CB123" s="57"/>
      <c r="CC123" s="57"/>
      <c r="CD123" s="57"/>
      <c r="CE123" s="57"/>
      <c r="CF123" s="57"/>
    </row>
    <row r="124" spans="1:8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57"/>
      <c r="AW124" s="57"/>
      <c r="AX124" s="57"/>
      <c r="AY124" s="57"/>
      <c r="AZ124" s="57"/>
      <c r="BA124" s="57"/>
      <c r="BB124" s="57"/>
      <c r="BC124" s="57"/>
      <c r="BD124" s="57"/>
      <c r="BE124" s="57"/>
      <c r="BF124" s="57"/>
      <c r="BG124" s="57"/>
      <c r="BH124" s="57"/>
      <c r="BI124" s="57"/>
      <c r="BJ124" s="57"/>
      <c r="BK124" s="57"/>
      <c r="BL124" s="57"/>
      <c r="BM124" s="57"/>
      <c r="BN124" s="57"/>
      <c r="BO124" s="57"/>
      <c r="BP124" s="57"/>
      <c r="BQ124" s="57"/>
      <c r="BR124" s="57"/>
      <c r="BS124" s="57"/>
      <c r="BT124" s="57"/>
      <c r="BU124" s="57"/>
      <c r="BV124" s="57"/>
      <c r="BW124" s="57"/>
      <c r="BX124" s="57"/>
      <c r="BY124" s="57"/>
      <c r="BZ124" s="57"/>
      <c r="CA124" s="57"/>
      <c r="CB124" s="57"/>
      <c r="CC124" s="57"/>
      <c r="CD124" s="57"/>
      <c r="CE124" s="57"/>
      <c r="CF124" s="57"/>
    </row>
    <row r="125" spans="1:8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57"/>
      <c r="BM125" s="57"/>
      <c r="BN125" s="57"/>
      <c r="BO125" s="57"/>
      <c r="BP125" s="57"/>
      <c r="BQ125" s="57"/>
      <c r="BR125" s="57"/>
      <c r="BS125" s="57"/>
      <c r="BT125" s="57"/>
      <c r="BU125" s="57"/>
      <c r="BV125" s="57"/>
      <c r="BW125" s="57"/>
      <c r="BX125" s="57"/>
      <c r="BY125" s="57"/>
      <c r="BZ125" s="57"/>
      <c r="CA125" s="57"/>
      <c r="CB125" s="57"/>
      <c r="CC125" s="57"/>
      <c r="CD125" s="57"/>
      <c r="CE125" s="57"/>
      <c r="CF125" s="57"/>
    </row>
    <row r="126" spans="1:8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57"/>
      <c r="BM126" s="57"/>
      <c r="BN126" s="57"/>
      <c r="BO126" s="57"/>
      <c r="BP126" s="57"/>
      <c r="BQ126" s="57"/>
      <c r="BR126" s="57"/>
      <c r="BS126" s="57"/>
      <c r="BT126" s="57"/>
      <c r="BU126" s="57"/>
      <c r="BV126" s="57"/>
      <c r="BW126" s="57"/>
      <c r="BX126" s="57"/>
      <c r="BY126" s="57"/>
      <c r="BZ126" s="57"/>
      <c r="CA126" s="57"/>
      <c r="CB126" s="57"/>
      <c r="CC126" s="57"/>
      <c r="CD126" s="57"/>
      <c r="CE126" s="57"/>
      <c r="CF126" s="57"/>
    </row>
    <row r="127" spans="1:8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57"/>
      <c r="AV127" s="57"/>
      <c r="AW127" s="57"/>
      <c r="AX127" s="57"/>
      <c r="AY127" s="57"/>
      <c r="AZ127" s="57"/>
      <c r="BA127" s="57"/>
      <c r="BB127" s="57"/>
      <c r="BC127" s="57"/>
      <c r="BD127" s="57"/>
      <c r="BE127" s="57"/>
      <c r="BF127" s="57"/>
      <c r="BG127" s="57"/>
      <c r="BH127" s="57"/>
      <c r="BI127" s="57"/>
      <c r="BJ127" s="57"/>
      <c r="BK127" s="57"/>
      <c r="BL127" s="57"/>
      <c r="BM127" s="57"/>
      <c r="BN127" s="57"/>
      <c r="BO127" s="57"/>
      <c r="BP127" s="57"/>
      <c r="BQ127" s="57"/>
      <c r="BR127" s="57"/>
      <c r="BS127" s="57"/>
      <c r="BT127" s="57"/>
      <c r="BU127" s="57"/>
      <c r="BV127" s="57"/>
      <c r="BW127" s="57"/>
      <c r="BX127" s="57"/>
      <c r="BY127" s="57"/>
      <c r="BZ127" s="57"/>
      <c r="CA127" s="57"/>
      <c r="CB127" s="57"/>
      <c r="CC127" s="57"/>
      <c r="CD127" s="57"/>
      <c r="CE127" s="57"/>
      <c r="CF127" s="57"/>
    </row>
    <row r="128" spans="1:8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57"/>
      <c r="AV128" s="57"/>
      <c r="AW128" s="57"/>
      <c r="AX128" s="57"/>
      <c r="AY128" s="57"/>
      <c r="AZ128" s="57"/>
      <c r="BA128" s="57"/>
      <c r="BB128" s="57"/>
      <c r="BC128" s="57"/>
      <c r="BD128" s="57"/>
      <c r="BE128" s="57"/>
      <c r="BF128" s="57"/>
      <c r="BG128" s="57"/>
      <c r="BH128" s="57"/>
      <c r="BI128" s="57"/>
      <c r="BJ128" s="57"/>
      <c r="BK128" s="57"/>
      <c r="BL128" s="57"/>
      <c r="BM128" s="57"/>
      <c r="BN128" s="57"/>
      <c r="BO128" s="57"/>
      <c r="BP128" s="57"/>
      <c r="BQ128" s="57"/>
      <c r="BR128" s="57"/>
      <c r="BS128" s="57"/>
      <c r="BT128" s="57"/>
      <c r="BU128" s="57"/>
      <c r="BV128" s="57"/>
      <c r="BW128" s="57"/>
      <c r="BX128" s="57"/>
      <c r="BY128" s="57"/>
      <c r="BZ128" s="57"/>
      <c r="CA128" s="57"/>
      <c r="CB128" s="57"/>
      <c r="CC128" s="57"/>
      <c r="CD128" s="57"/>
      <c r="CE128" s="57"/>
      <c r="CF128" s="57"/>
    </row>
    <row r="129" spans="1:8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57"/>
      <c r="AV129" s="57"/>
      <c r="AW129" s="57"/>
      <c r="AX129" s="57"/>
      <c r="AY129" s="57"/>
      <c r="AZ129" s="57"/>
      <c r="BA129" s="57"/>
      <c r="BB129" s="57"/>
      <c r="BC129" s="57"/>
      <c r="BD129" s="57"/>
      <c r="BE129" s="57"/>
      <c r="BF129" s="57"/>
      <c r="BG129" s="57"/>
      <c r="BH129" s="57"/>
      <c r="BI129" s="57"/>
      <c r="BJ129" s="57"/>
      <c r="BK129" s="57"/>
      <c r="BL129" s="57"/>
      <c r="BM129" s="57"/>
      <c r="BN129" s="57"/>
      <c r="BO129" s="57"/>
      <c r="BP129" s="57"/>
      <c r="BQ129" s="57"/>
      <c r="BR129" s="57"/>
      <c r="BS129" s="57"/>
      <c r="BT129" s="57"/>
      <c r="BU129" s="57"/>
      <c r="BV129" s="57"/>
      <c r="BW129" s="57"/>
      <c r="BX129" s="57"/>
      <c r="BY129" s="57"/>
      <c r="BZ129" s="57"/>
      <c r="CA129" s="57"/>
      <c r="CB129" s="57"/>
      <c r="CC129" s="57"/>
      <c r="CD129" s="57"/>
      <c r="CE129" s="57"/>
      <c r="CF129" s="57"/>
    </row>
    <row r="130" spans="1:8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57"/>
      <c r="AV130" s="57"/>
      <c r="AW130" s="57"/>
      <c r="AX130" s="57"/>
      <c r="AY130" s="57"/>
      <c r="AZ130" s="57"/>
      <c r="BA130" s="57"/>
      <c r="BB130" s="57"/>
      <c r="BC130" s="57"/>
      <c r="BD130" s="57"/>
      <c r="BE130" s="57"/>
      <c r="BF130" s="57"/>
      <c r="BG130" s="57"/>
      <c r="BH130" s="57"/>
      <c r="BI130" s="57"/>
      <c r="BJ130" s="57"/>
      <c r="BK130" s="57"/>
      <c r="BL130" s="57"/>
      <c r="BM130" s="57"/>
      <c r="BN130" s="57"/>
      <c r="BO130" s="57"/>
      <c r="BP130" s="57"/>
      <c r="BQ130" s="57"/>
      <c r="BR130" s="57"/>
      <c r="BS130" s="57"/>
      <c r="BT130" s="57"/>
      <c r="BU130" s="57"/>
      <c r="BV130" s="57"/>
      <c r="BW130" s="57"/>
      <c r="BX130" s="57"/>
      <c r="BY130" s="57"/>
      <c r="BZ130" s="57"/>
      <c r="CA130" s="57"/>
      <c r="CB130" s="57"/>
      <c r="CC130" s="57"/>
      <c r="CD130" s="57"/>
      <c r="CE130" s="57"/>
      <c r="CF130" s="57"/>
    </row>
    <row r="131" spans="1:8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57"/>
      <c r="BK131" s="57"/>
      <c r="BL131" s="57"/>
      <c r="BM131" s="57"/>
      <c r="BN131" s="57"/>
      <c r="BO131" s="57"/>
      <c r="BP131" s="57"/>
      <c r="BQ131" s="57"/>
      <c r="BR131" s="57"/>
      <c r="BS131" s="57"/>
      <c r="BT131" s="57"/>
      <c r="BU131" s="57"/>
      <c r="BV131" s="57"/>
      <c r="BW131" s="57"/>
      <c r="BX131" s="57"/>
      <c r="BY131" s="57"/>
      <c r="BZ131" s="57"/>
      <c r="CA131" s="57"/>
      <c r="CB131" s="57"/>
      <c r="CC131" s="57"/>
      <c r="CD131" s="57"/>
      <c r="CE131" s="57"/>
      <c r="CF131" s="57"/>
    </row>
    <row r="132" spans="1:8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57"/>
      <c r="BK132" s="57"/>
      <c r="BL132" s="57"/>
      <c r="BM132" s="57"/>
      <c r="BN132" s="57"/>
      <c r="BO132" s="57"/>
      <c r="BP132" s="57"/>
      <c r="BQ132" s="57"/>
      <c r="BR132" s="57"/>
      <c r="BS132" s="57"/>
      <c r="BT132" s="57"/>
      <c r="BU132" s="57"/>
      <c r="BV132" s="57"/>
      <c r="BW132" s="57"/>
      <c r="BX132" s="57"/>
      <c r="BY132" s="57"/>
      <c r="BZ132" s="57"/>
      <c r="CA132" s="57"/>
      <c r="CB132" s="57"/>
      <c r="CC132" s="57"/>
      <c r="CD132" s="57"/>
      <c r="CE132" s="57"/>
      <c r="CF132" s="57"/>
    </row>
    <row r="133" spans="1:8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57"/>
      <c r="BK133" s="57"/>
      <c r="BL133" s="57"/>
      <c r="BM133" s="57"/>
      <c r="BN133" s="57"/>
      <c r="BO133" s="57"/>
      <c r="BP133" s="57"/>
      <c r="BQ133" s="57"/>
      <c r="BR133" s="57"/>
      <c r="BS133" s="57"/>
      <c r="BT133" s="57"/>
      <c r="BU133" s="57"/>
      <c r="BV133" s="57"/>
      <c r="BW133" s="57"/>
      <c r="BX133" s="57"/>
      <c r="BY133" s="57"/>
      <c r="BZ133" s="57"/>
      <c r="CA133" s="57"/>
      <c r="CB133" s="57"/>
      <c r="CC133" s="57"/>
      <c r="CD133" s="57"/>
      <c r="CE133" s="57"/>
      <c r="CF133" s="57"/>
    </row>
    <row r="134" spans="1:8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57"/>
      <c r="CC134" s="57"/>
      <c r="CD134" s="57"/>
      <c r="CE134" s="57"/>
      <c r="CF134" s="57"/>
    </row>
    <row r="135" spans="1:8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57"/>
      <c r="BK135" s="57"/>
      <c r="BL135" s="57"/>
      <c r="BM135" s="57"/>
      <c r="BN135" s="57"/>
      <c r="BO135" s="57"/>
      <c r="BP135" s="57"/>
      <c r="BQ135" s="57"/>
      <c r="BR135" s="57"/>
      <c r="BS135" s="57"/>
      <c r="BT135" s="57"/>
      <c r="BU135" s="57"/>
      <c r="BV135" s="57"/>
      <c r="BW135" s="57"/>
      <c r="BX135" s="57"/>
      <c r="BY135" s="57"/>
      <c r="BZ135" s="57"/>
      <c r="CA135" s="57"/>
      <c r="CB135" s="57"/>
      <c r="CC135" s="57"/>
      <c r="CD135" s="57"/>
      <c r="CE135" s="57"/>
      <c r="CF135" s="57"/>
    </row>
    <row r="136" spans="1:8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57"/>
      <c r="AV136" s="57"/>
      <c r="AW136" s="57"/>
      <c r="AX136" s="57"/>
      <c r="AY136" s="57"/>
      <c r="AZ136" s="57"/>
      <c r="BA136" s="57"/>
      <c r="BB136" s="57"/>
      <c r="BC136" s="57"/>
      <c r="BD136" s="57"/>
      <c r="BE136" s="57"/>
      <c r="BF136" s="57"/>
      <c r="BG136" s="57"/>
      <c r="BH136" s="57"/>
      <c r="BI136" s="57"/>
      <c r="BJ136" s="57"/>
      <c r="BK136" s="57"/>
      <c r="BL136" s="57"/>
      <c r="BM136" s="57"/>
      <c r="BN136" s="57"/>
      <c r="BO136" s="57"/>
      <c r="BP136" s="57"/>
      <c r="BQ136" s="57"/>
      <c r="BR136" s="57"/>
      <c r="BS136" s="57"/>
      <c r="BT136" s="57"/>
      <c r="BU136" s="57"/>
      <c r="BV136" s="57"/>
      <c r="BW136" s="57"/>
      <c r="BX136" s="57"/>
      <c r="BY136" s="57"/>
      <c r="BZ136" s="57"/>
      <c r="CA136" s="57"/>
      <c r="CB136" s="57"/>
      <c r="CC136" s="57"/>
      <c r="CD136" s="57"/>
      <c r="CE136" s="57"/>
      <c r="CF136" s="57"/>
    </row>
    <row r="137" spans="1:8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57"/>
      <c r="BK137" s="57"/>
      <c r="BL137" s="57"/>
      <c r="BM137" s="57"/>
      <c r="BN137" s="57"/>
      <c r="BO137" s="57"/>
      <c r="BP137" s="57"/>
      <c r="BQ137" s="57"/>
      <c r="BR137" s="57"/>
      <c r="BS137" s="57"/>
      <c r="BT137" s="57"/>
      <c r="BU137" s="57"/>
      <c r="BV137" s="57"/>
      <c r="BW137" s="57"/>
      <c r="BX137" s="57"/>
      <c r="BY137" s="57"/>
      <c r="BZ137" s="57"/>
      <c r="CA137" s="57"/>
      <c r="CB137" s="57"/>
      <c r="CC137" s="57"/>
      <c r="CD137" s="57"/>
      <c r="CE137" s="57"/>
      <c r="CF137" s="57"/>
    </row>
  </sheetData>
  <mergeCells count="6">
    <mergeCell ref="D64:K64"/>
    <mergeCell ref="M64:T64"/>
    <mergeCell ref="D65:K65"/>
    <mergeCell ref="D66:K66"/>
    <mergeCell ref="M65:T65"/>
    <mergeCell ref="M66:T66"/>
  </mergeCells>
  <conditionalFormatting sqref="M60:T61">
    <cfRule type="cellIs" dxfId="237" priority="6" operator="equal">
      <formula>0</formula>
    </cfRule>
  </conditionalFormatting>
  <dataValidations disablePrompts="1" count="1">
    <dataValidation type="list" allowBlank="1" showInputMessage="1" showErrorMessage="1" sqref="F5:J5">
      <formula1>#REF!</formula1>
    </dataValidation>
  </dataValidations>
  <pageMargins left="0.5" right="0.5" top="0.5" bottom="0.5" header="0.3" footer="0.3"/>
  <pageSetup scale="70" fitToWidth="0" fitToHeight="0" orientation="landscape" r:id="rId1"/>
  <rowBreaks count="1" manualBreakCount="1">
    <brk id="51" max="20" man="1"/>
  </rowBreaks>
  <colBreaks count="2" manualBreakCount="2">
    <brk id="11" max="64" man="1"/>
    <brk id="22" max="1048575" man="1"/>
  </colBreaks>
  <ignoredErrors>
    <ignoredError sqref="A2:B2 A3 G13:H13 G18:H18 G25:H26 L26 L25 L20:L24 L19 G29:H32 L32 L29 L28 G43:H44 L45 L35 L37:L38 G45 G34:H34 L34 L33 L30 L31 L42 L39 L36 L40:L41 L43 L44 L14:L16 L18 L10:L12 L13 P13:Q13 L17"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M173"/>
  <sheetViews>
    <sheetView showGridLines="0" view="pageBreakPreview" zoomScale="70" zoomScaleNormal="100" zoomScaleSheetLayoutView="70" workbookViewId="0">
      <selection activeCell="D19" sqref="D19"/>
    </sheetView>
  </sheetViews>
  <sheetFormatPr defaultColWidth="8" defaultRowHeight="12.75" outlineLevelRow="1"/>
  <cols>
    <col min="1" max="1" width="1.5703125" style="200" customWidth="1"/>
    <col min="2" max="2" width="44.7109375" style="200" customWidth="1"/>
    <col min="3" max="3" width="12.7109375" style="200" customWidth="1"/>
    <col min="4" max="4" width="9.42578125" style="200" customWidth="1"/>
    <col min="5" max="6" width="10.28515625" style="200" customWidth="1"/>
    <col min="7" max="7" width="1.85546875" style="200" customWidth="1"/>
    <col min="8" max="9" width="11.7109375" style="200" customWidth="1"/>
    <col min="10" max="10" width="1.7109375" style="200" customWidth="1"/>
    <col min="11" max="11" width="10.7109375" style="200" customWidth="1"/>
    <col min="12" max="13" width="10.140625" style="200" customWidth="1"/>
    <col min="14" max="14" width="1.7109375" style="200" customWidth="1"/>
    <col min="15" max="15" width="10.7109375" style="200" customWidth="1"/>
    <col min="16" max="17" width="10.140625" style="200" customWidth="1"/>
    <col min="18" max="18" width="1.7109375" style="200" customWidth="1"/>
    <col min="19" max="19" width="10.7109375" style="200" customWidth="1"/>
    <col min="20" max="21" width="10.140625" style="200" customWidth="1"/>
    <col min="22" max="22" width="1.7109375" style="200" customWidth="1"/>
    <col min="23" max="23" width="10.7109375" style="200" customWidth="1"/>
    <col min="24" max="25" width="10.140625" style="200" customWidth="1"/>
    <col min="26" max="26" width="1.7109375" style="200" customWidth="1"/>
    <col min="27" max="27" width="10.7109375" style="200" customWidth="1"/>
    <col min="28" max="29" width="10.140625" style="200" customWidth="1"/>
    <col min="30" max="30" width="1.7109375" style="200" customWidth="1"/>
    <col min="31" max="31" width="10.7109375" style="200" customWidth="1"/>
    <col min="32" max="33" width="10.140625" style="200" customWidth="1"/>
    <col min="34" max="34" width="1.7109375" style="200" customWidth="1"/>
    <col min="35" max="35" width="10.7109375" style="200" customWidth="1"/>
    <col min="36" max="37" width="10.140625" style="200" customWidth="1"/>
    <col min="38" max="38" width="1.7109375" style="1089" customWidth="1"/>
    <col min="39" max="39" width="10.7109375" style="200" customWidth="1"/>
    <col min="40" max="41" width="10.140625" style="200" customWidth="1"/>
    <col min="42" max="42" width="1.7109375" style="200" customWidth="1"/>
    <col min="43" max="45" width="20.7109375" style="200" customWidth="1"/>
    <col min="46" max="46" width="2.42578125" style="200" customWidth="1"/>
    <col min="47" max="48" width="10.5703125" style="200" customWidth="1"/>
    <col min="49" max="49" width="12.42578125" style="200" bestFit="1" customWidth="1"/>
    <col min="50" max="50" width="13.85546875" style="200" customWidth="1"/>
    <col min="51" max="16384" width="8" style="200"/>
  </cols>
  <sheetData>
    <row r="1" spans="1:65" s="78" customFormat="1" ht="11.25" customHeight="1" thickBot="1">
      <c r="A1" s="77"/>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1064"/>
      <c r="AM1" s="79"/>
      <c r="AN1" s="79"/>
      <c r="AO1" s="79"/>
      <c r="AP1" s="79"/>
      <c r="AQ1" s="79"/>
      <c r="AR1" s="79"/>
      <c r="AU1" s="717"/>
      <c r="AV1" s="717"/>
      <c r="AW1" s="717"/>
      <c r="AX1" s="172"/>
      <c r="AY1" s="172"/>
    </row>
    <row r="2" spans="1:65" s="81" customFormat="1" ht="16.5" thickTop="1">
      <c r="A2" s="80"/>
      <c r="B2" s="82" t="str">
        <f>Outline!B2</f>
        <v>Satellite Healthcare WB Santa Cruz Valuation</v>
      </c>
      <c r="C2" s="82"/>
      <c r="D2" s="82"/>
      <c r="E2" s="83"/>
      <c r="F2" s="83"/>
      <c r="G2" s="83"/>
      <c r="H2" s="83"/>
      <c r="I2" s="83"/>
      <c r="J2" s="83"/>
      <c r="K2" s="83"/>
      <c r="L2" s="83"/>
      <c r="M2" s="83"/>
      <c r="N2" s="83"/>
      <c r="O2" s="83"/>
      <c r="P2" s="83"/>
      <c r="Q2" s="948" t="s">
        <v>443</v>
      </c>
      <c r="R2" s="83"/>
      <c r="S2" s="83"/>
      <c r="T2" s="83"/>
      <c r="U2" s="83"/>
      <c r="V2" s="83"/>
      <c r="W2" s="83"/>
      <c r="X2" s="83"/>
      <c r="Y2" s="948" t="s">
        <v>442</v>
      </c>
      <c r="Z2" s="83"/>
      <c r="AA2" s="83"/>
      <c r="AB2" s="83"/>
      <c r="AC2" s="83"/>
      <c r="AD2" s="83"/>
      <c r="AE2" s="83"/>
      <c r="AF2" s="83"/>
      <c r="AG2" s="948" t="s">
        <v>523</v>
      </c>
      <c r="AH2" s="83"/>
      <c r="AI2" s="83"/>
      <c r="AJ2" s="83"/>
      <c r="AK2" s="83"/>
      <c r="AL2" s="1065"/>
      <c r="AM2" s="83"/>
      <c r="AN2" s="83"/>
      <c r="AO2" s="948" t="s">
        <v>524</v>
      </c>
      <c r="AP2" s="83"/>
      <c r="AQ2" s="84"/>
      <c r="AR2" s="84"/>
      <c r="AS2" s="948" t="s">
        <v>525</v>
      </c>
      <c r="AU2" s="97"/>
      <c r="AV2" s="718" t="s">
        <v>132</v>
      </c>
      <c r="AW2" s="719"/>
      <c r="AX2" s="720">
        <v>43465</v>
      </c>
      <c r="AY2" s="97"/>
    </row>
    <row r="3" spans="1:65" s="81" customFormat="1" ht="15.75">
      <c r="A3" s="88"/>
      <c r="B3" s="89" t="str">
        <f>Outline!C22</f>
        <v>Exhibit C1</v>
      </c>
      <c r="C3" s="89"/>
      <c r="D3" s="89"/>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1066"/>
      <c r="AM3" s="86"/>
      <c r="AN3" s="86"/>
      <c r="AO3" s="86"/>
      <c r="AP3" s="86"/>
      <c r="AQ3" s="90"/>
      <c r="AR3" s="90"/>
      <c r="AS3" s="86"/>
      <c r="AU3" s="97"/>
      <c r="AV3" s="472" t="s">
        <v>134</v>
      </c>
      <c r="AW3" s="721"/>
      <c r="AX3" s="473" t="s">
        <v>351</v>
      </c>
      <c r="AY3" s="97"/>
    </row>
    <row r="4" spans="1:65" s="81" customFormat="1" ht="16.5" thickBot="1">
      <c r="A4" s="80"/>
      <c r="B4" s="91" t="s">
        <v>90</v>
      </c>
      <c r="C4" s="91"/>
      <c r="D4" s="91"/>
      <c r="E4" s="92"/>
      <c r="F4" s="92"/>
      <c r="G4" s="92"/>
      <c r="H4" s="92"/>
      <c r="I4" s="92"/>
      <c r="J4" s="92"/>
      <c r="K4" s="92"/>
      <c r="L4" s="92"/>
      <c r="M4" s="92"/>
      <c r="N4" s="92"/>
      <c r="O4" s="92"/>
      <c r="P4" s="92"/>
      <c r="Q4" s="94" t="s">
        <v>433</v>
      </c>
      <c r="R4" s="92"/>
      <c r="S4" s="92"/>
      <c r="T4" s="92"/>
      <c r="U4" s="92"/>
      <c r="V4" s="92"/>
      <c r="W4" s="92"/>
      <c r="X4" s="92"/>
      <c r="Y4" s="94" t="s">
        <v>433</v>
      </c>
      <c r="Z4" s="92"/>
      <c r="AA4" s="92"/>
      <c r="AB4" s="92"/>
      <c r="AC4" s="92"/>
      <c r="AD4" s="92"/>
      <c r="AE4" s="92"/>
      <c r="AF4" s="92"/>
      <c r="AG4" s="94" t="s">
        <v>433</v>
      </c>
      <c r="AH4" s="92"/>
      <c r="AI4" s="92"/>
      <c r="AJ4" s="92"/>
      <c r="AK4" s="92"/>
      <c r="AL4" s="1067"/>
      <c r="AM4" s="92"/>
      <c r="AN4" s="92"/>
      <c r="AO4" s="94" t="s">
        <v>433</v>
      </c>
      <c r="AP4" s="92"/>
      <c r="AQ4" s="93"/>
      <c r="AR4" s="93"/>
      <c r="AS4" s="94" t="s">
        <v>433</v>
      </c>
      <c r="AU4" s="97"/>
      <c r="AV4" s="474" t="s">
        <v>136</v>
      </c>
      <c r="AW4" s="97"/>
      <c r="AX4" s="475" t="s">
        <v>137</v>
      </c>
      <c r="AY4" s="97"/>
    </row>
    <row r="5" spans="1:65" s="81" customFormat="1" ht="15.95" customHeight="1" thickTop="1">
      <c r="A5" s="96"/>
      <c r="B5" s="97"/>
      <c r="C5" s="97"/>
      <c r="D5" s="97"/>
      <c r="E5" s="97"/>
      <c r="F5" s="97"/>
      <c r="G5" s="97"/>
      <c r="H5" s="97"/>
      <c r="I5" s="97"/>
      <c r="J5" s="97"/>
      <c r="K5" s="97"/>
      <c r="L5" s="97"/>
      <c r="M5" s="97"/>
      <c r="N5" s="97"/>
      <c r="O5" s="97"/>
      <c r="P5" s="97"/>
      <c r="Q5" s="97"/>
      <c r="R5" s="97"/>
      <c r="S5" s="97"/>
      <c r="T5" s="97"/>
      <c r="U5" s="97"/>
      <c r="V5" s="97"/>
      <c r="W5" s="97"/>
      <c r="X5" s="97"/>
      <c r="Y5" s="97"/>
      <c r="Z5" s="95"/>
      <c r="AA5" s="95"/>
      <c r="AB5" s="95"/>
      <c r="AC5" s="95"/>
      <c r="AD5" s="95"/>
      <c r="AE5" s="95"/>
      <c r="AF5" s="95"/>
      <c r="AG5" s="95"/>
      <c r="AH5" s="95"/>
      <c r="AI5" s="95"/>
      <c r="AJ5" s="95"/>
      <c r="AK5" s="95"/>
      <c r="AL5" s="1068"/>
      <c r="AM5" s="95"/>
      <c r="AN5" s="95"/>
      <c r="AO5" s="95"/>
      <c r="AP5" s="95"/>
      <c r="AQ5" s="97"/>
      <c r="AR5" s="97"/>
      <c r="AS5" s="97"/>
      <c r="AT5" s="97"/>
      <c r="AU5" s="97"/>
      <c r="AV5" s="470" t="s">
        <v>139</v>
      </c>
      <c r="AW5" s="716"/>
      <c r="AX5" s="471" t="s">
        <v>140</v>
      </c>
      <c r="AY5" s="97"/>
      <c r="AZ5" s="97"/>
      <c r="BA5" s="97"/>
      <c r="BB5" s="97"/>
      <c r="BC5" s="97"/>
      <c r="BD5" s="97"/>
      <c r="BE5" s="97"/>
      <c r="BF5" s="97"/>
      <c r="BG5" s="97"/>
      <c r="BH5" s="97"/>
      <c r="BI5" s="97"/>
      <c r="BJ5" s="97"/>
      <c r="BK5" s="97"/>
      <c r="BL5" s="97"/>
      <c r="BM5" s="97"/>
    </row>
    <row r="6" spans="1:65" s="97" customFormat="1" ht="15.95" customHeight="1" thickBot="1">
      <c r="A6" s="96"/>
      <c r="Z6" s="95"/>
      <c r="AA6" s="95"/>
      <c r="AB6" s="95"/>
      <c r="AC6" s="95"/>
      <c r="AD6" s="95"/>
      <c r="AE6" s="95"/>
      <c r="AF6" s="95"/>
      <c r="AG6" s="95"/>
      <c r="AH6" s="95"/>
      <c r="AI6" s="95"/>
      <c r="AJ6" s="95"/>
      <c r="AK6" s="95"/>
      <c r="AL6" s="1068"/>
      <c r="AM6" s="95"/>
      <c r="AN6" s="95"/>
      <c r="AO6" s="95"/>
      <c r="AP6" s="95"/>
      <c r="AQ6" s="95"/>
      <c r="AR6" s="95"/>
      <c r="AS6" s="95"/>
      <c r="AT6" s="95"/>
    </row>
    <row r="7" spans="1:65" s="101" customFormat="1" ht="18" customHeight="1">
      <c r="A7" s="100"/>
      <c r="C7" s="102" t="s">
        <v>91</v>
      </c>
      <c r="D7" s="103"/>
      <c r="E7" s="104"/>
      <c r="F7" s="105"/>
      <c r="G7" s="106"/>
      <c r="H7" s="211" t="s">
        <v>92</v>
      </c>
      <c r="I7" s="212"/>
      <c r="J7" s="100"/>
      <c r="K7" s="1280" t="s">
        <v>520</v>
      </c>
      <c r="L7" s="1281"/>
      <c r="M7" s="1282"/>
      <c r="N7" s="100"/>
      <c r="O7" s="1280" t="s">
        <v>519</v>
      </c>
      <c r="P7" s="1281"/>
      <c r="Q7" s="1282"/>
      <c r="R7" s="1063"/>
      <c r="S7" s="107" t="s">
        <v>511</v>
      </c>
      <c r="T7" s="104"/>
      <c r="U7" s="105"/>
      <c r="V7" s="100"/>
      <c r="W7" s="107" t="s">
        <v>512</v>
      </c>
      <c r="X7" s="104"/>
      <c r="Y7" s="105"/>
      <c r="Z7" s="100"/>
      <c r="AA7" s="107" t="s">
        <v>93</v>
      </c>
      <c r="AB7" s="104"/>
      <c r="AC7" s="105"/>
      <c r="AD7" s="95"/>
      <c r="AE7" s="1280" t="s">
        <v>521</v>
      </c>
      <c r="AF7" s="1281"/>
      <c r="AG7" s="1282"/>
      <c r="AH7" s="95"/>
      <c r="AI7" s="1280" t="s">
        <v>522</v>
      </c>
      <c r="AJ7" s="1281"/>
      <c r="AK7" s="1282"/>
      <c r="AL7" s="1069"/>
      <c r="AM7" s="107" t="s">
        <v>513</v>
      </c>
      <c r="AN7" s="104"/>
      <c r="AO7" s="105"/>
      <c r="AP7" s="95"/>
      <c r="AQ7" s="107" t="s">
        <v>514</v>
      </c>
      <c r="AR7" s="104"/>
      <c r="AS7" s="105"/>
      <c r="AT7" s="100"/>
      <c r="AV7" s="534" t="s">
        <v>49</v>
      </c>
      <c r="AW7" s="534"/>
      <c r="AX7" s="535"/>
    </row>
    <row r="8" spans="1:65" s="111" customFormat="1" ht="18" customHeight="1">
      <c r="B8" s="112" t="s">
        <v>94</v>
      </c>
      <c r="C8" s="869" t="s">
        <v>95</v>
      </c>
      <c r="D8" s="869" t="s">
        <v>96</v>
      </c>
      <c r="E8" s="869" t="s">
        <v>97</v>
      </c>
      <c r="F8" s="869" t="s">
        <v>98</v>
      </c>
      <c r="G8" s="870"/>
      <c r="H8" s="871" t="s">
        <v>99</v>
      </c>
      <c r="I8" s="872" t="s">
        <v>80</v>
      </c>
      <c r="J8" s="869"/>
      <c r="K8" s="869" t="s">
        <v>100</v>
      </c>
      <c r="L8" s="869" t="s">
        <v>49</v>
      </c>
      <c r="M8" s="869" t="s">
        <v>88</v>
      </c>
      <c r="N8" s="869"/>
      <c r="O8" s="869" t="s">
        <v>100</v>
      </c>
      <c r="P8" s="869" t="s">
        <v>49</v>
      </c>
      <c r="Q8" s="869" t="s">
        <v>88</v>
      </c>
      <c r="R8" s="869"/>
      <c r="S8" s="869" t="s">
        <v>100</v>
      </c>
      <c r="T8" s="869" t="s">
        <v>49</v>
      </c>
      <c r="U8" s="869" t="s">
        <v>88</v>
      </c>
      <c r="V8" s="869"/>
      <c r="W8" s="869" t="s">
        <v>100</v>
      </c>
      <c r="X8" s="869" t="s">
        <v>49</v>
      </c>
      <c r="Y8" s="869" t="s">
        <v>88</v>
      </c>
      <c r="Z8" s="95"/>
      <c r="AA8" s="113" t="str">
        <f>"X - " &amp;W8</f>
        <v>X - REVENUE</v>
      </c>
      <c r="AB8" s="113" t="str">
        <f>"X - " &amp;X8</f>
        <v>X - EBITDA</v>
      </c>
      <c r="AC8" s="113" t="str">
        <f>"X - " &amp;Y8</f>
        <v>X - EBIT</v>
      </c>
      <c r="AD8" s="119"/>
      <c r="AE8" s="113" t="str">
        <f>AA8</f>
        <v>X - REVENUE</v>
      </c>
      <c r="AF8" s="113" t="str">
        <f>AB8</f>
        <v>X - EBITDA</v>
      </c>
      <c r="AG8" s="113" t="str">
        <f>AC8</f>
        <v>X - EBIT</v>
      </c>
      <c r="AH8" s="95"/>
      <c r="AI8" s="869" t="str">
        <f>W8</f>
        <v>REVENUE</v>
      </c>
      <c r="AJ8" s="869" t="str">
        <f>X8</f>
        <v>EBITDA</v>
      </c>
      <c r="AK8" s="869" t="str">
        <f>Y8</f>
        <v>EBIT</v>
      </c>
      <c r="AL8" s="1068"/>
      <c r="AM8" s="113" t="str">
        <f>S8</f>
        <v>REVENUE</v>
      </c>
      <c r="AN8" s="113" t="str">
        <f>T8</f>
        <v>EBITDA</v>
      </c>
      <c r="AO8" s="113" t="str">
        <f>U8</f>
        <v>EBIT</v>
      </c>
      <c r="AP8" s="95"/>
      <c r="AQ8" s="113" t="str">
        <f>W8</f>
        <v>REVENUE</v>
      </c>
      <c r="AR8" s="113" t="str">
        <f>X8</f>
        <v>EBITDA</v>
      </c>
      <c r="AS8" s="113" t="str">
        <f>Y8</f>
        <v>EBIT</v>
      </c>
      <c r="AT8" s="113"/>
      <c r="AU8" s="113" t="s">
        <v>101</v>
      </c>
      <c r="AV8" s="113" t="s">
        <v>102</v>
      </c>
      <c r="AW8" s="113" t="s">
        <v>103</v>
      </c>
      <c r="AX8" s="113" t="s">
        <v>104</v>
      </c>
    </row>
    <row r="9" spans="1:65" s="117" customFormat="1" ht="18" customHeight="1">
      <c r="A9" s="116"/>
      <c r="B9" s="95"/>
      <c r="C9" s="162"/>
      <c r="D9" s="162"/>
      <c r="E9" s="162"/>
      <c r="F9" s="873"/>
      <c r="G9" s="778"/>
      <c r="H9" s="874"/>
      <c r="I9" s="875"/>
      <c r="J9" s="162"/>
      <c r="K9" s="162"/>
      <c r="L9" s="162"/>
      <c r="M9" s="162"/>
      <c r="N9" s="162"/>
      <c r="O9" s="162"/>
      <c r="P9" s="162"/>
      <c r="Q9" s="162"/>
      <c r="R9" s="162"/>
      <c r="S9" s="162"/>
      <c r="T9" s="162"/>
      <c r="U9" s="162"/>
      <c r="V9" s="162"/>
      <c r="W9" s="162"/>
      <c r="X9" s="162"/>
      <c r="Y9" s="162"/>
      <c r="Z9" s="95"/>
      <c r="AA9" s="119"/>
      <c r="AB9" s="119"/>
      <c r="AC9" s="119"/>
      <c r="AD9" s="119"/>
      <c r="AE9" s="119"/>
      <c r="AF9" s="119"/>
      <c r="AG9" s="119"/>
      <c r="AH9" s="119"/>
      <c r="AI9" s="119"/>
      <c r="AJ9" s="119"/>
      <c r="AK9" s="119"/>
      <c r="AL9" s="1070"/>
      <c r="AM9" s="119"/>
      <c r="AN9" s="119"/>
      <c r="AO9" s="119"/>
      <c r="AP9" s="119"/>
      <c r="AQ9" s="119"/>
      <c r="AR9" s="119"/>
      <c r="AS9" s="119"/>
      <c r="AT9" s="119"/>
      <c r="AV9" s="95"/>
      <c r="AW9" s="95"/>
      <c r="AX9" s="95"/>
    </row>
    <row r="10" spans="1:65" s="117" customFormat="1" ht="18" customHeight="1">
      <c r="B10" s="121" t="str">
        <f>_xll.ciqfunctions.udf.CIQ($AZ10,"IQ_COMPANY_NAME")</f>
        <v>Fresenius Medical Care AG &amp; Co. KGaA</v>
      </c>
      <c r="C10" s="876">
        <f>_xll.ciqfunctions.udf.CIQ($AZ10,"IQ_SHARESOUTSTANDING",$AX$2)</f>
        <v>306.84546</v>
      </c>
      <c r="D10" s="877">
        <f>_xll.ciqfunctions.udf.CIQ($AZ10,"IQ_LASTSALEPRICE", $AX$2, $AX$4, $AX$5)</f>
        <v>64.850009999999997</v>
      </c>
      <c r="E10" s="878">
        <f>_xll.ciqfunctions.udf.CIQ($AZ10, "IQ_TOTAL_DEBT", IQ_LTM, TEXT($AX$2,"mm/dd/yyyy"), L, $AX$3,$AX$4, $AX$5)</f>
        <v>8640.0595400000002</v>
      </c>
      <c r="F10" s="878">
        <f>_xll.ciqfunctions.udf.CIQ(AZ10, "IQ_CASH_EQUIV", IQ_LTM, TEXT($AX$2,"mm/dd/yyyy"),  L, $AX$3,$AX$4, $AX$5)</f>
        <v>2456.643</v>
      </c>
      <c r="G10" s="879"/>
      <c r="H10" s="880">
        <f>IFERROR(C10*D10,"n/a")</f>
        <v>19898.931149454598</v>
      </c>
      <c r="I10" s="881">
        <f>IFERROR(H10+E10-F10,"n/a")</f>
        <v>26082.3476894546</v>
      </c>
      <c r="J10" s="879"/>
      <c r="K10" s="878">
        <f>_xll.ciqfunctions.udf.CIQ($AZ10,"IQ_TOTAL_REV", IQ_LTM, $AX$2,  L, $AX$3,$AX$4, $AX$5)</f>
        <v>18945.354930000001</v>
      </c>
      <c r="L10" s="878">
        <f>_xll.ciqfunctions.udf.CIQ($AZ10,"IQ_EBITDA", IQ_LTM, $AX$2,  L, $AX$3,$AX$4, $AX$5)</f>
        <v>3297.79711</v>
      </c>
      <c r="M10" s="878">
        <f>_xll.ciqfunctions.udf.CIQ($AZ10,"IQ_EBIT", IQ_LTM, $AX$2, L, $AX$3,$AX$4, $AX$5)</f>
        <v>2467.8829900000001</v>
      </c>
      <c r="N10" s="879"/>
      <c r="O10" s="878">
        <f>_xll.ciqfunctions.udf.CIQ($AZ10, "IQ_TOTAL_REV", "FY2016",$AX$2, "L", $AX$3, $AX$4,$AX$5)</f>
        <v>17491.51801</v>
      </c>
      <c r="P10" s="878">
        <f>_xll.ciqfunctions.udf.CIQ($AZ10,"IQ_EBITDA", "FY2016", $AX$2, "L", $AX$3,$AX$4, $AX$5)</f>
        <v>3221.5760599999999</v>
      </c>
      <c r="Q10" s="878">
        <f>_xll.ciqfunctions.udf.CIQ($AZ10,"IQ_EBIT", "FY2016", $AX$2, "L", $AX$3,$AX$4, $AX$5)</f>
        <v>2481.01235</v>
      </c>
      <c r="R10" s="879"/>
      <c r="S10" s="878">
        <f>'Trends for Comparables_Forecast'!F10</f>
        <v>19587.558000000001</v>
      </c>
      <c r="T10" s="878">
        <f>'Trends for Comparables_Forecast'!N10</f>
        <v>3699.7860000000001</v>
      </c>
      <c r="U10" s="878">
        <f>'Trends for Comparables_Forecast'!V10</f>
        <v>2792.223</v>
      </c>
      <c r="V10" s="879"/>
      <c r="W10" s="878">
        <f>'Trends for Comparables_Forecast'!E10</f>
        <v>20745.904500000001</v>
      </c>
      <c r="X10" s="878">
        <f>'Trends for Comparables_Forecast'!M10</f>
        <v>3957.0729999999999</v>
      </c>
      <c r="Y10" s="878">
        <f>'Trends for Comparables_Forecast'!U10</f>
        <v>2991.7289999999998</v>
      </c>
      <c r="Z10" s="214"/>
      <c r="AA10" s="133">
        <f t="shared" ref="AA10:AC14" si="0">IFERROR(IF(OR(K10&lt;0,$H10/W10&gt;100),"nmf",$H10/W10),"nmf")</f>
        <v>0.959173949222344</v>
      </c>
      <c r="AB10" s="133">
        <f t="shared" si="0"/>
        <v>5.0286995335831808</v>
      </c>
      <c r="AC10" s="133">
        <f t="shared" si="0"/>
        <v>6.6513147245136839</v>
      </c>
      <c r="AD10" s="133"/>
      <c r="AE10" s="133">
        <f>IF(OR(K10&lt;0,$I10/K10&gt;50),"nmf",$I10/K10)</f>
        <v>1.3767146504156098</v>
      </c>
      <c r="AF10" s="133">
        <f>IF(OR(L10&lt;0,$I10/L10&gt;50),"nmf",$I10/L10)</f>
        <v>7.9090213313500657</v>
      </c>
      <c r="AG10" s="133">
        <f>IF(OR(M10&lt;0,$I10/M10&gt;50),"nmf",$I10/M10)</f>
        <v>10.568713263611659</v>
      </c>
      <c r="AH10" s="133"/>
      <c r="AI10" s="133">
        <f>IF(OR(O10&lt;0,$I10/O10&gt;50),"nmf",$I10/O10)</f>
        <v>1.4911426026342125</v>
      </c>
      <c r="AJ10" s="133">
        <f>IF(OR(P10&lt;0,$I10/P10&gt;50),"nmf",$I10/P10)</f>
        <v>8.0961452418586077</v>
      </c>
      <c r="AK10" s="133">
        <f>IF(OR(Q10&lt;0,$I10/Q10&gt;50),"nmf",$I10/Q10)</f>
        <v>10.51278430333271</v>
      </c>
      <c r="AL10" s="205"/>
      <c r="AM10" s="133">
        <f>IF(OR(S10&lt;0,$I10/S10&gt;50),"nmf",$I10/S10)</f>
        <v>1.3315773048102575</v>
      </c>
      <c r="AN10" s="133">
        <f>IF(OR(T10&lt;0,$I10/T10&gt;50),"nmf",$I10/T10)</f>
        <v>7.04969089819103</v>
      </c>
      <c r="AO10" s="133">
        <f>IF(OR(U10&lt;0,$I10/U10&gt;50),"nmf",$I10/U10)</f>
        <v>9.3410689939358722</v>
      </c>
      <c r="AP10" s="133"/>
      <c r="AQ10" s="133">
        <f>IFERROR(IF(OR(W10&lt;0,$I10/W10&gt;50),"nmf",$I10/W10),"nmf")</f>
        <v>1.257228755172116</v>
      </c>
      <c r="AR10" s="133">
        <f>IFERROR(IF(OR(X10&lt;0,$I10/X10&gt;50),"nmf",$I10/X10),"nmf")</f>
        <v>6.5913233567979672</v>
      </c>
      <c r="AS10" s="133">
        <f>IFERROR(IF(OR(Y10&lt;0,$I10/Y10&gt;50),"nmf",$I10/Y10),"nmf")</f>
        <v>8.7181518411108101</v>
      </c>
      <c r="AT10" s="133"/>
      <c r="AU10" s="117">
        <v>1</v>
      </c>
      <c r="AV10" s="214">
        <f>_xll.ciqfunctions.udf.CIQ($AZ10,"IQ_EBITDA", IQ_FY, $AX$2,  L, $AX$3,$AX$4, $AX$5)</f>
        <v>3297.79711</v>
      </c>
      <c r="AW10" s="214">
        <f>X10</f>
        <v>3957.0729999999999</v>
      </c>
      <c r="AX10" s="214">
        <f>_xll.ciqfunctions.udf.CIQ($AZ10,"IQ_EBITDA_EST", IQ_CY+1, $AX$2,  L, $AX$3,$AX$4, $AX$5)</f>
        <v>3701.0856899999999</v>
      </c>
      <c r="AZ10" s="117" t="s">
        <v>651</v>
      </c>
      <c r="BC10" s="1215">
        <f t="shared" ref="BC10:BD14" si="1">IFERROR(X10/$W10,"n/a")</f>
        <v>0.19073996026541046</v>
      </c>
      <c r="BD10" s="1215">
        <f t="shared" si="1"/>
        <v>0.14420817371447939</v>
      </c>
    </row>
    <row r="11" spans="1:65" s="117" customFormat="1" ht="18" customHeight="1">
      <c r="B11" s="121" t="str">
        <f>_xll.ciqfunctions.udf.CIQ($AZ11,"IQ_COMPANY_NAME")</f>
        <v>Fresenius SE &amp; Co. KGaA</v>
      </c>
      <c r="C11" s="876">
        <f>_xll.ciqfunctions.udf.CIQ($AZ11,"IQ_SHARESOUTSTANDING",$AX$2)</f>
        <v>556.08424000000002</v>
      </c>
      <c r="D11" s="877">
        <f>_xll.ciqfunctions.udf.CIQ($AZ11,"IQ_LASTSALEPRICE", $AX$2, $AX$4, $AX$5)</f>
        <v>48.339820000000003</v>
      </c>
      <c r="E11" s="878">
        <f>_xll.ciqfunctions.udf.CIQ($AZ11, "IQ_TOTAL_DEBT", IQ_LTM, TEXT($AX$2,"mm/dd/yyyy"), L, $AX$3,$AX$4, $AX$5)</f>
        <v>21735.745360000001</v>
      </c>
      <c r="F11" s="878">
        <f>_xll.ciqfunctions.udf.CIQ(AZ11, "IQ_CASH_EQUIV", IQ_LTM, TEXT($AX$2,"mm/dd/yyyy"),  L, $AX$3,$AX$4, $AX$5)</f>
        <v>3101.6716299999998</v>
      </c>
      <c r="G11" s="879"/>
      <c r="H11" s="880">
        <f>IFERROR(C11*D11,"n/a")</f>
        <v>26881.012066436804</v>
      </c>
      <c r="I11" s="881">
        <f>IFERROR(H11+E11-F11,"n/a")</f>
        <v>45515.085796436804</v>
      </c>
      <c r="J11" s="879"/>
      <c r="K11" s="878">
        <f>_xll.ciqfunctions.udf.CIQ($AZ11,"IQ_TOTAL_REV", IQ_LTM, $AX$2,  L, $AX$3,$AX$4, $AX$5)</f>
        <v>38390.199220000002</v>
      </c>
      <c r="L11" s="878">
        <f>_xll.ciqfunctions.udf.CIQ($AZ11,"IQ_EBITDA", IQ_LTM, $AX$2,  L, $AX$3,$AX$4, $AX$5)</f>
        <v>6481.5662899999998</v>
      </c>
      <c r="M11" s="878">
        <f>_xll.ciqfunctions.udf.CIQ($AZ11,"IQ_EBIT", IQ_LTM, $AX$2, L, $AX$3,$AX$4, $AX$5)</f>
        <v>4963.3615799999998</v>
      </c>
      <c r="N11" s="879"/>
      <c r="O11" s="878">
        <f>_xll.ciqfunctions.udf.CIQ($AZ11, "IQ_TOTAL_REV", "FY2016",$AX$2, "L", $AX$3, $AX$4,$AX$5)</f>
        <v>31110.524659999999</v>
      </c>
      <c r="P11" s="878">
        <f>_xll.ciqfunctions.udf.CIQ($AZ11,"IQ_EBITDA", "FY2016", $AX$2, "L", $AX$3,$AX$4, $AX$5)</f>
        <v>5721.5243300000002</v>
      </c>
      <c r="Q11" s="878">
        <f>_xll.ciqfunctions.udf.CIQ($AZ11,"IQ_EBIT", "FY2016", $AX$2, "L", $AX$3,$AX$4, $AX$5)</f>
        <v>4506.4921400000003</v>
      </c>
      <c r="R11" s="879"/>
      <c r="S11" s="878">
        <f>'Trends for Comparables_Forecast'!F11</f>
        <v>39987.403250000003</v>
      </c>
      <c r="T11" s="878">
        <f>'Trends for Comparables_Forecast'!N11</f>
        <v>7148.9580900000001</v>
      </c>
      <c r="U11" s="878">
        <f>'Trends for Comparables_Forecast'!V11</f>
        <v>5414.4687400000003</v>
      </c>
      <c r="V11" s="879"/>
      <c r="W11" s="878">
        <f>'Trends for Comparables_Forecast'!E11</f>
        <v>41962.445610000002</v>
      </c>
      <c r="X11" s="878">
        <f>'Trends for Comparables_Forecast'!M11</f>
        <v>7577.2841799999997</v>
      </c>
      <c r="Y11" s="878">
        <f>'Trends for Comparables_Forecast'!U11</f>
        <v>5724.7538400000003</v>
      </c>
      <c r="Z11" s="214"/>
      <c r="AA11" s="133">
        <f t="shared" si="0"/>
        <v>0.64059688789994718</v>
      </c>
      <c r="AB11" s="133">
        <f t="shared" si="0"/>
        <v>3.547578713939274</v>
      </c>
      <c r="AC11" s="133">
        <f t="shared" si="0"/>
        <v>4.6955751841439533</v>
      </c>
      <c r="AD11" s="133"/>
      <c r="AE11" s="133">
        <f t="shared" ref="AE11:AE14" si="2">IF(OR(K11&lt;0,$I11/K11&gt;50),"nmf",$I11/K11)</f>
        <v>1.1855912894748661</v>
      </c>
      <c r="AF11" s="133">
        <f t="shared" ref="AF11:AF14" si="3">IF(OR(L11&lt;0,$I11/L11&gt;50),"nmf",$I11/L11)</f>
        <v>7.0222356387312068</v>
      </c>
      <c r="AG11" s="133">
        <f t="shared" ref="AG11:AG14" si="4">IF(OR(M11&lt;0,$I11/M11&gt;50),"nmf",$I11/M11)</f>
        <v>9.1702135866629337</v>
      </c>
      <c r="AH11" s="133"/>
      <c r="AI11" s="133">
        <f t="shared" ref="AI11:AI14" si="5">IF(OR(O11&lt;0,$I11/O11&gt;50),"nmf",$I11/O11)</f>
        <v>1.4630124786984806</v>
      </c>
      <c r="AJ11" s="133">
        <f t="shared" ref="AJ11:AJ14" si="6">IF(OR(P11&lt;0,$I11/P11&gt;50),"nmf",$I11/P11)</f>
        <v>7.9550628768254841</v>
      </c>
      <c r="AK11" s="133">
        <f t="shared" ref="AK11:AK14" si="7">IF(OR(Q11&lt;0,$I11/Q11&gt;50),"nmf",$I11/Q11)</f>
        <v>10.099892417972086</v>
      </c>
      <c r="AL11" s="205"/>
      <c r="AM11" s="133">
        <f t="shared" ref="AM11:AM14" si="8">IF(OR(S11&lt;0,$I11/S11&gt;50),"nmf",$I11/S11)</f>
        <v>1.1382355966422202</v>
      </c>
      <c r="AN11" s="133">
        <f t="shared" ref="AN11:AN14" si="9">IF(OR(T11&lt;0,$I11/T11&gt;50),"nmf",$I11/T11)</f>
        <v>6.3666740276605545</v>
      </c>
      <c r="AO11" s="133">
        <f t="shared" ref="AO11:AO14" si="10">IF(OR(U11&lt;0,$I11/U11&gt;50),"nmf",$I11/U11)</f>
        <v>8.4061960613400455</v>
      </c>
      <c r="AP11" s="133"/>
      <c r="AQ11" s="133">
        <f t="shared" ref="AQ11:AQ14" si="11">IFERROR(IF(OR(W11&lt;0,$I11/W11&gt;50),"nmf",$I11/W11),"nmf")</f>
        <v>1.0846623721471129</v>
      </c>
      <c r="AR11" s="133">
        <f t="shared" ref="AR11:AR14" si="12">IFERROR(IF(OR(X11&lt;0,$I11/X11&gt;50),"nmf",$I11/X11),"nmf")</f>
        <v>6.0067808881409546</v>
      </c>
      <c r="AS11" s="133">
        <f t="shared" ref="AS11:AS14" si="13">IFERROR(IF(OR(Y11&lt;0,$I11/Y11&gt;50),"nmf",$I11/Y11),"nmf")</f>
        <v>7.9505751807900973</v>
      </c>
      <c r="AT11" s="133"/>
      <c r="AU11" s="117">
        <v>1</v>
      </c>
      <c r="AV11" s="214">
        <f>_xll.ciqfunctions.udf.CIQ($AZ11,"IQ_EBITDA", IQ_FY, $AX$2,  L, $AX$3,$AX$4, $AX$5)</f>
        <v>6481.5662899999998</v>
      </c>
      <c r="AW11" s="214">
        <f>X11</f>
        <v>7577.2841799999997</v>
      </c>
      <c r="AX11" s="214">
        <f>_xll.ciqfunctions.udf.CIQ($AZ11,"IQ_EBITDA_EST", IQ_CY+1, $AX$2,  L, $AX$3,$AX$4, $AX$5)</f>
        <v>7267.5335999999998</v>
      </c>
      <c r="AZ11" s="117" t="s">
        <v>495</v>
      </c>
      <c r="BC11" s="1215">
        <f t="shared" si="1"/>
        <v>0.18057298781923878</v>
      </c>
      <c r="BD11" s="1215">
        <f t="shared" si="1"/>
        <v>0.13642564814277039</v>
      </c>
    </row>
    <row r="12" spans="1:65" s="117" customFormat="1" ht="18" customHeight="1">
      <c r="B12" s="121" t="str">
        <f>_xll.ciqfunctions.udf.CIQ($AZ12,"IQ_COMPANY_NAME")</f>
        <v>DaVita Inc.</v>
      </c>
      <c r="C12" s="876">
        <f>_xll.ciqfunctions.udf.CIQ($AZ12,"IQ_SHARESOUTSTANDING",$AX$2)</f>
        <v>165.98447999999999</v>
      </c>
      <c r="D12" s="877">
        <f>_xll.ciqfunctions.udf.CIQ($AZ12,"IQ_LASTSALEPRICE", $AX$2, $AX$4, $AX$5)</f>
        <v>51.46</v>
      </c>
      <c r="E12" s="878">
        <f>_xll.ciqfunctions.udf.CIQ($AZ12, "IQ_TOTAL_DEBT", IQ_LTM, TEXT($AX$2,"mm/dd/yyyy"), L, $AX$3,$AX$4, $AX$5)</f>
        <v>10102.216</v>
      </c>
      <c r="F12" s="878">
        <f>_xll.ciqfunctions.udf.CIQ(AZ12, "IQ_CASH_EQUIV", IQ_LTM, TEXT($AX$2,"mm/dd/yyyy"),  L, $AX$3,$AX$4, $AX$5)</f>
        <v>323.03800000000001</v>
      </c>
      <c r="G12" s="879"/>
      <c r="H12" s="880">
        <f>IFERROR(C12*D12,"n/a")</f>
        <v>8541.561340799999</v>
      </c>
      <c r="I12" s="881">
        <f>IFERROR(H12+E12-F12,"n/a")</f>
        <v>18320.739340799999</v>
      </c>
      <c r="J12" s="879"/>
      <c r="K12" s="878">
        <f>_xll.ciqfunctions.udf.CIQ($AZ12,"IQ_TOTAL_REV", IQ_LTM, $AX$2,  L, $AX$3,$AX$4, $AX$5)</f>
        <v>11412.151</v>
      </c>
      <c r="L12" s="878">
        <f>_xll.ciqfunctions.udf.CIQ($AZ12,"IQ_EBITDA", IQ_LTM, $AX$2,  L, $AX$3,$AX$4, $AX$5)</f>
        <v>2080.8879999999999</v>
      </c>
      <c r="M12" s="878">
        <f>_xll.ciqfunctions.udf.CIQ($AZ12,"IQ_EBIT", IQ_LTM, $AX$2, L, $AX$3,$AX$4, $AX$5)</f>
        <v>1490.1489999999999</v>
      </c>
      <c r="N12" s="879"/>
      <c r="O12" s="878">
        <f>_xll.ciqfunctions.udf.CIQ($AZ12, "IQ_TOTAL_REV", "FY2016",$AX$2, "L", $AX$3, $AX$4,$AX$5)</f>
        <v>10695.79</v>
      </c>
      <c r="P12" s="878">
        <f>_xll.ciqfunctions.udf.CIQ($AZ12,"IQ_EBITDA", "FY2016", $AX$2, "L", $AX$3,$AX$4, $AX$5)</f>
        <v>2401.89</v>
      </c>
      <c r="Q12" s="878">
        <f>_xll.ciqfunctions.udf.CIQ($AZ12,"IQ_EBIT", "FY2016", $AX$2, "L", $AX$3,$AX$4, $AX$5)</f>
        <v>1681.87</v>
      </c>
      <c r="R12" s="879"/>
      <c r="S12" s="878">
        <f>'Trends for Comparables_Forecast'!F12</f>
        <v>12033.48287</v>
      </c>
      <c r="T12" s="878">
        <f>'Trends for Comparables_Forecast'!N12</f>
        <v>2239.4</v>
      </c>
      <c r="U12" s="878">
        <f>'Trends for Comparables_Forecast'!V12</f>
        <v>1637</v>
      </c>
      <c r="V12" s="879"/>
      <c r="W12" s="878">
        <f>'Trends for Comparables_Forecast'!E12</f>
        <v>12720</v>
      </c>
      <c r="X12" s="878">
        <f>'Trends for Comparables_Forecast'!M12</f>
        <v>2299.4450000000002</v>
      </c>
      <c r="Y12" s="878">
        <f>'Trends for Comparables_Forecast'!U12</f>
        <v>1697.35</v>
      </c>
      <c r="Z12" s="214"/>
      <c r="AA12" s="133">
        <f t="shared" si="0"/>
        <v>0.67150639471698104</v>
      </c>
      <c r="AB12" s="133">
        <f t="shared" si="0"/>
        <v>3.7146186757239241</v>
      </c>
      <c r="AC12" s="133">
        <f t="shared" si="0"/>
        <v>5.0322923031784841</v>
      </c>
      <c r="AD12" s="133"/>
      <c r="AE12" s="133">
        <f t="shared" si="2"/>
        <v>1.6053712696931541</v>
      </c>
      <c r="AF12" s="133">
        <f t="shared" si="3"/>
        <v>8.8042890058475027</v>
      </c>
      <c r="AG12" s="133">
        <f t="shared" si="4"/>
        <v>12.294568758426172</v>
      </c>
      <c r="AH12" s="133"/>
      <c r="AI12" s="133">
        <f t="shared" si="5"/>
        <v>1.7128925811744617</v>
      </c>
      <c r="AJ12" s="133">
        <f t="shared" si="6"/>
        <v>7.627634629729088</v>
      </c>
      <c r="AK12" s="133">
        <f t="shared" si="7"/>
        <v>10.893076956482963</v>
      </c>
      <c r="AL12" s="205"/>
      <c r="AM12" s="133">
        <f t="shared" si="8"/>
        <v>1.522480194530746</v>
      </c>
      <c r="AN12" s="133">
        <f t="shared" si="9"/>
        <v>8.1810928555863178</v>
      </c>
      <c r="AO12" s="133">
        <f t="shared" si="10"/>
        <v>11.191655064630421</v>
      </c>
      <c r="AP12" s="133"/>
      <c r="AQ12" s="133">
        <f t="shared" si="11"/>
        <v>1.4403096966037734</v>
      </c>
      <c r="AR12" s="133">
        <f t="shared" si="12"/>
        <v>7.9674614269095354</v>
      </c>
      <c r="AS12" s="133">
        <f t="shared" si="13"/>
        <v>10.793731016466845</v>
      </c>
      <c r="AT12" s="133"/>
      <c r="AU12" s="117">
        <f>AU11+1</f>
        <v>2</v>
      </c>
      <c r="AV12" s="214">
        <f>_xll.ciqfunctions.udf.CIQ($AZ12,"IQ_EBITDA", IQ_FY, $AX$2,  L, $AX$3,$AX$4, $AX$5)</f>
        <v>2080.8879999999999</v>
      </c>
      <c r="AW12" s="214">
        <f>X12</f>
        <v>2299.4450000000002</v>
      </c>
      <c r="AX12" s="214">
        <f>_xll.ciqfunctions.udf.CIQ($AZ12,"IQ_EBITDA_EST", IQ_CY+1, $AX$2,  L, $AX$3,$AX$4, $AX$5)</f>
        <v>2226.2024099999999</v>
      </c>
      <c r="AZ12" s="117" t="s">
        <v>238</v>
      </c>
      <c r="BC12" s="1215">
        <f t="shared" si="1"/>
        <v>0.1807739779874214</v>
      </c>
      <c r="BD12" s="1215">
        <f t="shared" si="1"/>
        <v>0.13343946540880502</v>
      </c>
    </row>
    <row r="13" spans="1:65" s="117" customFormat="1" ht="18" customHeight="1">
      <c r="B13" s="121" t="str">
        <f>_xll.ciqfunctions.udf.CIQ($AZ13,"IQ_COMPANY_NAME")</f>
        <v>NxStage Medical, Inc.</v>
      </c>
      <c r="C13" s="876">
        <f>_xll.ciqfunctions.udf.CIQ($AZ13,"IQ_SHARESOUTSTANDING",$AX$2)</f>
        <v>66.684690000000003</v>
      </c>
      <c r="D13" s="877">
        <f>_xll.ciqfunctions.udf.CIQ($AZ13,"IQ_LASTSALEPRICE", $AX$2, $AX$4, $AX$5)</f>
        <v>28.62</v>
      </c>
      <c r="E13" s="878">
        <f>_xll.ciqfunctions.udf.CIQ($AZ13, "IQ_TOTAL_DEBT", IQ_LTM, TEXT($AX$2,"mm/dd/yyyy"), L, $AX$3,$AX$4, $AX$5)</f>
        <v>13.305999999999999</v>
      </c>
      <c r="F13" s="878">
        <f>_xll.ciqfunctions.udf.CIQ(AZ13, "IQ_CASH_EQUIV", IQ_LTM, TEXT($AX$2,"mm/dd/yyyy"),  L, $AX$3,$AX$4, $AX$5)</f>
        <v>81.944000000000003</v>
      </c>
      <c r="G13" s="879"/>
      <c r="H13" s="880">
        <f>IFERROR(C13*D13,"n/a")</f>
        <v>1908.5158278000001</v>
      </c>
      <c r="I13" s="881">
        <f>IFERROR(H13+E13-F13,"n/a")</f>
        <v>1839.8778278000002</v>
      </c>
      <c r="J13" s="879"/>
      <c r="K13" s="878">
        <f>_xll.ciqfunctions.udf.CIQ($AZ13,"IQ_TOTAL_REV", IQ_LTM, $AX$2,  L, $AX$3,$AX$4, $AX$5)</f>
        <v>425.99099999999999</v>
      </c>
      <c r="L13" s="878">
        <f>_xll.ciqfunctions.udf.CIQ($AZ13,"IQ_EBITDA", IQ_LTM, $AX$2,  L, $AX$3,$AX$4, $AX$5)</f>
        <v>21.675000000000001</v>
      </c>
      <c r="M13" s="878">
        <f>_xll.ciqfunctions.udf.CIQ($AZ13,"IQ_EBIT", IQ_LTM, $AX$2, L, $AX$3,$AX$4, $AX$5)</f>
        <v>1.6120000000000001</v>
      </c>
      <c r="N13" s="879"/>
      <c r="O13" s="878">
        <f>_xll.ciqfunctions.udf.CIQ($AZ13, "IQ_TOTAL_REV", "FY2016",$AX$2, "L", $AX$3, $AX$4,$AX$5)</f>
        <v>366.37799999999999</v>
      </c>
      <c r="P13" s="878">
        <f>_xll.ciqfunctions.udf.CIQ($AZ13,"IQ_EBITDA", "FY2016", $AX$2, "L", $AX$3,$AX$4, $AX$5)</f>
        <v>14.651999999999999</v>
      </c>
      <c r="Q13" s="878">
        <f>_xll.ciqfunctions.udf.CIQ($AZ13,"IQ_EBIT", "FY2016", $AX$2, "L", $AX$3,$AX$4, $AX$5)</f>
        <v>-3.7850000000000001</v>
      </c>
      <c r="R13" s="879"/>
      <c r="S13" s="878">
        <f>'Trends for Comparables_Forecast'!F13</f>
        <v>491.24450000000002</v>
      </c>
      <c r="T13" s="878">
        <f>'Trends for Comparables_Forecast'!N13</f>
        <v>54.375</v>
      </c>
      <c r="U13" s="878">
        <f>'Trends for Comparables_Forecast'!V13</f>
        <v>19.11</v>
      </c>
      <c r="V13" s="879"/>
      <c r="W13" s="878">
        <f>'Trends for Comparables_Forecast'!E13</f>
        <v>567.43200000000002</v>
      </c>
      <c r="X13" s="878">
        <f>'Trends for Comparables_Forecast'!M13</f>
        <v>95.962000000000003</v>
      </c>
      <c r="Y13" s="878">
        <f>'Trends for Comparables_Forecast'!U13</f>
        <v>30.167000000000002</v>
      </c>
      <c r="Z13" s="214"/>
      <c r="AA13" s="133">
        <f t="shared" si="0"/>
        <v>3.3634265036162923</v>
      </c>
      <c r="AB13" s="133">
        <f t="shared" si="0"/>
        <v>19.888245636814574</v>
      </c>
      <c r="AC13" s="133">
        <f t="shared" si="0"/>
        <v>63.2650189876355</v>
      </c>
      <c r="AD13" s="133"/>
      <c r="AE13" s="133">
        <f t="shared" si="2"/>
        <v>4.3190532846938083</v>
      </c>
      <c r="AF13" s="133" t="str">
        <f t="shared" si="3"/>
        <v>nmf</v>
      </c>
      <c r="AG13" s="133" t="str">
        <f t="shared" si="4"/>
        <v>nmf</v>
      </c>
      <c r="AH13" s="133"/>
      <c r="AI13" s="133">
        <f t="shared" si="5"/>
        <v>5.0218021491465104</v>
      </c>
      <c r="AJ13" s="133" t="str">
        <f t="shared" si="6"/>
        <v>nmf</v>
      </c>
      <c r="AK13" s="133" t="str">
        <f t="shared" si="7"/>
        <v>nmf</v>
      </c>
      <c r="AL13" s="205"/>
      <c r="AM13" s="133">
        <f t="shared" si="8"/>
        <v>3.7453403097642828</v>
      </c>
      <c r="AN13" s="133">
        <f t="shared" si="9"/>
        <v>33.836833614712646</v>
      </c>
      <c r="AO13" s="133" t="str">
        <f t="shared" si="10"/>
        <v>nmf</v>
      </c>
      <c r="AP13" s="133"/>
      <c r="AQ13" s="133">
        <f t="shared" si="11"/>
        <v>3.2424639918087106</v>
      </c>
      <c r="AR13" s="133">
        <f t="shared" si="12"/>
        <v>19.172983345490923</v>
      </c>
      <c r="AS13" s="133" t="str">
        <f t="shared" si="13"/>
        <v>nmf</v>
      </c>
      <c r="AT13" s="133"/>
      <c r="AU13" s="117">
        <f>AU12+1</f>
        <v>3</v>
      </c>
      <c r="AV13" s="214">
        <f>_xll.ciqfunctions.udf.CIQ($AZ13,"IQ_EBITDA", IQ_FY, $AX$2,  L, $AX$3,$AX$4, $AX$5)</f>
        <v>12.903</v>
      </c>
      <c r="AW13" s="214">
        <f>X13</f>
        <v>95.962000000000003</v>
      </c>
      <c r="AX13" s="214">
        <f>_xll.ciqfunctions.udf.CIQ($AZ13,"IQ_EBITDA_EST", IQ_CY+1, $AX$2,  L, $AX$3,$AX$4, $AX$5)</f>
        <v>33.21</v>
      </c>
      <c r="AZ13" s="117" t="s">
        <v>650</v>
      </c>
      <c r="BC13" s="1215">
        <f t="shared" si="1"/>
        <v>0.16911629939798953</v>
      </c>
      <c r="BD13" s="1215">
        <f t="shared" si="1"/>
        <v>5.3164079572530276E-2</v>
      </c>
    </row>
    <row r="14" spans="1:65" s="117" customFormat="1" ht="18" customHeight="1">
      <c r="B14" s="121" t="str">
        <f>_xll.ciqfunctions.udf.CIQ($AZ14,"IQ_COMPANY_NAME")</f>
        <v>American Renal Associates Holdings, Inc.</v>
      </c>
      <c r="C14" s="876">
        <f>_xll.ciqfunctions.udf.CIQ($AZ14,"IQ_SHARESOUTSTANDING",$AX$2)</f>
        <v>32.517069999999997</v>
      </c>
      <c r="D14" s="877">
        <f>_xll.ciqfunctions.udf.CIQ($AZ14,"IQ_LASTSALEPRICE", $AX$2, $AX$4, $AX$5)</f>
        <v>11.52</v>
      </c>
      <c r="E14" s="878">
        <f>_xll.ciqfunctions.udf.CIQ($AZ14, "IQ_TOTAL_DEBT", IQ_LTM, TEXT($AX$2,"mm/dd/yyyy"), L, $AX$3,$AX$4, $AX$5)</f>
        <v>553.95600000000002</v>
      </c>
      <c r="F14" s="878">
        <f>_xll.ciqfunctions.udf.CIQ(AZ14, "IQ_CASH_EQUIV", IQ_LTM, TEXT($AX$2,"mm/dd/yyyy"),  L, $AX$3,$AX$4, $AX$5)</f>
        <v>61.872</v>
      </c>
      <c r="G14" s="879"/>
      <c r="H14" s="880">
        <f>IFERROR(C14*D14,"n/a")</f>
        <v>374.59664639999994</v>
      </c>
      <c r="I14" s="881">
        <f>IFERROR(H14+E14-F14,"n/a")</f>
        <v>866.6806464</v>
      </c>
      <c r="J14" s="879"/>
      <c r="K14" s="878">
        <f>_xll.ciqfunctions.udf.CIQ($AZ14,"IQ_TOTAL_REV", IQ_LTM, $AX$2,  L, $AX$3,$AX$4, $AX$5)</f>
        <v>817.24699999999996</v>
      </c>
      <c r="L14" s="878">
        <f>_xll.ciqfunctions.udf.CIQ($AZ14,"IQ_EBITDA", IQ_LTM, $AX$2,  L, $AX$3,$AX$4, $AX$5)</f>
        <v>174.1</v>
      </c>
      <c r="M14" s="878">
        <f>_xll.ciqfunctions.udf.CIQ($AZ14,"IQ_EBIT", IQ_LTM, $AX$2, L, $AX$3,$AX$4, $AX$5)</f>
        <v>134.9</v>
      </c>
      <c r="N14" s="879"/>
      <c r="O14" s="878">
        <f>_xll.ciqfunctions.udf.CIQ($AZ14, "IQ_TOTAL_REV", "FY2016",$AX$2, "L", $AX$3, $AX$4,$AX$5)</f>
        <v>749.76700000000005</v>
      </c>
      <c r="P14" s="878">
        <f>_xll.ciqfunctions.udf.CIQ($AZ14,"IQ_EBITDA", "FY2016", $AX$2, "L", $AX$3,$AX$4, $AX$5)</f>
        <v>171.33699999999999</v>
      </c>
      <c r="Q14" s="878">
        <f>_xll.ciqfunctions.udf.CIQ($AZ14,"IQ_EBIT", "FY2016", $AX$2, "L", $AX$3,$AX$4, $AX$5)</f>
        <v>137.47499999999999</v>
      </c>
      <c r="R14" s="879"/>
      <c r="S14" s="878">
        <f>'Trends for Comparables_Forecast'!F14</f>
        <v>906.21749999999997</v>
      </c>
      <c r="T14" s="878">
        <f>'Trends for Comparables_Forecast'!N14</f>
        <v>111.71778999999999</v>
      </c>
      <c r="U14" s="878">
        <f>'Trends for Comparables_Forecast'!V14</f>
        <v>135.33815000000001</v>
      </c>
      <c r="V14" s="879"/>
      <c r="W14" s="878">
        <f>'Trends for Comparables_Forecast'!E14</f>
        <v>984.44</v>
      </c>
      <c r="X14" s="878">
        <f>'Trends for Comparables_Forecast'!M14</f>
        <v>119.923</v>
      </c>
      <c r="Y14" s="878" t="str">
        <f>'Trends for Comparables_Forecast'!U14</f>
        <v>n/a</v>
      </c>
      <c r="Z14" s="214"/>
      <c r="AA14" s="133">
        <f t="shared" si="0"/>
        <v>0.38051749867945217</v>
      </c>
      <c r="AB14" s="133">
        <f t="shared" si="0"/>
        <v>3.1236430576286445</v>
      </c>
      <c r="AC14" s="133" t="str">
        <f t="shared" si="0"/>
        <v>nmf</v>
      </c>
      <c r="AD14" s="133"/>
      <c r="AE14" s="133">
        <f t="shared" si="2"/>
        <v>1.0604880120697904</v>
      </c>
      <c r="AF14" s="133">
        <f t="shared" si="3"/>
        <v>4.9780622998276858</v>
      </c>
      <c r="AG14" s="133">
        <f t="shared" si="4"/>
        <v>6.424615614529281</v>
      </c>
      <c r="AH14" s="133"/>
      <c r="AI14" s="133">
        <f t="shared" si="5"/>
        <v>1.1559333051467988</v>
      </c>
      <c r="AJ14" s="133">
        <f t="shared" si="6"/>
        <v>5.0583391001359894</v>
      </c>
      <c r="AK14" s="133">
        <f t="shared" si="7"/>
        <v>6.3042782062193128</v>
      </c>
      <c r="AL14" s="205"/>
      <c r="AM14" s="133">
        <f t="shared" si="8"/>
        <v>0.95637156245603294</v>
      </c>
      <c r="AN14" s="133">
        <f t="shared" si="9"/>
        <v>7.7577675534039834</v>
      </c>
      <c r="AO14" s="133">
        <f t="shared" si="10"/>
        <v>6.4038162661452072</v>
      </c>
      <c r="AP14" s="133"/>
      <c r="AQ14" s="133">
        <f t="shared" si="11"/>
        <v>0.88037934907155335</v>
      </c>
      <c r="AR14" s="133">
        <f t="shared" si="12"/>
        <v>7.2269760296190055</v>
      </c>
      <c r="AS14" s="133" t="str">
        <f t="shared" si="13"/>
        <v>nmf</v>
      </c>
      <c r="AT14" s="133"/>
      <c r="AU14" s="117">
        <f>AU13+1</f>
        <v>4</v>
      </c>
      <c r="AV14" s="214">
        <f>_xll.ciqfunctions.udf.CIQ($AZ14,"IQ_EBITDA", IQ_FY, $AX$2,  L, $AX$3,$AX$4, $AX$5)</f>
        <v>160.97499999999999</v>
      </c>
      <c r="AW14" s="214">
        <f>X14</f>
        <v>119.923</v>
      </c>
      <c r="AX14" s="214">
        <f>_xll.ciqfunctions.udf.CIQ($AZ14,"IQ_EBITDA_EST", IQ_CY+1, $AX$2,  L, $AX$3,$AX$4, $AX$5)</f>
        <v>106.22797</v>
      </c>
      <c r="AZ14" s="117" t="s">
        <v>332</v>
      </c>
      <c r="BC14" s="1215">
        <f t="shared" si="1"/>
        <v>0.1218184957945634</v>
      </c>
      <c r="BD14" s="1215" t="str">
        <f t="shared" si="1"/>
        <v>n/a</v>
      </c>
    </row>
    <row r="15" spans="1:65" s="117" customFormat="1" ht="18" customHeight="1">
      <c r="B15" s="130"/>
      <c r="C15" s="131"/>
      <c r="D15" s="131"/>
      <c r="E15" s="132"/>
      <c r="F15" s="132"/>
      <c r="G15" s="132"/>
      <c r="H15" s="216"/>
      <c r="I15" s="217"/>
      <c r="J15" s="213"/>
      <c r="K15" s="213"/>
      <c r="L15" s="213"/>
      <c r="M15" s="213"/>
      <c r="N15" s="213"/>
      <c r="O15" s="213"/>
      <c r="P15" s="213"/>
      <c r="Q15" s="213"/>
      <c r="R15" s="213"/>
      <c r="S15" s="213"/>
      <c r="T15" s="213"/>
      <c r="U15" s="213"/>
      <c r="V15" s="213"/>
      <c r="W15" s="132"/>
      <c r="X15" s="132"/>
      <c r="Y15" s="132"/>
      <c r="Z15" s="132"/>
      <c r="AA15" s="218"/>
      <c r="AB15" s="218"/>
      <c r="AC15" s="218"/>
      <c r="AD15" s="218"/>
      <c r="AE15" s="218"/>
      <c r="AF15" s="218"/>
      <c r="AG15" s="218"/>
      <c r="AH15" s="218"/>
      <c r="AI15" s="218"/>
      <c r="AJ15" s="218"/>
      <c r="AK15" s="218"/>
      <c r="AL15" s="1071"/>
      <c r="AM15" s="218"/>
      <c r="AN15" s="218"/>
      <c r="AO15" s="218"/>
      <c r="AP15" s="218"/>
      <c r="AQ15" s="218"/>
      <c r="AR15" s="218"/>
      <c r="AS15" s="218"/>
      <c r="AT15" s="218"/>
      <c r="AV15" s="132"/>
      <c r="AW15" s="132"/>
      <c r="AX15" s="132"/>
    </row>
    <row r="16" spans="1:65" s="117" customFormat="1" ht="18" customHeight="1">
      <c r="B16" s="134" t="s">
        <v>81</v>
      </c>
      <c r="C16" s="135"/>
      <c r="D16" s="135"/>
      <c r="E16" s="882">
        <f>IF(IF(ISERROR(MIN(E10:E14)),"n/a",MIN(E10:E14))&lt;=0,"n/a",MIN(E10:E14))</f>
        <v>13.305999999999999</v>
      </c>
      <c r="F16" s="882">
        <f>IF(IF(ISERROR(MIN(F10:F14)),"n/a",MIN(F10:F14))&lt;=0,"n/a",MIN(F10:F14))</f>
        <v>61.872</v>
      </c>
      <c r="G16" s="882"/>
      <c r="H16" s="882">
        <f>IF(IF(ISERROR(MIN(H10:H14)),"n/a",MIN(H10:H14))&lt;=0,"n/a",MIN(H10:H14))</f>
        <v>374.59664639999994</v>
      </c>
      <c r="I16" s="882">
        <f>IF(IF(ISERROR(MIN(I10:I14)),"n/a",MIN(I10:I14))&lt;=0,"n/a",MIN(I10:I14))</f>
        <v>866.6806464</v>
      </c>
      <c r="J16" s="882"/>
      <c r="K16" s="882">
        <f>IF(IF(ISERROR(MIN(K10:K14)),"n/a",MIN(K10:K14))&lt;=0,"n/a",MIN(K10:K14))</f>
        <v>425.99099999999999</v>
      </c>
      <c r="L16" s="882">
        <f>IF(IF(ISERROR(MIN(L10:L14)),"n/a",MIN(L10:L14))&lt;=0,"n/a",MIN(L10:L14))</f>
        <v>21.675000000000001</v>
      </c>
      <c r="M16" s="882">
        <f>IF(IF(ISERROR(MIN(M10:M14)),"n/a",MIN(M10:M14))&lt;=0,"n/a",MIN(M10:M14))</f>
        <v>1.6120000000000001</v>
      </c>
      <c r="N16" s="882"/>
      <c r="O16" s="882">
        <f>IF(IF(ISERROR(MIN(O10:O14)),"n/a",MIN(O10:O14))&lt;=0,"n/a",MIN(O10:O14))</f>
        <v>366.37799999999999</v>
      </c>
      <c r="P16" s="889">
        <f>IF(IF(ISERROR(MIN(P10:P14)),"n/a",MIN(P10:P14))&lt;=0,"n/a",MIN(P10:P14))</f>
        <v>14.651999999999999</v>
      </c>
      <c r="Q16" s="890" t="str">
        <f>IF(IF(ISERROR(MIN(Q10:Q14)),"n/a",MIN(Q10:Q14))&lt;=0,"n/a",MIN(Q10:Q14))</f>
        <v>n/a</v>
      </c>
      <c r="R16" s="882"/>
      <c r="S16" s="882">
        <f>IF(IF(ISERROR(MIN(S10:S14)),"n/a",MIN(S10:S14))&lt;=0,"n/a",MIN(S10:S14))</f>
        <v>491.24450000000002</v>
      </c>
      <c r="T16" s="882">
        <f>IF(IF(ISERROR(MIN(T10:T14)),"n/a",MIN(T10:T14))&lt;=0,"n/a",MIN(T10:T14))</f>
        <v>54.375</v>
      </c>
      <c r="U16" s="882">
        <f>IF(IF(ISERROR(MIN(U10:U14)),"n/a",MIN(U10:U14))&lt;=0,"n/a",MIN(U10:U14))</f>
        <v>19.11</v>
      </c>
      <c r="V16" s="882"/>
      <c r="W16" s="882">
        <f>IF(IF(ISERROR(MIN(W10:W14)),"n/a",MIN(W10:W14))&lt;=0,"n/a",MIN(W10:W14))</f>
        <v>567.43200000000002</v>
      </c>
      <c r="X16" s="889">
        <f>IF(IF(ISERROR(MIN(X10:X14)),"n/a",MIN(X10:X14))&lt;=0,"n/a",MIN(X10:X14))</f>
        <v>95.962000000000003</v>
      </c>
      <c r="Y16" s="1247">
        <f>IF(IF(ISERROR(MIN(Y10:Y14)),"n/a",MIN(Y10:Y14))&lt;=0,"n/a",MIN(Y10:Y14))</f>
        <v>30.167000000000002</v>
      </c>
      <c r="Z16" s="1244"/>
      <c r="AA16" s="1246">
        <f>IF(IF(ISERROR(MIN(AA10:AA14)),"n/a",MIN(AA10:AA14))&lt;=0,"n/a",MIN(AA10:AA14))</f>
        <v>0.38051749867945217</v>
      </c>
      <c r="AB16" s="219">
        <f>IF(IF(ISERROR(MIN(AB10:AB14)),"n/a",MIN(AB10:AB14))&lt;=0,"n/a",MIN(AB10:AB14))</f>
        <v>3.1236430576286445</v>
      </c>
      <c r="AC16" s="219">
        <f>IF(IF(ISERROR(MIN(AC10:AC14)),"n/a",MIN(AC10:AC14))&lt;=0,"n/a",MIN(AC10:AC14))</f>
        <v>4.6955751841439533</v>
      </c>
      <c r="AD16" s="219"/>
      <c r="AE16" s="219">
        <f>IF(IF(ISERROR(MIN(AE10:AE14)),"n/a",MIN(AE10:AE14))&lt;=0,"n/a",MIN(AE10:AE14))</f>
        <v>1.0604880120697904</v>
      </c>
      <c r="AF16" s="219">
        <f>IF(IF(ISERROR(MIN(AF10:AF14)),"n/a",MIN(AF10:AF14))&lt;=0,"n/a",MIN(AF10:AF14))</f>
        <v>4.9780622998276858</v>
      </c>
      <c r="AG16" s="1090">
        <f>IF(IF(ISERROR(MIN(AG10:AG14)),"n/a",MIN(AG10:AG14))&lt;=0,"n/a",MIN(AG10:AG14))</f>
        <v>6.424615614529281</v>
      </c>
      <c r="AH16" s="219"/>
      <c r="AI16" s="219">
        <f>IF(IF(ISERROR(MIN(AI10:AI14)),"n/a",MIN(AI10:AI14))&lt;=0,"n/a",MIN(AI10:AI14))</f>
        <v>1.1559333051467988</v>
      </c>
      <c r="AJ16" s="219">
        <f>IF(IF(ISERROR(MIN(AJ10:AJ14)),"n/a",MIN(AJ10:AJ14))&lt;=0,"n/a",MIN(AJ10:AJ14))</f>
        <v>5.0583391001359894</v>
      </c>
      <c r="AK16" s="219">
        <f>IF(IF(ISERROR(MIN(AK10:AK14)),"n/a",MIN(AK10:AK14))&lt;=0,"n/a",MIN(AK10:AK14))</f>
        <v>6.3042782062193128</v>
      </c>
      <c r="AL16" s="1072"/>
      <c r="AM16" s="219">
        <f>IF(IF(ISERROR(MIN(AM10:AM14)),"n/a",MIN(AM10:AM14))&lt;=0,"n/a",MIN(AM10:AM14))</f>
        <v>0.95637156245603294</v>
      </c>
      <c r="AN16" s="219">
        <f>IF(IF(ISERROR(MIN(AN10:AN14)),"n/a",MIN(AN10:AN14))&lt;=0,"n/a",MIN(AN10:AN14))</f>
        <v>6.3666740276605545</v>
      </c>
      <c r="AO16" s="1090">
        <f>IF(IF(ISERROR(MIN(AO10:AO14)),"n/a",MIN(AO10:AO14))&lt;=0,"n/a",MIN(AO10:AO14))</f>
        <v>6.4038162661452072</v>
      </c>
      <c r="AP16" s="219"/>
      <c r="AQ16" s="219">
        <f>IF(IF(ISERROR(MIN(AQ10:AQ14)),"n/a",MIN(AQ10:AQ14))&lt;=0,"n/a",MIN(AQ10:AQ14))</f>
        <v>0.88037934907155335</v>
      </c>
      <c r="AR16" s="219">
        <f>IF(IF(ISERROR(MIN(AR10:AR14)),"n/a",MIN(AR10:AR14))&lt;=0,"n/a",MIN(AR10:AR14))</f>
        <v>6.0067808881409546</v>
      </c>
      <c r="AS16" s="526">
        <f>IF(IF(ISERROR(MIN(AS10:AS14)),"n/a",MIN(AS10:AS14))&lt;=0,"n/a",MIN(AS10:AS14))</f>
        <v>7.9505751807900973</v>
      </c>
      <c r="AT16" s="149"/>
      <c r="AV16" s="222">
        <f>IF(IF(ISERROR(MIN(AV10:AV14)),"n/a",MIN(AV10:AV14))&lt;=0,"n/a",MIN(AV10:AV14))</f>
        <v>12.903</v>
      </c>
      <c r="AW16" s="222">
        <f>IF(IF(ISERROR(MIN(AW10:AW14)),"n/a",MIN(AW10:AW14))&lt;=0,"n/a",MIN(AW10:AW14))</f>
        <v>95.962000000000003</v>
      </c>
      <c r="AX16" s="222">
        <f>IF(IF(ISERROR(MIN(AX10:AX14)),"n/a",MIN(AX10:AX14))&lt;=0,"n/a",MIN(AX10:AX14))</f>
        <v>33.21</v>
      </c>
    </row>
    <row r="17" spans="1:50" s="117" customFormat="1" ht="18" customHeight="1">
      <c r="B17" s="729" t="s">
        <v>82</v>
      </c>
      <c r="C17" s="141"/>
      <c r="D17" s="141"/>
      <c r="E17" s="884">
        <f>IF(IF(ISERROR(MAX(E10:E14)),"n/a",MAX(E10:E14))&lt;=0,"n/a",MAX(E10:E14))</f>
        <v>21735.745360000001</v>
      </c>
      <c r="F17" s="884">
        <f>IF(IF(ISERROR(MAX(F10:F14)),"n/a",MAX(F10:F14))&lt;=0,"n/a",MAX(F10:F14))</f>
        <v>3101.6716299999998</v>
      </c>
      <c r="G17" s="884"/>
      <c r="H17" s="884">
        <f>IF(IF(ISERROR(MAX(H10:H14)),"n/a",MAX(H10:H14))&lt;=0,"n/a",MAX(H10:H14))</f>
        <v>26881.012066436804</v>
      </c>
      <c r="I17" s="884">
        <f>IF(IF(ISERROR(MAX(I10:I14)),"n/a",MAX(I10:I14))&lt;=0,"n/a",MAX(I10:I14))</f>
        <v>45515.085796436804</v>
      </c>
      <c r="J17" s="884"/>
      <c r="K17" s="884">
        <f>IF(IF(ISERROR(MAX(K10:K14)),"n/a",MAX(K10:K14))&lt;=0,"n/a",MAX(K10:K14))</f>
        <v>38390.199220000002</v>
      </c>
      <c r="L17" s="884">
        <f>IF(IF(ISERROR(MAX(L10:L14)),"n/a",MAX(L10:L14))&lt;=0,"n/a",MAX(L10:L14))</f>
        <v>6481.5662899999998</v>
      </c>
      <c r="M17" s="884">
        <f>IF(IF(ISERROR(MAX(M10:M14)),"n/a",MAX(M10:M14))&lt;=0,"n/a",MAX(M10:M14))</f>
        <v>4963.3615799999998</v>
      </c>
      <c r="N17" s="884"/>
      <c r="O17" s="884">
        <f>IF(IF(ISERROR(MAX(O10:O14)),"n/a",MAX(O10:O14))&lt;=0,"n/a",MAX(O10:O14))</f>
        <v>31110.524659999999</v>
      </c>
      <c r="P17" s="884">
        <f>IF(IF(ISERROR(MAX(P10:P14)),"n/a",MAX(P10:P14))&lt;=0,"n/a",MAX(P10:P14))</f>
        <v>5721.5243300000002</v>
      </c>
      <c r="Q17" s="885">
        <f>IF(IF(ISERROR(MAX(Q10:Q14)),"n/a",MAX(Q10:Q14))&lt;=0,"n/a",MAX(Q10:Q14))</f>
        <v>4506.4921400000003</v>
      </c>
      <c r="R17" s="884"/>
      <c r="S17" s="884">
        <f>IF(IF(ISERROR(MAX(S10:S14)),"n/a",MAX(S10:S14))&lt;=0,"n/a",MAX(S10:S14))</f>
        <v>39987.403250000003</v>
      </c>
      <c r="T17" s="884">
        <f>IF(IF(ISERROR(MAX(T10:T14)),"n/a",MAX(T10:T14))&lt;=0,"n/a",MAX(T10:T14))</f>
        <v>7148.9580900000001</v>
      </c>
      <c r="U17" s="884">
        <f>IF(IF(ISERROR(MAX(U10:U14)),"n/a",MAX(U10:U14))&lt;=0,"n/a",MAX(U10:U14))</f>
        <v>5414.4687400000003</v>
      </c>
      <c r="V17" s="884"/>
      <c r="W17" s="884">
        <f>IF(IF(ISERROR(MAX(W10:W14)),"n/a",MAX(W10:W14))&lt;=0,"n/a",MAX(W10:W14))</f>
        <v>41962.445610000002</v>
      </c>
      <c r="X17" s="884">
        <f>IF(IF(ISERROR(MAX(X10:X14)),"n/a",MAX(X10:X14))&lt;=0,"n/a",MAX(X10:X14))</f>
        <v>7577.2841799999997</v>
      </c>
      <c r="Y17" s="885">
        <f>IF(IF(ISERROR(MAX(Y10:Y14)),"n/a",MAX(Y10:Y14))&lt;=0,"n/a",MAX(Y10:Y14))</f>
        <v>5724.7538400000003</v>
      </c>
      <c r="Z17" s="143"/>
      <c r="AA17" s="149">
        <f>IF(IF(ISERROR(MAX(AA10:AA14)),"n/a",MAX(AA10:AA14))&lt;=0,"n/a",MAX(AA10:AA14))</f>
        <v>3.3634265036162923</v>
      </c>
      <c r="AB17" s="149">
        <f>IF(IF(ISERROR(MAX(AB10:AB14)),"n/a",MAX(AB10:AB14))&lt;=0,"n/a",MAX(AB10:AB14))</f>
        <v>19.888245636814574</v>
      </c>
      <c r="AC17" s="149">
        <f>IF(IF(ISERROR(MAX(AC10:AC14)),"n/a",MAX(AC10:AC14))&lt;=0,"n/a",MAX(AC10:AC14))</f>
        <v>63.2650189876355</v>
      </c>
      <c r="AD17" s="149"/>
      <c r="AE17" s="149">
        <f>IF(IF(ISERROR(MAX(AE10:AE14)),"n/a",MAX(AE10:AE14))&lt;=0,"n/a",MAX(AE10:AE14))</f>
        <v>4.3190532846938083</v>
      </c>
      <c r="AF17" s="149">
        <f>IF(IF(ISERROR(MAX(AF10:AF14)),"n/a",MAX(AF10:AF14))&lt;=0,"n/a",MAX(AF10:AF14))</f>
        <v>8.8042890058475027</v>
      </c>
      <c r="AG17" s="150">
        <f>IF(IF(ISERROR(MAX(AG10:AG14)),"n/a",MAX(AG10:AG14))&lt;=0,"n/a",MAX(AG10:AG14))</f>
        <v>12.294568758426172</v>
      </c>
      <c r="AH17" s="149"/>
      <c r="AI17" s="149">
        <f>IF(IF(ISERROR(MAX(AI10:AI14)),"n/a",MAX(AI10:AI14))&lt;=0,"n/a",MAX(AI10:AI14))</f>
        <v>5.0218021491465104</v>
      </c>
      <c r="AJ17" s="149">
        <f>IF(IF(ISERROR(MAX(AJ10:AJ14)),"n/a",MAX(AJ10:AJ14))&lt;=0,"n/a",MAX(AJ10:AJ14))</f>
        <v>8.0961452418586077</v>
      </c>
      <c r="AK17" s="149">
        <f>IF(IF(ISERROR(MAX(AK10:AK14)),"n/a",MAX(AK10:AK14))&lt;=0,"n/a",MAX(AK10:AK14))</f>
        <v>10.893076956482963</v>
      </c>
      <c r="AL17" s="1073"/>
      <c r="AM17" s="149">
        <f>IF(IF(ISERROR(MAX(AM10:AM14)),"n/a",MAX(AM10:AM14))&lt;=0,"n/a",MAX(AM10:AM14))</f>
        <v>3.7453403097642828</v>
      </c>
      <c r="AN17" s="149">
        <f>IF(IF(ISERROR(MAX(AN10:AN14)),"n/a",MAX(AN10:AN14))&lt;=0,"n/a",MAX(AN10:AN14))</f>
        <v>33.836833614712646</v>
      </c>
      <c r="AO17" s="150">
        <f>IF(IF(ISERROR(MAX(AO10:AO14)),"n/a",MAX(AO10:AO14))&lt;=0,"n/a",MAX(AO10:AO14))</f>
        <v>11.191655064630421</v>
      </c>
      <c r="AP17" s="149"/>
      <c r="AQ17" s="149">
        <f>IF(IF(ISERROR(MAX(AQ10:AQ14)),"n/a",MAX(AQ10:AQ14))&lt;=0,"n/a",MAX(AQ10:AQ14))</f>
        <v>3.2424639918087106</v>
      </c>
      <c r="AR17" s="149">
        <f>IF(IF(ISERROR(MAX(AR10:AR14)),"n/a",MAX(AR10:AR14))&lt;=0,"n/a",MAX(AR10:AR14))</f>
        <v>19.172983345490923</v>
      </c>
      <c r="AS17" s="150">
        <f>IF(IF(ISERROR(MAX(AS10:AS14)),"n/a",MAX(AS10:AS14))&lt;=0,"n/a",MAX(AS10:AS14))</f>
        <v>10.793731016466845</v>
      </c>
      <c r="AT17" s="149"/>
      <c r="AV17" s="223">
        <f>IF(IF(ISERROR(MAX(AV10:AV14)),"n/a",MAX(AV10:AV14))&lt;=0,"n/a",MAX(AV10:AV14))</f>
        <v>6481.5662899999998</v>
      </c>
      <c r="AW17" s="223">
        <f>IF(IF(ISERROR(MAX(AW10:AW14)),"n/a",MAX(AW10:AW14))&lt;=0,"n/a",MAX(AW10:AW14))</f>
        <v>7577.2841799999997</v>
      </c>
      <c r="AX17" s="223">
        <f>IF(IF(ISERROR(MAX(AX10:AX14)),"n/a",MAX(AX10:AX14))&lt;=0,"n/a",MAX(AX10:AX14))</f>
        <v>7267.5335999999998</v>
      </c>
    </row>
    <row r="18" spans="1:50" s="117" customFormat="1" ht="18" customHeight="1">
      <c r="A18" s="95"/>
      <c r="B18" s="729" t="s">
        <v>83</v>
      </c>
      <c r="C18" s="141"/>
      <c r="D18" s="141"/>
      <c r="E18" s="884">
        <f>IF(ISERROR(MEDIAN(E10:E14)),"n/a",MEDIAN(E10:E14))</f>
        <v>8640.0595400000002</v>
      </c>
      <c r="F18" s="884">
        <f>IF(ISERROR(MEDIAN(F10:F14)),"n/a",MEDIAN(F10:F14))</f>
        <v>323.03800000000001</v>
      </c>
      <c r="G18" s="884"/>
      <c r="H18" s="884">
        <f>IF(ISERROR(MEDIAN(H10:H14)),"n/a",MEDIAN(H10:H14))</f>
        <v>8541.561340799999</v>
      </c>
      <c r="I18" s="884">
        <f>IF(ISERROR(MEDIAN(I10:I14)),"n/a",MEDIAN(I10:I14))</f>
        <v>18320.739340799999</v>
      </c>
      <c r="J18" s="884"/>
      <c r="K18" s="884">
        <f>IF(ISERROR(MEDIAN(K10:K14)),"n/a",MEDIAN(K10:K14))</f>
        <v>11412.151</v>
      </c>
      <c r="L18" s="884">
        <f>IF(ISERROR(MEDIAN(L10:L14)),"n/a",MEDIAN(L10:L14))</f>
        <v>2080.8879999999999</v>
      </c>
      <c r="M18" s="884">
        <f>IF(ISERROR(MEDIAN(M10:M14)),"n/a",MEDIAN(M10:M14))</f>
        <v>1490.1489999999999</v>
      </c>
      <c r="N18" s="884"/>
      <c r="O18" s="884">
        <f>IF(ISERROR(MEDIAN(O10:O14)),"n/a",MEDIAN(O10:O14))</f>
        <v>10695.79</v>
      </c>
      <c r="P18" s="884">
        <f>IF(ISERROR(MEDIAN(P10:P14)),"n/a",MEDIAN(P10:P14))</f>
        <v>2401.89</v>
      </c>
      <c r="Q18" s="885">
        <f>IF(ISERROR(MEDIAN(Q10:Q14)),"n/a",MEDIAN(Q10:Q14))</f>
        <v>1681.87</v>
      </c>
      <c r="R18" s="884"/>
      <c r="S18" s="884">
        <f>IF(ISERROR(MEDIAN(S10:S14)),"n/a",MEDIAN(S10:S14))</f>
        <v>12033.48287</v>
      </c>
      <c r="T18" s="884">
        <f>IF(ISERROR(MEDIAN(T10:T14)),"n/a",MEDIAN(T10:T14))</f>
        <v>2239.4</v>
      </c>
      <c r="U18" s="884">
        <f>IF(ISERROR(MEDIAN(U10:U14)),"n/a",MEDIAN(U10:U14))</f>
        <v>1637</v>
      </c>
      <c r="V18" s="884"/>
      <c r="W18" s="884">
        <f>IF(ISERROR(MEDIAN(W10:W14)),"n/a",MEDIAN(W10:W14))</f>
        <v>12720</v>
      </c>
      <c r="X18" s="884">
        <f>IF(ISERROR(MEDIAN(X10:X14)),"n/a",MEDIAN(X10:X14))</f>
        <v>2299.4450000000002</v>
      </c>
      <c r="Y18" s="885">
        <f>IF(ISERROR(MEDIAN(Y10:Y14)),"n/a",MEDIAN(Y10:Y14))</f>
        <v>2344.5394999999999</v>
      </c>
      <c r="Z18" s="143"/>
      <c r="AA18" s="149">
        <f>IF(ISERROR(MEDIAN(AA10:AA14)),"n/a",MEDIAN(AA10:AA14))</f>
        <v>0.67150639471698104</v>
      </c>
      <c r="AB18" s="149">
        <f>IF(ISERROR(MEDIAN(AB10:AB14)),"n/a",MEDIAN(AB10:AB14))</f>
        <v>3.7146186757239241</v>
      </c>
      <c r="AC18" s="149">
        <f>IF(ISERROR(MEDIAN(AC10:AC14)),"n/a",MEDIAN(AC10:AC14))</f>
        <v>5.8418035138460844</v>
      </c>
      <c r="AD18" s="149"/>
      <c r="AE18" s="149">
        <f>IF(ISERROR(MEDIAN(AE10:AE14)),"n/a",MEDIAN(AE10:AE14))</f>
        <v>1.3767146504156098</v>
      </c>
      <c r="AF18" s="149">
        <f>IF(ISERROR(MEDIAN(AF10:AF14)),"n/a",MEDIAN(AF10:AF14))</f>
        <v>7.4656284850406358</v>
      </c>
      <c r="AG18" s="150">
        <f>IF(ISERROR(MEDIAN(AG10:AG14)),"n/a",MEDIAN(AG10:AG14))</f>
        <v>9.8694634251372975</v>
      </c>
      <c r="AH18" s="149"/>
      <c r="AI18" s="149">
        <f>IF(ISERROR(MEDIAN(AI10:AI14)),"n/a",MEDIAN(AI10:AI14))</f>
        <v>1.4911426026342125</v>
      </c>
      <c r="AJ18" s="149">
        <f>IF(ISERROR(MEDIAN(AJ10:AJ14)),"n/a",MEDIAN(AJ10:AJ14))</f>
        <v>7.791348753277286</v>
      </c>
      <c r="AK18" s="149">
        <f>IF(ISERROR(MEDIAN(AK10:AK14)),"n/a",MEDIAN(AK10:AK14))</f>
        <v>10.306338360652397</v>
      </c>
      <c r="AL18" s="1073"/>
      <c r="AM18" s="149">
        <f>IF(ISERROR(MEDIAN(AM10:AM14)),"n/a",MEDIAN(AM10:AM14))</f>
        <v>1.3315773048102575</v>
      </c>
      <c r="AN18" s="149">
        <f>IF(ISERROR(MEDIAN(AN10:AN14)),"n/a",MEDIAN(AN10:AN14))</f>
        <v>7.7577675534039834</v>
      </c>
      <c r="AO18" s="150">
        <f>IF(ISERROR(MEDIAN(AO10:AO14)),"n/a",MEDIAN(AO10:AO14))</f>
        <v>8.8736325276379588</v>
      </c>
      <c r="AP18" s="149"/>
      <c r="AQ18" s="149">
        <f>IF(ISERROR(MEDIAN(AQ10:AQ14)),"n/a",MEDIAN(AQ10:AQ14))</f>
        <v>1.257228755172116</v>
      </c>
      <c r="AR18" s="149">
        <f>IF(ISERROR(MEDIAN(AR10:AR14)),"n/a",MEDIAN(AR10:AR14))</f>
        <v>7.2269760296190055</v>
      </c>
      <c r="AS18" s="150">
        <f>IF(ISERROR(MEDIAN(AS10:AS14)),"n/a",MEDIAN(AS10:AS14))</f>
        <v>8.7181518411108101</v>
      </c>
      <c r="AT18" s="149"/>
      <c r="AV18" s="223">
        <f>IF(ISERROR(MEDIAN(AV10:AV14)),"n/a",MEDIAN(AV10:AV14))</f>
        <v>2080.8879999999999</v>
      </c>
      <c r="AW18" s="223">
        <f>IF(ISERROR(MEDIAN(AW10:AW14)),"n/a",MEDIAN(AW10:AW14))</f>
        <v>2299.4450000000002</v>
      </c>
      <c r="AX18" s="223">
        <f>IF(ISERROR(MEDIAN(AX10:AX14)),"n/a",MEDIAN(AX10:AX14))</f>
        <v>2226.2024099999999</v>
      </c>
    </row>
    <row r="19" spans="1:50" s="117" customFormat="1" ht="18" customHeight="1">
      <c r="A19" s="95"/>
      <c r="B19" s="729" t="s">
        <v>84</v>
      </c>
      <c r="C19" s="141"/>
      <c r="D19" s="141"/>
      <c r="E19" s="884">
        <f>IF(ISERROR(AVERAGE(E10:E14)),"n/a",AVERAGE(E10:E14))</f>
        <v>8209.0565800000004</v>
      </c>
      <c r="F19" s="884">
        <f>IF(ISERROR(AVERAGE(F10:F14)),"n/a",AVERAGE(F10:F14))</f>
        <v>1205.0337260000001</v>
      </c>
      <c r="G19" s="884"/>
      <c r="H19" s="884">
        <f>IF(ISERROR(AVERAGE(H10:H14)),"n/a",AVERAGE(H10:H14))</f>
        <v>11520.923406178281</v>
      </c>
      <c r="I19" s="884">
        <f>IF(ISERROR(AVERAGE(I10:I14)),"n/a",AVERAGE(I10:I14))</f>
        <v>18524.94626017828</v>
      </c>
      <c r="J19" s="884"/>
      <c r="K19" s="884">
        <f>IF(ISERROR(AVERAGE(K10:K14)),"n/a",AVERAGE(K10:K14))</f>
        <v>13998.188630000001</v>
      </c>
      <c r="L19" s="884">
        <f>IF(ISERROR(AVERAGE(L10:L14)),"n/a",AVERAGE(L10:L14))</f>
        <v>2411.2052800000001</v>
      </c>
      <c r="M19" s="884">
        <f>IF(ISERROR(AVERAGE(M10:M14)),"n/a",AVERAGE(M10:M14))</f>
        <v>1811.5811139999998</v>
      </c>
      <c r="N19" s="884"/>
      <c r="O19" s="884">
        <f>IF(ISERROR(AVERAGE(O10:O14)),"n/a",AVERAGE(O10:O14))</f>
        <v>12082.795533999999</v>
      </c>
      <c r="P19" s="884">
        <f>IF(ISERROR(AVERAGE(P10:P14)),"n/a",AVERAGE(P10:P14))</f>
        <v>2306.1958779999995</v>
      </c>
      <c r="Q19" s="885">
        <f>IF(ISERROR(AVERAGE(Q10:Q14)),"n/a",AVERAGE(Q10:Q14))</f>
        <v>1760.6128980000001</v>
      </c>
      <c r="R19" s="884"/>
      <c r="S19" s="884">
        <f>IF(ISERROR(AVERAGE(S10:S14)),"n/a",AVERAGE(S10:S14))</f>
        <v>14601.181224</v>
      </c>
      <c r="T19" s="884">
        <f>IF(ISERROR(AVERAGE(T10:T14)),"n/a",AVERAGE(T10:T14))</f>
        <v>2650.8473760000002</v>
      </c>
      <c r="U19" s="884">
        <f>IF(ISERROR(AVERAGE(U10:U14)),"n/a",AVERAGE(U10:U14))</f>
        <v>1999.627978</v>
      </c>
      <c r="V19" s="884"/>
      <c r="W19" s="884">
        <f>IF(ISERROR(AVERAGE(W10:W14)),"n/a",AVERAGE(W10:W14))</f>
        <v>15396.044422000001</v>
      </c>
      <c r="X19" s="884">
        <f>IF(ISERROR(AVERAGE(X10:X14)),"n/a",AVERAGE(X10:X14))</f>
        <v>2809.9374359999997</v>
      </c>
      <c r="Y19" s="885">
        <f>IF(ISERROR(AVERAGE(Y10:Y14)),"n/a",AVERAGE(Y10:Y14))</f>
        <v>2610.9999600000001</v>
      </c>
      <c r="Z19" s="143"/>
      <c r="AA19" s="149">
        <f>IF(ISERROR(AVERAGE(AA10:AA14)),"n/a",AVERAGE(AA10:AA14))</f>
        <v>1.2030442468270035</v>
      </c>
      <c r="AB19" s="149">
        <f>IF(ISERROR(AVERAGE(AB10:AB14)),"n/a",AVERAGE(AB10:AB14))</f>
        <v>7.0605571235379188</v>
      </c>
      <c r="AC19" s="149">
        <f>IF(ISERROR(AVERAGE(AC10:AC14)),"n/a",AVERAGE(AC10:AC14))</f>
        <v>19.911050299867906</v>
      </c>
      <c r="AD19" s="149"/>
      <c r="AE19" s="149">
        <f>IF(ISERROR(AVERAGE(AE10:AE14)),"n/a",AVERAGE(AE10:AE14))</f>
        <v>1.9094437012694456</v>
      </c>
      <c r="AF19" s="149">
        <f>IF(ISERROR(AVERAGE(AF10:AF14)),"n/a",AVERAGE(AF10:AF14))</f>
        <v>7.1784020689391141</v>
      </c>
      <c r="AG19" s="150">
        <f>IF(ISERROR(AVERAGE(AG10:AG14)),"n/a",AVERAGE(AG10:AG14))</f>
        <v>9.6145278058075121</v>
      </c>
      <c r="AH19" s="149"/>
      <c r="AI19" s="149">
        <f>IF(ISERROR(AVERAGE(AI10:AI14)),"n/a",AVERAGE(AI10:AI14))</f>
        <v>2.168956623360093</v>
      </c>
      <c r="AJ19" s="149">
        <f>IF(ISERROR(AVERAGE(AJ10:AJ14)),"n/a",AVERAGE(AJ10:AJ14))</f>
        <v>7.1842954621372916</v>
      </c>
      <c r="AK19" s="149">
        <f>IF(ISERROR(AVERAGE(AK10:AK14)),"n/a",AVERAGE(AK10:AK14))</f>
        <v>9.4525079710017685</v>
      </c>
      <c r="AL19" s="1073"/>
      <c r="AM19" s="149">
        <f>IF(ISERROR(AVERAGE(AM10:AM14)),"n/a",AVERAGE(AM10:AM14))</f>
        <v>1.7388009936407081</v>
      </c>
      <c r="AN19" s="149">
        <f>IF(ISERROR(AVERAGE(AN10:AN14)),"n/a",AVERAGE(AN10:AN14))</f>
        <v>12.638411789910908</v>
      </c>
      <c r="AO19" s="150">
        <f>IF(ISERROR(AVERAGE(AO10:AO14)),"n/a",AVERAGE(AO10:AO14))</f>
        <v>8.8356840965128871</v>
      </c>
      <c r="AP19" s="149"/>
      <c r="AQ19" s="149">
        <f>IF(ISERROR(AVERAGE(AQ10:AQ14)),"n/a",AVERAGE(AQ10:AQ14))</f>
        <v>1.5810088329606533</v>
      </c>
      <c r="AR19" s="149">
        <f>IF(ISERROR(AVERAGE(AR10:AR14)),"n/a",AVERAGE(AR10:AR14))</f>
        <v>9.393105009391677</v>
      </c>
      <c r="AS19" s="150">
        <f>IF(ISERROR(AVERAGE(AS10:AS14)),"n/a",AVERAGE(AS10:AS14))</f>
        <v>9.1541526794559172</v>
      </c>
      <c r="AT19" s="149"/>
      <c r="AV19" s="224">
        <f>IF(ISERROR(AVERAGE(AV10:AV14)),"n/a",AVERAGE(AV10:AV14))</f>
        <v>2406.8258800000003</v>
      </c>
      <c r="AW19" s="224">
        <f>IF(ISERROR(AVERAGE(AW10:AW14)),"n/a",AVERAGE(AW10:AW14))</f>
        <v>2809.9374359999997</v>
      </c>
      <c r="AX19" s="224">
        <f>IF(ISERROR(AVERAGE(AX10:AX14)),"n/a",AVERAGE(AX10:AX14))</f>
        <v>2666.8519339999993</v>
      </c>
    </row>
    <row r="20" spans="1:50" s="117" customFormat="1" ht="18" customHeight="1">
      <c r="A20" s="95"/>
      <c r="B20" s="729" t="s">
        <v>364</v>
      </c>
      <c r="C20" s="141"/>
      <c r="D20" s="141"/>
      <c r="E20" s="884">
        <f>IFERROR(QUARTILE(E11:E14,3),"n/a")</f>
        <v>13010.59834</v>
      </c>
      <c r="F20" s="884">
        <f>IFERROR(QUARTILE(F11:F14,3),"n/a")</f>
        <v>1017.6964075</v>
      </c>
      <c r="G20" s="884"/>
      <c r="H20" s="884">
        <f>IFERROR(QUARTILE(H11:H14,3),"n/a")</f>
        <v>13126.424022209201</v>
      </c>
      <c r="I20" s="884">
        <f>IFERROR(QUARTILE(I11:I14,3),"n/a")</f>
        <v>25119.325954709202</v>
      </c>
      <c r="J20" s="884"/>
      <c r="K20" s="884">
        <f>IFERROR(QUARTILE(K11:K14,3),"n/a")</f>
        <v>18156.663055000001</v>
      </c>
      <c r="L20" s="884">
        <f>IFERROR(QUARTILE(L11:L14,3),"n/a")</f>
        <v>3181.0575724999999</v>
      </c>
      <c r="M20" s="884">
        <f>IFERROR(QUARTILE(M11:M14,3),"n/a")</f>
        <v>2358.4521449999997</v>
      </c>
      <c r="N20" s="884"/>
      <c r="O20" s="884">
        <f>IFERROR(QUARTILE(O11:O14,3),"n/a")</f>
        <v>15799.473665000001</v>
      </c>
      <c r="P20" s="884">
        <f>IFERROR(QUARTILE(P11:P14,3),"n/a")</f>
        <v>3231.7985825000001</v>
      </c>
      <c r="Q20" s="885">
        <f>IFERROR(QUARTILE(Q11:Q14,3),"n/a")</f>
        <v>2388.0255349999998</v>
      </c>
      <c r="R20" s="884"/>
      <c r="S20" s="884">
        <f>IFERROR(QUARTILE(S11:S14,3),"n/a")</f>
        <v>19021.962964999999</v>
      </c>
      <c r="T20" s="884">
        <f>IFERROR(QUARTILE(T11:T14,3),"n/a")</f>
        <v>3466.7895225000002</v>
      </c>
      <c r="U20" s="884">
        <f>IFERROR(QUARTILE(U11:U14,3),"n/a")</f>
        <v>2581.3671850000001</v>
      </c>
      <c r="V20" s="884"/>
      <c r="W20" s="884">
        <f>IFERROR(QUARTILE(W11:W14,3),"n/a")</f>
        <v>20030.611402499999</v>
      </c>
      <c r="X20" s="884">
        <f>IFERROR(QUARTILE(X11:X14,3),"n/a")</f>
        <v>3618.9047949999999</v>
      </c>
      <c r="Y20" s="885">
        <f>IFERROR(QUARTILE(Y11:Y14,3),"n/a")</f>
        <v>3711.0519199999999</v>
      </c>
      <c r="Z20" s="143"/>
      <c r="AA20" s="149">
        <f>IFERROR(QUARTILE(AA11:AA14,3),"n/a")</f>
        <v>1.3444864219418089</v>
      </c>
      <c r="AB20" s="149">
        <f>IFERROR(QUARTILE(AB11:AB14,3),"n/a")</f>
        <v>7.7580254159965865</v>
      </c>
      <c r="AC20" s="149">
        <f>IFERROR(QUARTILE(AC11:AC14,3),"n/a")</f>
        <v>34.14865564540699</v>
      </c>
      <c r="AD20" s="149"/>
      <c r="AE20" s="149">
        <f>IFERROR(QUARTILE(AE11:AE14,3),"n/a")</f>
        <v>2.2837917734433177</v>
      </c>
      <c r="AF20" s="149">
        <f>IFERROR(QUARTILE(AF11:AF14,3),"n/a")</f>
        <v>7.9132623222893548</v>
      </c>
      <c r="AG20" s="150">
        <f>IFERROR(QUARTILE(AG11:AG14,3),"n/a")</f>
        <v>10.732391172544553</v>
      </c>
      <c r="AH20" s="149"/>
      <c r="AI20" s="149">
        <f>IFERROR(QUARTILE(AI11:AI14,3),"n/a")</f>
        <v>2.540119973167474</v>
      </c>
      <c r="AJ20" s="149">
        <f>IFERROR(QUARTILE(AJ11:AJ14,3),"n/a")</f>
        <v>7.791348753277286</v>
      </c>
      <c r="AK20" s="149">
        <f>IFERROR(QUARTILE(AK11:AK14,3),"n/a")</f>
        <v>10.496484687227525</v>
      </c>
      <c r="AL20" s="1073"/>
      <c r="AM20" s="149">
        <f>IFERROR(QUARTILE(AM11:AM14,3),"n/a")</f>
        <v>2.0781952233391303</v>
      </c>
      <c r="AN20" s="149">
        <f>IFERROR(QUARTILE(AN11:AN14,3),"n/a")</f>
        <v>14.595028045367901</v>
      </c>
      <c r="AO20" s="150">
        <f>IFERROR(QUARTILE(AO11:AO14,3),"n/a")</f>
        <v>9.7989255629852323</v>
      </c>
      <c r="AP20" s="149"/>
      <c r="AQ20" s="149">
        <f>IFERROR(QUARTILE(AQ11:AQ14,3),"n/a")</f>
        <v>1.8908482704050078</v>
      </c>
      <c r="AR20" s="149">
        <f>IFERROR(QUARTILE(AR11:AR14,3),"n/a")</f>
        <v>10.768841906554883</v>
      </c>
      <c r="AS20" s="150">
        <f>IFERROR(QUARTILE(AS11:AS14,3),"n/a")</f>
        <v>10.082942057547658</v>
      </c>
      <c r="AT20" s="149"/>
      <c r="AV20" s="223"/>
      <c r="AW20" s="223"/>
      <c r="AX20" s="223"/>
    </row>
    <row r="21" spans="1:50" s="117" customFormat="1" ht="18" customHeight="1">
      <c r="A21" s="95"/>
      <c r="B21" s="730" t="s">
        <v>337</v>
      </c>
      <c r="C21" s="886"/>
      <c r="D21" s="886"/>
      <c r="E21" s="887">
        <f>IFERROR(QUARTILE(E11:E14,1),"n/a")</f>
        <v>418.79349999999994</v>
      </c>
      <c r="F21" s="887">
        <f>IFERROR(QUARTILE(F11:F14,1),"n/a")</f>
        <v>76.926000000000002</v>
      </c>
      <c r="G21" s="887"/>
      <c r="H21" s="887">
        <f>IFERROR(QUARTILE(H11:H14,1),"n/a")</f>
        <v>1525.0360324499998</v>
      </c>
      <c r="I21" s="887">
        <f>IFERROR(QUARTILE(I11:I14,1),"n/a")</f>
        <v>1596.5785324500002</v>
      </c>
      <c r="J21" s="887"/>
      <c r="K21" s="887">
        <f>IFERROR(QUARTILE(K11:K14,1),"n/a")</f>
        <v>719.43299999999999</v>
      </c>
      <c r="L21" s="887">
        <f>IFERROR(QUARTILE(L11:L14,1),"n/a")</f>
        <v>135.99375000000001</v>
      </c>
      <c r="M21" s="887">
        <f>IFERROR(QUARTILE(M11:M14,1),"n/a")</f>
        <v>101.578</v>
      </c>
      <c r="N21" s="887"/>
      <c r="O21" s="887">
        <f>IFERROR(QUARTILE(O11:O14,1),"n/a")</f>
        <v>653.91975000000002</v>
      </c>
      <c r="P21" s="887">
        <f>IFERROR(QUARTILE(P11:P14,1),"n/a")</f>
        <v>132.16575</v>
      </c>
      <c r="Q21" s="888">
        <f>IFERROR(QUARTILE(Q11:Q14,1),"n/a")</f>
        <v>102.16</v>
      </c>
      <c r="R21" s="887"/>
      <c r="S21" s="887">
        <f>IFERROR(QUARTILE(S11:S14,1),"n/a")</f>
        <v>802.47424999999998</v>
      </c>
      <c r="T21" s="887">
        <f>IFERROR(QUARTILE(T11:T14,1),"n/a")</f>
        <v>97.382092499999999</v>
      </c>
      <c r="U21" s="887">
        <f>IFERROR(QUARTILE(U11:U14,1),"n/a")</f>
        <v>106.28111250000001</v>
      </c>
      <c r="V21" s="887"/>
      <c r="W21" s="887">
        <f>IFERROR(QUARTILE(W11:W14,1),"n/a")</f>
        <v>880.1880000000001</v>
      </c>
      <c r="X21" s="887">
        <f>IFERROR(QUARTILE(X11:X14,1),"n/a")</f>
        <v>113.93275</v>
      </c>
      <c r="Y21" s="888">
        <f>IFERROR(QUARTILE(Y11:Y14,1),"n/a")</f>
        <v>863.75850000000003</v>
      </c>
      <c r="Z21" s="1245"/>
      <c r="AA21" s="944">
        <f>IFERROR(QUARTILE(AA11:AA14,1),"n/a")</f>
        <v>0.5755770405948234</v>
      </c>
      <c r="AB21" s="944">
        <f>IFERROR(QUARTILE(AB11:AB14,1),"n/a")</f>
        <v>3.4415947998616168</v>
      </c>
      <c r="AC21" s="944">
        <f>IFERROR(QUARTILE(AC11:AC14,1),"n/a")</f>
        <v>4.8639337436612191</v>
      </c>
      <c r="AD21" s="944"/>
      <c r="AE21" s="944">
        <f>IFERROR(QUARTILE(AE11:AE14,1),"n/a")</f>
        <v>1.1543154701235971</v>
      </c>
      <c r="AF21" s="944">
        <f>IFERROR(QUARTILE(AF11:AF14,1),"n/a")</f>
        <v>6.0001489692794463</v>
      </c>
      <c r="AG21" s="945">
        <f>IFERROR(QUARTILE(AG11:AG14,1),"n/a")</f>
        <v>7.7974146005961078</v>
      </c>
      <c r="AH21" s="944"/>
      <c r="AI21" s="944">
        <f>IFERROR(QUARTILE(AI11:AI14,1),"n/a")</f>
        <v>1.3862426853105601</v>
      </c>
      <c r="AJ21" s="944">
        <f>IFERROR(QUARTILE(AJ11:AJ14,1),"n/a")</f>
        <v>6.3429868649325387</v>
      </c>
      <c r="AK21" s="944">
        <f>IFERROR(QUARTILE(AK11:AK14,1),"n/a")</f>
        <v>8.2020853120956989</v>
      </c>
      <c r="AL21" s="1074"/>
      <c r="AM21" s="944">
        <f>IFERROR(QUARTILE(AM11:AM14,1),"n/a")</f>
        <v>1.0927695880956734</v>
      </c>
      <c r="AN21" s="944">
        <f>IFERROR(QUARTILE(AN11:AN14,1),"n/a")</f>
        <v>7.4099941719681262</v>
      </c>
      <c r="AO21" s="945">
        <f>IFERROR(QUARTILE(AO11:AO14,1),"n/a")</f>
        <v>7.4050061637426268</v>
      </c>
      <c r="AP21" s="944"/>
      <c r="AQ21" s="944">
        <f>IFERROR(QUARTILE(AQ11:AQ14,1),"n/a")</f>
        <v>1.0335916163782231</v>
      </c>
      <c r="AR21" s="944">
        <f>IFERROR(QUARTILE(AR11:AR14,1),"n/a")</f>
        <v>6.9219272442494928</v>
      </c>
      <c r="AS21" s="945">
        <f>IFERROR(QUARTILE(AS11:AS14,1),"n/a")</f>
        <v>8.6613641397092849</v>
      </c>
      <c r="AT21" s="149"/>
      <c r="AV21" s="223"/>
      <c r="AW21" s="223"/>
      <c r="AX21" s="223"/>
    </row>
    <row r="22" spans="1:50" s="117" customFormat="1" hidden="1" outlineLevel="1">
      <c r="A22" s="95"/>
      <c r="B22" s="528"/>
      <c r="C22" s="141"/>
      <c r="D22" s="141"/>
      <c r="E22" s="884"/>
      <c r="F22" s="884"/>
      <c r="G22" s="884"/>
      <c r="H22" s="884"/>
      <c r="I22" s="884"/>
      <c r="J22" s="884"/>
      <c r="K22" s="884"/>
      <c r="L22" s="884"/>
      <c r="M22" s="884"/>
      <c r="N22" s="884"/>
      <c r="O22" s="884"/>
      <c r="P22" s="884"/>
      <c r="Q22" s="884"/>
      <c r="R22" s="884"/>
      <c r="S22" s="884"/>
      <c r="T22" s="884"/>
      <c r="U22" s="884"/>
      <c r="V22" s="884"/>
      <c r="W22" s="884"/>
      <c r="X22" s="884"/>
      <c r="Y22" s="884"/>
      <c r="Z22" s="143"/>
      <c r="AA22" s="149"/>
      <c r="AB22" s="149"/>
      <c r="AC22" s="149"/>
      <c r="AD22" s="149"/>
      <c r="AE22" s="149"/>
      <c r="AF22" s="149"/>
      <c r="AG22" s="149"/>
      <c r="AH22" s="149"/>
      <c r="AI22" s="149"/>
      <c r="AJ22" s="149"/>
      <c r="AK22" s="149"/>
      <c r="AL22" s="1073"/>
      <c r="AM22" s="149"/>
      <c r="AN22" s="149"/>
      <c r="AO22" s="149"/>
      <c r="AP22" s="149"/>
      <c r="AQ22" s="149"/>
      <c r="AR22" s="149"/>
      <c r="AS22" s="149"/>
      <c r="AT22" s="149"/>
      <c r="AV22" s="223"/>
      <c r="AW22" s="223"/>
      <c r="AX22" s="223"/>
    </row>
    <row r="23" spans="1:50" s="117" customFormat="1" hidden="1" outlineLevel="1">
      <c r="A23" s="95"/>
      <c r="B23" s="155" t="str">
        <f>"Summary Metrics considering the most comparable companies " &amp; B12&amp; " and "&amp;B13</f>
        <v>Summary Metrics considering the most comparable companies DaVita Inc. and NxStage Medical, Inc.</v>
      </c>
      <c r="C23" s="116"/>
      <c r="D23" s="116"/>
      <c r="E23" s="782"/>
      <c r="F23" s="782"/>
      <c r="G23" s="782"/>
      <c r="H23" s="782"/>
      <c r="I23" s="782"/>
      <c r="J23" s="879"/>
      <c r="K23" s="879"/>
      <c r="L23" s="879"/>
      <c r="M23" s="879"/>
      <c r="N23" s="879"/>
      <c r="O23" s="879"/>
      <c r="P23" s="879"/>
      <c r="Q23" s="879"/>
      <c r="R23" s="879"/>
      <c r="S23" s="879"/>
      <c r="T23" s="879"/>
      <c r="U23" s="879"/>
      <c r="V23" s="879"/>
      <c r="W23" s="782"/>
      <c r="X23" s="782"/>
      <c r="Y23" s="782"/>
      <c r="Z23" s="116"/>
      <c r="AA23" s="116"/>
      <c r="AB23" s="116"/>
      <c r="AC23" s="116"/>
      <c r="AD23" s="116"/>
      <c r="AE23" s="116"/>
      <c r="AF23" s="116"/>
      <c r="AG23" s="116"/>
      <c r="AH23" s="116"/>
      <c r="AI23" s="116"/>
      <c r="AJ23" s="116"/>
      <c r="AK23" s="116"/>
      <c r="AL23" s="1075"/>
      <c r="AM23" s="116"/>
      <c r="AN23" s="116"/>
      <c r="AO23" s="116"/>
      <c r="AP23" s="116"/>
      <c r="AQ23" s="156"/>
      <c r="AR23" s="156"/>
      <c r="AS23" s="156"/>
      <c r="AT23" s="156"/>
      <c r="AV23" s="116"/>
      <c r="AW23" s="116"/>
      <c r="AX23" s="116"/>
    </row>
    <row r="24" spans="1:50" s="117" customFormat="1" hidden="1" outlineLevel="1">
      <c r="A24" s="95"/>
      <c r="B24" s="134" t="s">
        <v>81</v>
      </c>
      <c r="C24" s="135"/>
      <c r="D24" s="135"/>
      <c r="E24" s="882">
        <f>IF(IF(ISERROR(MIN(E12:E13)),"n/a",MIN(E12:E13))&lt;=0,"n/a",MIN(E12:E13))</f>
        <v>13.305999999999999</v>
      </c>
      <c r="F24" s="882">
        <f>IF(IF(ISERROR(MIN(F12:F13)),"n/a",MIN(F12:F13))&lt;=0,"n/a",MIN(F12:F13))</f>
        <v>81.944000000000003</v>
      </c>
      <c r="G24" s="882"/>
      <c r="H24" s="882">
        <f>IF(IF(ISERROR(MIN(H12:H13)),"n/a",MIN(H12:H13))&lt;=0,"n/a",MIN(H12:H13))</f>
        <v>1908.5158278000001</v>
      </c>
      <c r="I24" s="882">
        <f>IF(IF(ISERROR(MIN(I12:I13)),"n/a",MIN(I12:I13))&lt;=0,"n/a",MIN(I12:I13))</f>
        <v>1839.8778278000002</v>
      </c>
      <c r="J24" s="882"/>
      <c r="K24" s="882"/>
      <c r="L24" s="882"/>
      <c r="M24" s="882"/>
      <c r="N24" s="882"/>
      <c r="O24" s="882"/>
      <c r="P24" s="882"/>
      <c r="Q24" s="882"/>
      <c r="R24" s="882"/>
      <c r="S24" s="882"/>
      <c r="T24" s="882"/>
      <c r="U24" s="882"/>
      <c r="V24" s="882"/>
      <c r="W24" s="882">
        <f>IF(IF(ISERROR(MIN(W12:W13)),"n/a",MIN(W12:W13))&lt;=0,"n/a",MIN(W12:W13))</f>
        <v>567.43200000000002</v>
      </c>
      <c r="X24" s="882">
        <f>IF(IF(ISERROR(MIN(X12:X13)),"n/a",MIN(X12:X13))&lt;=0,"n/a",MIN(X12:X13))</f>
        <v>95.962000000000003</v>
      </c>
      <c r="Y24" s="883">
        <f>IF(IF(ISERROR(MIN(Y12:Y13)),"n/a",MIN(Y12:Y13))&lt;=0,"n/a",MIN(Y12:Y13))</f>
        <v>30.167000000000002</v>
      </c>
      <c r="Z24" s="143"/>
      <c r="AA24" s="219">
        <f>IF(IF(ISERROR(MIN(AA12:AA13)),"n/a",MIN(AA12:AA13))&lt;=0,"n/a",MIN(AA12:AA13))</f>
        <v>0.67150639471698104</v>
      </c>
      <c r="AB24" s="219">
        <f>IF(IF(ISERROR(MIN(AB12:AB13)),"n/a",MIN(AB12:AB13))&lt;=0,"n/a",MIN(AB12:AB13))</f>
        <v>3.7146186757239241</v>
      </c>
      <c r="AC24" s="219">
        <f>IF(IF(ISERROR(MIN(AC12:AC13)),"n/a",MIN(AC12:AC13))&lt;=0,"n/a",MIN(AC12:AC13))</f>
        <v>5.0322923031784841</v>
      </c>
      <c r="AD24" s="219"/>
      <c r="AE24" s="219"/>
      <c r="AF24" s="219"/>
      <c r="AG24" s="219"/>
      <c r="AH24" s="219"/>
      <c r="AI24" s="219"/>
      <c r="AJ24" s="219"/>
      <c r="AK24" s="219"/>
      <c r="AL24" s="1072"/>
      <c r="AM24" s="219"/>
      <c r="AN24" s="219"/>
      <c r="AO24" s="219"/>
      <c r="AP24" s="219"/>
      <c r="AQ24" s="219">
        <f>IF(IF(ISERROR(MIN(AQ12:AQ13)),"n/a",MIN(AQ12:AQ13))&lt;=0,"n/a",MIN(AQ12:AQ13))</f>
        <v>1.4403096966037734</v>
      </c>
      <c r="AR24" s="219">
        <f>IF(IF(ISERROR(MIN(AR12:AR13)),"n/a",MIN(AR12:AR13))&lt;=0,"n/a",MIN(AR12:AR13))</f>
        <v>7.9674614269095354</v>
      </c>
      <c r="AS24" s="526">
        <f>IF(IF(ISERROR(MIN(AS12:AS13)),"n/a",MIN(AS12:AS13))&lt;=0,"n/a",MIN(AS12:AS13))</f>
        <v>10.793731016466845</v>
      </c>
      <c r="AV24" s="95"/>
      <c r="AW24" s="95"/>
      <c r="AX24" s="95"/>
    </row>
    <row r="25" spans="1:50" s="117" customFormat="1" hidden="1" outlineLevel="1">
      <c r="A25" s="95"/>
      <c r="B25" s="140" t="s">
        <v>82</v>
      </c>
      <c r="C25" s="141"/>
      <c r="D25" s="141"/>
      <c r="E25" s="884">
        <f>IF(IF(ISERROR(MAX(E12:E13)),"n/a",MAX(E12:E13))&lt;=0,"n/a",MAX(E12:E13))</f>
        <v>10102.216</v>
      </c>
      <c r="F25" s="884">
        <f>IF(IF(ISERROR(MAX(F12:F13)),"n/a",MAX(F12:F13))&lt;=0,"n/a",MAX(F12:F13))</f>
        <v>323.03800000000001</v>
      </c>
      <c r="G25" s="884"/>
      <c r="H25" s="884">
        <f>IF(IF(ISERROR(MAX(H12:H13)),"n/a",MAX(H12:H13))&lt;=0,"n/a",MAX(H12:H13))</f>
        <v>8541.561340799999</v>
      </c>
      <c r="I25" s="884">
        <f>IF(IF(ISERROR(MAX(I12:I13)),"n/a",MAX(I12:I13))&lt;=0,"n/a",MAX(I12:I13))</f>
        <v>18320.739340799999</v>
      </c>
      <c r="J25" s="884"/>
      <c r="K25" s="884"/>
      <c r="L25" s="884"/>
      <c r="M25" s="884"/>
      <c r="N25" s="884"/>
      <c r="O25" s="884"/>
      <c r="P25" s="884"/>
      <c r="Q25" s="884"/>
      <c r="R25" s="884"/>
      <c r="S25" s="884"/>
      <c r="T25" s="884"/>
      <c r="U25" s="884"/>
      <c r="V25" s="884"/>
      <c r="W25" s="884">
        <f>IF(IF(ISERROR(MAX(W12:W13)),"n/a",MAX(W12:W13))&lt;=0,"n/a",MAX(W12:W13))</f>
        <v>12720</v>
      </c>
      <c r="X25" s="884">
        <f>IF(IF(ISERROR(MAX(X12:X13)),"n/a",MAX(X12:X13))&lt;=0,"n/a",MAX(X12:X13))</f>
        <v>2299.4450000000002</v>
      </c>
      <c r="Y25" s="885">
        <f>IF(IF(ISERROR(MAX(Y12:Y13)),"n/a",MAX(Y12:Y13))&lt;=0,"n/a",MAX(Y12:Y13))</f>
        <v>1697.35</v>
      </c>
      <c r="Z25" s="143"/>
      <c r="AA25" s="149">
        <f>IF(IF(ISERROR(MAX(AA12:AA13)),"n/a",MAX(AA12:AA13))&lt;=0,"n/a",MAX(AA12:AA13))</f>
        <v>3.3634265036162923</v>
      </c>
      <c r="AB25" s="149">
        <f>IF(IF(ISERROR(MAX(AB12:AB13)),"n/a",MAX(AB12:AB13))&lt;=0,"n/a",MAX(AB12:AB13))</f>
        <v>19.888245636814574</v>
      </c>
      <c r="AC25" s="149">
        <f>IF(IF(ISERROR(MAX(AC12:AC13)),"n/a",MAX(AC12:AC13))&lt;=0,"n/a",MAX(AC12:AC13))</f>
        <v>63.2650189876355</v>
      </c>
      <c r="AD25" s="149"/>
      <c r="AE25" s="149"/>
      <c r="AF25" s="149"/>
      <c r="AG25" s="149"/>
      <c r="AH25" s="149"/>
      <c r="AI25" s="149"/>
      <c r="AJ25" s="149"/>
      <c r="AK25" s="149"/>
      <c r="AL25" s="1073"/>
      <c r="AM25" s="149"/>
      <c r="AN25" s="149"/>
      <c r="AO25" s="149"/>
      <c r="AP25" s="149"/>
      <c r="AQ25" s="149">
        <f>IF(IF(ISERROR(MAX(AQ12:AQ13)),"n/a",MAX(AQ12:AQ13))&lt;=0,"n/a",MAX(AQ12:AQ13))</f>
        <v>3.2424639918087106</v>
      </c>
      <c r="AR25" s="149">
        <f>IF(IF(ISERROR(MAX(AR12:AR13)),"n/a",MAX(AR12:AR13))&lt;=0,"n/a",MAX(AR12:AR13))</f>
        <v>19.172983345490923</v>
      </c>
      <c r="AS25" s="150">
        <f>IF(IF(ISERROR(MAX(AS12:AS13)),"n/a",MAX(AS12:AS13))&lt;=0,"n/a",MAX(AS12:AS13))</f>
        <v>10.793731016466845</v>
      </c>
      <c r="AV25" s="95"/>
      <c r="AW25" s="95"/>
      <c r="AX25" s="95"/>
    </row>
    <row r="26" spans="1:50" s="117" customFormat="1" hidden="1" outlineLevel="1">
      <c r="A26" s="95"/>
      <c r="B26" s="140" t="s">
        <v>83</v>
      </c>
      <c r="C26" s="141"/>
      <c r="D26" s="141"/>
      <c r="E26" s="884">
        <f>IF(ISERROR(MEDIAN(E12:E13)),"n/a",MEDIAN(E12:E13))</f>
        <v>5057.7609999999995</v>
      </c>
      <c r="F26" s="884">
        <f>IF(ISERROR(MEDIAN(F12:F13)),"n/a",MEDIAN(F12:F13))</f>
        <v>202.49099999999999</v>
      </c>
      <c r="G26" s="884"/>
      <c r="H26" s="884">
        <f>IF(ISERROR(MEDIAN(H12:H13)),"n/a",MEDIAN(H12:H13))</f>
        <v>5225.0385842999995</v>
      </c>
      <c r="I26" s="884">
        <f>IF(ISERROR(MEDIAN(I12:I13)),"n/a",MEDIAN(I12:I13))</f>
        <v>10080.308584300001</v>
      </c>
      <c r="J26" s="884"/>
      <c r="K26" s="884"/>
      <c r="L26" s="884"/>
      <c r="M26" s="884"/>
      <c r="N26" s="884"/>
      <c r="O26" s="884"/>
      <c r="P26" s="884"/>
      <c r="Q26" s="884"/>
      <c r="R26" s="884"/>
      <c r="S26" s="884"/>
      <c r="T26" s="884"/>
      <c r="U26" s="884"/>
      <c r="V26" s="884"/>
      <c r="W26" s="884">
        <f>IF(ISERROR(MEDIAN(W12:W13)),"n/a",MEDIAN(W12:W13))</f>
        <v>6643.7159999999994</v>
      </c>
      <c r="X26" s="884">
        <f>IF(ISERROR(MEDIAN(X12:X13)),"n/a",MEDIAN(X12:X13))</f>
        <v>1197.7035000000001</v>
      </c>
      <c r="Y26" s="885">
        <f>IF(ISERROR(MEDIAN(Y12:Y13)),"n/a",MEDIAN(Y12:Y13))</f>
        <v>863.75850000000003</v>
      </c>
      <c r="Z26" s="143"/>
      <c r="AA26" s="149">
        <f>IF(ISERROR(MEDIAN(AA12:AA13)),"n/a",MEDIAN(AA12:AA13))</f>
        <v>2.017466449166637</v>
      </c>
      <c r="AB26" s="149">
        <f>IF(ISERROR(MEDIAN(AB12:AB13)),"n/a",MEDIAN(AB12:AB13))</f>
        <v>11.80143215626925</v>
      </c>
      <c r="AC26" s="149">
        <f>IF(ISERROR(MEDIAN(AC12:AC13)),"n/a",MEDIAN(AC12:AC13))</f>
        <v>34.14865564540699</v>
      </c>
      <c r="AD26" s="149"/>
      <c r="AE26" s="149"/>
      <c r="AF26" s="149"/>
      <c r="AG26" s="149"/>
      <c r="AH26" s="149"/>
      <c r="AI26" s="149"/>
      <c r="AJ26" s="149"/>
      <c r="AK26" s="149"/>
      <c r="AL26" s="1073"/>
      <c r="AM26" s="149"/>
      <c r="AN26" s="149"/>
      <c r="AO26" s="149"/>
      <c r="AP26" s="149"/>
      <c r="AQ26" s="149">
        <f>IF(ISERROR(MEDIAN(AQ12:AQ13)),"n/a",MEDIAN(AQ12:AQ13))</f>
        <v>2.3413868442062418</v>
      </c>
      <c r="AR26" s="149">
        <f>IF(ISERROR(MEDIAN(AR12:AR13)),"n/a",MEDIAN(AR12:AR13))</f>
        <v>13.570222386200228</v>
      </c>
      <c r="AS26" s="150">
        <f>IF(ISERROR(MEDIAN(AS12:AS13)),"n/a",MEDIAN(AS12:AS13))</f>
        <v>10.793731016466845</v>
      </c>
      <c r="AV26" s="95"/>
      <c r="AW26" s="95"/>
      <c r="AX26" s="95"/>
    </row>
    <row r="27" spans="1:50" s="117" customFormat="1" ht="15.95" hidden="1" customHeight="1" outlineLevel="1">
      <c r="A27" s="95"/>
      <c r="B27" s="151" t="s">
        <v>84</v>
      </c>
      <c r="C27" s="886"/>
      <c r="D27" s="886"/>
      <c r="E27" s="887">
        <f>IF(ISERROR(AVERAGE(E12:E13)),"n/a",AVERAGE(E12:E13))</f>
        <v>5057.7610000000004</v>
      </c>
      <c r="F27" s="887">
        <f>IF(ISERROR(AVERAGE(F12:F13)),"n/a",AVERAGE(F12:F13))</f>
        <v>202.49100000000001</v>
      </c>
      <c r="G27" s="887"/>
      <c r="H27" s="887">
        <f>IF(ISERROR(AVERAGE(H12:H13)),"n/a",AVERAGE(H12:H13))</f>
        <v>5225.0385842999995</v>
      </c>
      <c r="I27" s="887">
        <f>IF(ISERROR(AVERAGE(I12:I13)),"n/a",AVERAGE(I12:I13))</f>
        <v>10080.308584299999</v>
      </c>
      <c r="J27" s="887"/>
      <c r="K27" s="887"/>
      <c r="L27" s="887"/>
      <c r="M27" s="887"/>
      <c r="N27" s="887"/>
      <c r="O27" s="887"/>
      <c r="P27" s="887"/>
      <c r="Q27" s="887"/>
      <c r="R27" s="887"/>
      <c r="S27" s="887"/>
      <c r="T27" s="887"/>
      <c r="U27" s="887"/>
      <c r="V27" s="887"/>
      <c r="W27" s="887">
        <f>IF(ISERROR(AVERAGE(W12:W13)),"n/a",AVERAGE(W12:W13))</f>
        <v>6643.7160000000003</v>
      </c>
      <c r="X27" s="887">
        <f>IF(ISERROR(AVERAGE(X12:X13)),"n/a",AVERAGE(X12:X13))</f>
        <v>1197.7035000000001</v>
      </c>
      <c r="Y27" s="888">
        <f>IF(ISERROR(AVERAGE(Y12:Y13)),"n/a",AVERAGE(Y12:Y13))</f>
        <v>863.75849999999991</v>
      </c>
      <c r="Z27" s="143"/>
      <c r="AA27" s="220">
        <f>IF(ISERROR(AVERAGE(AA12:AA13)),"n/a",AVERAGE(AA12:AA13))</f>
        <v>2.0174664491666365</v>
      </c>
      <c r="AB27" s="220">
        <f>IF(ISERROR(AVERAGE(AB12:AB13)),"n/a",AVERAGE(AB12:AB13))</f>
        <v>11.801432156269248</v>
      </c>
      <c r="AC27" s="220">
        <f>IF(ISERROR(AVERAGE(AC12:AC13)),"n/a",AVERAGE(AC12:AC13))</f>
        <v>34.14865564540699</v>
      </c>
      <c r="AD27" s="944"/>
      <c r="AE27" s="944"/>
      <c r="AF27" s="944"/>
      <c r="AG27" s="944"/>
      <c r="AH27" s="944"/>
      <c r="AI27" s="944"/>
      <c r="AJ27" s="944"/>
      <c r="AK27" s="944"/>
      <c r="AL27" s="1074"/>
      <c r="AM27" s="944"/>
      <c r="AN27" s="944"/>
      <c r="AO27" s="944"/>
      <c r="AP27" s="944"/>
      <c r="AQ27" s="220">
        <f>IF(ISERROR(AVERAGE(AQ12:AQ13)),"n/a",AVERAGE(AQ12:AQ13))</f>
        <v>2.3413868442062418</v>
      </c>
      <c r="AR27" s="220">
        <f>IF(ISERROR(AVERAGE(AR12:AR13)),"n/a",AVERAGE(AR12:AR13))</f>
        <v>13.570222386200228</v>
      </c>
      <c r="AS27" s="527">
        <f>IF(ISERROR(AVERAGE(AS12:AS13)),"n/a",AVERAGE(AS12:AS13))</f>
        <v>10.793731016466845</v>
      </c>
      <c r="AV27" s="95"/>
      <c r="AW27" s="95"/>
      <c r="AX27" s="95"/>
    </row>
    <row r="28" spans="1:50" s="117" customFormat="1" collapsed="1">
      <c r="A28" s="95"/>
      <c r="B28" s="155"/>
      <c r="C28" s="116"/>
      <c r="D28" s="116"/>
      <c r="E28" s="116"/>
      <c r="F28" s="116"/>
      <c r="G28" s="116"/>
      <c r="H28" s="116"/>
      <c r="I28" s="116"/>
      <c r="J28" s="213"/>
      <c r="K28" s="213"/>
      <c r="L28" s="213"/>
      <c r="M28" s="213"/>
      <c r="N28" s="213"/>
      <c r="O28" s="213"/>
      <c r="P28" s="213"/>
      <c r="Q28" s="213"/>
      <c r="R28" s="213"/>
      <c r="S28" s="213"/>
      <c r="T28" s="213"/>
      <c r="U28" s="213"/>
      <c r="V28" s="213"/>
      <c r="W28" s="116"/>
      <c r="X28" s="116"/>
      <c r="Y28" s="116"/>
      <c r="Z28" s="116"/>
      <c r="AA28" s="116"/>
      <c r="AB28" s="116"/>
      <c r="AC28" s="116"/>
      <c r="AD28" s="116"/>
      <c r="AE28" s="116"/>
      <c r="AF28" s="116"/>
      <c r="AG28" s="116"/>
      <c r="AH28" s="116"/>
      <c r="AI28" s="116"/>
      <c r="AJ28" s="116"/>
      <c r="AK28" s="116"/>
      <c r="AL28" s="1075"/>
      <c r="AM28" s="116"/>
      <c r="AN28" s="116"/>
      <c r="AO28" s="116"/>
      <c r="AP28" s="116"/>
      <c r="AQ28" s="156"/>
      <c r="AR28" s="156"/>
      <c r="AS28" s="156"/>
      <c r="AV28" s="95"/>
      <c r="AW28" s="95"/>
      <c r="AX28" s="95"/>
    </row>
    <row r="29" spans="1:50" s="117" customFormat="1">
      <c r="A29" s="95"/>
      <c r="B29" s="155"/>
      <c r="C29" s="116"/>
      <c r="D29" s="116"/>
      <c r="E29" s="116"/>
      <c r="F29" s="116"/>
      <c r="G29" s="116"/>
      <c r="H29" s="116"/>
      <c r="I29" s="116"/>
      <c r="J29" s="213"/>
      <c r="K29" s="213"/>
      <c r="L29" s="213"/>
      <c r="M29" s="213"/>
      <c r="N29" s="213"/>
      <c r="O29" s="213"/>
      <c r="P29" s="213"/>
      <c r="Q29" s="213"/>
      <c r="R29" s="213"/>
      <c r="S29" s="213"/>
      <c r="T29" s="213"/>
      <c r="U29" s="213"/>
      <c r="V29" s="213"/>
      <c r="W29" s="116"/>
      <c r="X29" s="116"/>
      <c r="Y29" s="116"/>
      <c r="Z29" s="116"/>
      <c r="AA29" s="116"/>
      <c r="AB29" s="116"/>
      <c r="AC29" s="116"/>
      <c r="AD29" s="116"/>
      <c r="AE29" s="116"/>
      <c r="AF29" s="116"/>
      <c r="AG29" s="116"/>
      <c r="AH29" s="116"/>
      <c r="AI29" s="116"/>
      <c r="AJ29" s="116"/>
      <c r="AK29" s="116"/>
      <c r="AL29" s="1075"/>
      <c r="AM29" s="116"/>
      <c r="AN29" s="116"/>
      <c r="AO29" s="116"/>
      <c r="AP29" s="116"/>
      <c r="AQ29" s="156"/>
      <c r="AR29" s="156"/>
      <c r="AS29" s="156"/>
      <c r="AV29" s="95"/>
      <c r="AW29" s="95"/>
      <c r="AX29" s="95"/>
    </row>
    <row r="30" spans="1:50" s="117" customFormat="1">
      <c r="A30" s="95"/>
      <c r="B30" s="155"/>
      <c r="C30" s="116"/>
      <c r="D30" s="116"/>
      <c r="E30" s="116"/>
      <c r="F30" s="116"/>
      <c r="G30" s="116"/>
      <c r="H30" s="116"/>
      <c r="I30" s="116"/>
      <c r="J30" s="213"/>
      <c r="K30" s="213"/>
      <c r="L30" s="213"/>
      <c r="M30" s="213"/>
      <c r="N30" s="213"/>
      <c r="O30" s="213"/>
      <c r="P30" s="213"/>
      <c r="Q30" s="213"/>
      <c r="R30" s="213"/>
      <c r="S30" s="213"/>
      <c r="T30" s="213"/>
      <c r="U30" s="213"/>
      <c r="V30" s="213"/>
      <c r="W30" s="116"/>
      <c r="X30" s="116"/>
      <c r="Y30" s="116"/>
      <c r="Z30" s="116"/>
      <c r="AA30" s="116"/>
      <c r="AB30" s="116"/>
      <c r="AC30" s="116"/>
      <c r="AD30" s="116"/>
      <c r="AE30" s="116"/>
      <c r="AF30" s="116"/>
      <c r="AG30" s="116"/>
      <c r="AH30" s="116"/>
      <c r="AI30" s="116"/>
      <c r="AJ30" s="116"/>
      <c r="AK30" s="116"/>
      <c r="AL30" s="1075"/>
      <c r="AM30" s="116"/>
      <c r="AN30" s="116"/>
      <c r="AO30" s="116"/>
      <c r="AP30" s="116"/>
      <c r="AQ30" s="156"/>
      <c r="AR30" s="156"/>
      <c r="AS30" s="156"/>
      <c r="AV30" s="95"/>
      <c r="AW30" s="95"/>
      <c r="AX30" s="95"/>
    </row>
    <row r="31" spans="1:50" s="117" customFormat="1">
      <c r="A31" s="95"/>
      <c r="B31" s="155"/>
      <c r="C31" s="116"/>
      <c r="D31" s="116"/>
      <c r="E31" s="116"/>
      <c r="F31" s="116"/>
      <c r="G31" s="116"/>
      <c r="H31" s="116"/>
      <c r="I31" s="116"/>
      <c r="J31" s="213"/>
      <c r="K31" s="213"/>
      <c r="L31" s="213"/>
      <c r="M31" s="213"/>
      <c r="N31" s="213"/>
      <c r="O31" s="213"/>
      <c r="P31" s="213"/>
      <c r="Q31" s="213"/>
      <c r="R31" s="213"/>
      <c r="S31" s="213"/>
      <c r="T31" s="213"/>
      <c r="U31" s="213"/>
      <c r="V31" s="213"/>
      <c r="W31" s="116"/>
      <c r="X31" s="116"/>
      <c r="Y31" s="116"/>
      <c r="Z31" s="116"/>
      <c r="AA31" s="116"/>
      <c r="AB31" s="116"/>
      <c r="AC31" s="116"/>
      <c r="AD31" s="116"/>
      <c r="AE31" s="116"/>
      <c r="AF31" s="116"/>
      <c r="AG31" s="116"/>
      <c r="AH31" s="116"/>
      <c r="AI31" s="116"/>
      <c r="AJ31" s="116"/>
      <c r="AK31" s="116"/>
      <c r="AL31" s="1075"/>
      <c r="AM31" s="116"/>
      <c r="AN31" s="116"/>
      <c r="AO31" s="116"/>
      <c r="AP31" s="116"/>
      <c r="AQ31" s="156"/>
      <c r="AR31" s="156"/>
      <c r="AS31" s="156"/>
      <c r="AV31" s="95"/>
      <c r="AW31" s="95"/>
      <c r="AX31" s="95"/>
    </row>
    <row r="32" spans="1:50" s="117" customFormat="1">
      <c r="A32" s="95"/>
      <c r="B32" s="157"/>
      <c r="C32" s="157"/>
      <c r="D32" s="157"/>
      <c r="E32" s="95"/>
      <c r="F32" s="95"/>
      <c r="G32" s="95"/>
      <c r="H32" s="95"/>
      <c r="I32" s="95"/>
      <c r="J32" s="213"/>
      <c r="K32" s="213"/>
      <c r="L32" s="213"/>
      <c r="M32" s="213"/>
      <c r="N32" s="213"/>
      <c r="O32" s="213"/>
      <c r="P32" s="213"/>
      <c r="Q32" s="213"/>
      <c r="R32" s="213"/>
      <c r="S32" s="213"/>
      <c r="T32" s="213"/>
      <c r="U32" s="213"/>
      <c r="V32" s="213"/>
      <c r="W32" s="95"/>
      <c r="X32" s="95"/>
      <c r="Y32" s="95"/>
      <c r="Z32" s="95"/>
      <c r="AA32" s="95"/>
      <c r="AB32" s="95"/>
      <c r="AC32" s="95"/>
      <c r="AD32" s="95"/>
      <c r="AE32" s="95"/>
      <c r="AF32" s="95"/>
      <c r="AG32" s="95"/>
      <c r="AH32" s="95"/>
      <c r="AI32" s="95"/>
      <c r="AJ32" s="95"/>
      <c r="AK32" s="95"/>
      <c r="AL32" s="1068"/>
      <c r="AM32" s="95"/>
      <c r="AN32" s="95"/>
      <c r="AO32" s="95"/>
      <c r="AP32" s="95"/>
      <c r="AQ32" s="158"/>
      <c r="AR32" s="158"/>
      <c r="AS32" s="158"/>
      <c r="AU32" s="95"/>
      <c r="AV32" s="95"/>
      <c r="AW32" s="95"/>
    </row>
    <row r="33" spans="1:49" s="117" customFormat="1">
      <c r="A33" s="95"/>
      <c r="B33" s="95"/>
      <c r="C33" s="95"/>
      <c r="D33" s="95"/>
      <c r="E33" s="159"/>
      <c r="F33" s="159"/>
      <c r="G33" s="159"/>
      <c r="H33" s="159"/>
      <c r="I33" s="159"/>
      <c r="J33" s="213"/>
      <c r="K33" s="213"/>
      <c r="L33" s="213"/>
      <c r="M33" s="213"/>
      <c r="N33" s="213"/>
      <c r="O33" s="213"/>
      <c r="P33" s="213"/>
      <c r="Q33" s="213"/>
      <c r="R33" s="213"/>
      <c r="S33" s="213"/>
      <c r="T33" s="213"/>
      <c r="U33" s="213"/>
      <c r="V33" s="213"/>
      <c r="W33" s="159"/>
      <c r="X33" s="159"/>
      <c r="Y33" s="159"/>
      <c r="Z33" s="159"/>
      <c r="AA33" s="159"/>
      <c r="AB33" s="159"/>
      <c r="AC33" s="159"/>
      <c r="AD33" s="159"/>
      <c r="AE33" s="159"/>
      <c r="AF33" s="159"/>
      <c r="AG33" s="159"/>
      <c r="AH33" s="159"/>
      <c r="AI33" s="159"/>
      <c r="AJ33" s="159"/>
      <c r="AK33" s="159"/>
      <c r="AL33" s="1076"/>
      <c r="AM33" s="159"/>
      <c r="AN33" s="159"/>
      <c r="AO33" s="159"/>
      <c r="AP33" s="159"/>
      <c r="AQ33" s="161"/>
      <c r="AR33" s="161"/>
      <c r="AS33" s="161"/>
      <c r="AT33" s="160"/>
      <c r="AU33" s="159"/>
      <c r="AV33" s="159"/>
      <c r="AW33" s="159"/>
    </row>
    <row r="34" spans="1:49" s="117" customFormat="1">
      <c r="A34" s="116"/>
      <c r="B34" s="95"/>
      <c r="C34" s="95"/>
      <c r="D34" s="95"/>
      <c r="E34" s="95"/>
      <c r="H34" s="95"/>
      <c r="I34" s="95"/>
      <c r="J34" s="213"/>
      <c r="K34" s="213"/>
      <c r="L34" s="213"/>
      <c r="M34" s="213"/>
      <c r="N34" s="213"/>
      <c r="O34" s="213"/>
      <c r="P34" s="213"/>
      <c r="Q34" s="213"/>
      <c r="R34" s="213"/>
      <c r="S34" s="213"/>
      <c r="T34" s="213"/>
      <c r="U34" s="213"/>
      <c r="V34" s="213"/>
      <c r="W34" s="95"/>
      <c r="X34" s="95"/>
      <c r="Y34" s="95"/>
      <c r="Z34" s="95"/>
      <c r="AA34" s="95">
        <v>12.26</v>
      </c>
      <c r="AB34" s="95"/>
      <c r="AC34" s="95">
        <v>1.3480000000000001</v>
      </c>
      <c r="AD34" s="95"/>
      <c r="AE34" s="95"/>
      <c r="AF34" s="95"/>
      <c r="AG34" s="95"/>
      <c r="AH34" s="95"/>
      <c r="AI34" s="95"/>
      <c r="AJ34" s="95"/>
      <c r="AK34" s="95"/>
      <c r="AL34" s="1068"/>
      <c r="AM34" s="95"/>
      <c r="AN34" s="95"/>
      <c r="AO34" s="95"/>
      <c r="AP34" s="95"/>
      <c r="AQ34" s="162">
        <f>AA34</f>
        <v>12.26</v>
      </c>
      <c r="AR34" s="162"/>
      <c r="AS34" s="162">
        <f>AC34</f>
        <v>1.3480000000000001</v>
      </c>
      <c r="AU34" s="95"/>
      <c r="AV34" s="95"/>
      <c r="AW34" s="95"/>
    </row>
    <row r="35" spans="1:49" s="117" customFormat="1">
      <c r="B35" s="131"/>
      <c r="C35" s="131"/>
      <c r="D35" s="131"/>
      <c r="E35" s="163"/>
      <c r="F35" s="163"/>
      <c r="G35" s="163"/>
      <c r="H35" s="163"/>
      <c r="I35" s="163"/>
      <c r="J35" s="213"/>
      <c r="K35" s="213"/>
      <c r="L35" s="213"/>
      <c r="M35" s="213"/>
      <c r="N35" s="213"/>
      <c r="O35" s="213"/>
      <c r="P35" s="213"/>
      <c r="Q35" s="213"/>
      <c r="R35" s="213"/>
      <c r="S35" s="213"/>
      <c r="T35" s="213"/>
      <c r="U35" s="213"/>
      <c r="V35" s="213"/>
      <c r="W35" s="163"/>
      <c r="X35" s="163"/>
      <c r="Y35" s="163"/>
      <c r="Z35" s="163"/>
      <c r="AA35" s="163">
        <f>AA$34*AA19</f>
        <v>14.749322466099063</v>
      </c>
      <c r="AB35" s="163"/>
      <c r="AC35" s="163">
        <f>AC$34*AC19</f>
        <v>26.840095804221939</v>
      </c>
      <c r="AD35" s="95"/>
      <c r="AE35" s="95"/>
      <c r="AF35" s="95"/>
      <c r="AG35" s="95"/>
      <c r="AH35" s="95"/>
      <c r="AI35" s="95"/>
      <c r="AJ35" s="95"/>
      <c r="AK35" s="95"/>
      <c r="AL35" s="1068"/>
      <c r="AM35" s="95"/>
      <c r="AN35" s="95"/>
      <c r="AO35" s="95"/>
      <c r="AP35" s="95"/>
      <c r="AQ35" s="163">
        <f>AQ$34*AQ19</f>
        <v>19.383168292097608</v>
      </c>
      <c r="AR35" s="163"/>
      <c r="AS35" s="163">
        <f>AS$34*AS19</f>
        <v>12.339797811906577</v>
      </c>
      <c r="AT35" s="215"/>
      <c r="AU35" s="163"/>
      <c r="AV35" s="163"/>
      <c r="AW35" s="163"/>
    </row>
    <row r="36" spans="1:49" s="117" customFormat="1">
      <c r="B36" s="131"/>
      <c r="C36" s="131"/>
      <c r="D36" s="131"/>
      <c r="E36" s="163"/>
      <c r="F36" s="163"/>
      <c r="G36" s="163"/>
      <c r="H36" s="163"/>
      <c r="I36" s="163"/>
      <c r="J36" s="213"/>
      <c r="K36" s="213"/>
      <c r="L36" s="213"/>
      <c r="M36" s="213"/>
      <c r="N36" s="213"/>
      <c r="O36" s="213"/>
      <c r="P36" s="213"/>
      <c r="Q36" s="213"/>
      <c r="R36" s="213"/>
      <c r="S36" s="213"/>
      <c r="T36" s="213"/>
      <c r="U36" s="213"/>
      <c r="V36" s="213"/>
      <c r="W36" s="163"/>
      <c r="X36" s="163"/>
      <c r="Y36" s="163"/>
      <c r="Z36" s="163"/>
      <c r="AA36" s="163">
        <f>AA$34*AA23</f>
        <v>0</v>
      </c>
      <c r="AB36" s="163"/>
      <c r="AC36" s="163">
        <f>AC$34*AC23</f>
        <v>0</v>
      </c>
      <c r="AD36" s="95"/>
      <c r="AE36" s="95"/>
      <c r="AF36" s="95"/>
      <c r="AG36" s="95"/>
      <c r="AH36" s="95"/>
      <c r="AI36" s="95"/>
      <c r="AJ36" s="95"/>
      <c r="AK36" s="95"/>
      <c r="AL36" s="1068"/>
      <c r="AM36" s="95"/>
      <c r="AN36" s="95"/>
      <c r="AO36" s="95"/>
      <c r="AP36" s="95"/>
      <c r="AQ36" s="163">
        <f>AQ$34*AQ23</f>
        <v>0</v>
      </c>
      <c r="AR36" s="163"/>
      <c r="AS36" s="163">
        <f>AS$34*AS23</f>
        <v>0</v>
      </c>
      <c r="AU36" s="163"/>
      <c r="AV36" s="163"/>
      <c r="AW36" s="163"/>
    </row>
    <row r="37" spans="1:49" s="117" customFormat="1">
      <c r="B37" s="131"/>
      <c r="C37" s="131"/>
      <c r="D37" s="131"/>
      <c r="E37" s="163"/>
      <c r="F37" s="163"/>
      <c r="G37" s="163"/>
      <c r="H37" s="163"/>
      <c r="I37" s="163"/>
      <c r="J37" s="163"/>
      <c r="K37" s="163"/>
      <c r="L37" s="1216">
        <f t="shared" ref="L37:M41" si="14">L10/$K10</f>
        <v>0.17406890090921087</v>
      </c>
      <c r="M37" s="1216">
        <f t="shared" si="14"/>
        <v>0.13026322278566041</v>
      </c>
      <c r="N37" s="163"/>
      <c r="O37" s="1221">
        <f>O10/K10-1</f>
        <v>-7.6738436697105561E-2</v>
      </c>
      <c r="P37" s="1216">
        <f t="shared" ref="P37:Q41" si="15">P10/$O10</f>
        <v>0.18417932955608579</v>
      </c>
      <c r="Q37" s="1216">
        <f t="shared" si="15"/>
        <v>0.14184088245408952</v>
      </c>
      <c r="R37" s="163"/>
      <c r="S37" s="1221">
        <f>S10/O10-1</f>
        <v>0.11983179440467562</v>
      </c>
      <c r="T37" s="1216">
        <f t="shared" ref="T37:U41" si="16">T10/$S10</f>
        <v>0.1888844949431675</v>
      </c>
      <c r="U37" s="1216">
        <f t="shared" si="16"/>
        <v>0.14255084783922528</v>
      </c>
      <c r="V37" s="163"/>
      <c r="W37" s="1221">
        <f>W10/S10-1</f>
        <v>5.9136851056165396E-2</v>
      </c>
      <c r="X37" s="1216">
        <f t="shared" ref="X37:Y41" si="17">IFERROR(X10/$W10,"n/a")</f>
        <v>0.19073996026541046</v>
      </c>
      <c r="Y37" s="1216">
        <f t="shared" si="17"/>
        <v>0.14420817371447939</v>
      </c>
      <c r="Z37" s="163"/>
      <c r="AA37" s="163"/>
      <c r="AB37" s="163"/>
      <c r="AC37" s="163"/>
      <c r="AD37" s="163"/>
      <c r="AE37" s="163"/>
      <c r="AF37" s="163"/>
      <c r="AG37" s="163"/>
      <c r="AH37" s="163"/>
      <c r="AI37" s="163"/>
      <c r="AJ37" s="163"/>
      <c r="AK37" s="163"/>
      <c r="AL37" s="1077"/>
      <c r="AM37" s="163"/>
      <c r="AN37" s="163"/>
      <c r="AO37" s="163"/>
      <c r="AP37" s="163"/>
      <c r="AQ37" s="164"/>
      <c r="AR37" s="164"/>
      <c r="AS37" s="164"/>
      <c r="AU37" s="163"/>
      <c r="AV37" s="163"/>
      <c r="AW37" s="163"/>
    </row>
    <row r="38" spans="1:49" s="117" customFormat="1">
      <c r="B38" s="131"/>
      <c r="C38" s="131"/>
      <c r="D38" s="131"/>
      <c r="E38" s="163"/>
      <c r="F38" s="163"/>
      <c r="G38" s="163"/>
      <c r="H38" s="163"/>
      <c r="I38" s="163"/>
      <c r="J38" s="163"/>
      <c r="K38" s="163"/>
      <c r="L38" s="1216">
        <f t="shared" si="14"/>
        <v>0.16883388004465791</v>
      </c>
      <c r="M38" s="1216">
        <f t="shared" si="14"/>
        <v>0.12928720561091164</v>
      </c>
      <c r="N38" s="163"/>
      <c r="O38" s="1221">
        <f>O11/K11-1</f>
        <v>-0.18962325562008386</v>
      </c>
      <c r="P38" s="1216">
        <f t="shared" si="15"/>
        <v>0.18390960591405212</v>
      </c>
      <c r="Q38" s="1216">
        <f t="shared" si="15"/>
        <v>0.14485426360533774</v>
      </c>
      <c r="R38" s="163"/>
      <c r="S38" s="1221">
        <f>S11/O11-1</f>
        <v>0.28533361899271825</v>
      </c>
      <c r="T38" s="1216">
        <f t="shared" si="16"/>
        <v>0.17878025350395813</v>
      </c>
      <c r="U38" s="1216">
        <f t="shared" si="16"/>
        <v>0.13540435987175536</v>
      </c>
      <c r="V38" s="163"/>
      <c r="W38" s="1221">
        <f>W11/S11-1</f>
        <v>4.9391613345135088E-2</v>
      </c>
      <c r="X38" s="1216">
        <f t="shared" si="17"/>
        <v>0.18057298781923878</v>
      </c>
      <c r="Y38" s="1216">
        <f t="shared" si="17"/>
        <v>0.13642564814277039</v>
      </c>
      <c r="Z38" s="163"/>
      <c r="AA38" s="163"/>
      <c r="AB38" s="163"/>
      <c r="AC38" s="163"/>
      <c r="AD38" s="163"/>
      <c r="AE38" s="163"/>
      <c r="AF38" s="163"/>
      <c r="AG38" s="163"/>
      <c r="AH38" s="163"/>
      <c r="AI38" s="163"/>
      <c r="AJ38" s="163"/>
      <c r="AK38" s="163"/>
      <c r="AL38" s="1077"/>
      <c r="AM38" s="163"/>
      <c r="AN38" s="163"/>
      <c r="AO38" s="163"/>
      <c r="AP38" s="163"/>
      <c r="AQ38" s="164"/>
      <c r="AR38" s="164"/>
      <c r="AS38" s="164"/>
      <c r="AU38" s="163"/>
      <c r="AV38" s="163"/>
      <c r="AW38" s="163"/>
    </row>
    <row r="39" spans="1:49" s="117" customFormat="1">
      <c r="B39" s="131"/>
      <c r="C39" s="131"/>
      <c r="D39" s="753"/>
      <c r="E39" s="753"/>
      <c r="F39" s="753"/>
      <c r="G39" s="163"/>
      <c r="H39" s="163"/>
      <c r="I39" s="163"/>
      <c r="J39" s="163"/>
      <c r="K39" s="163"/>
      <c r="L39" s="1216">
        <f t="shared" si="14"/>
        <v>0.18233968337783121</v>
      </c>
      <c r="M39" s="1216">
        <f t="shared" si="14"/>
        <v>0.13057564695735274</v>
      </c>
      <c r="N39" s="163"/>
      <c r="O39" s="1221">
        <f>O12/K12-1</f>
        <v>-6.2771777204840618E-2</v>
      </c>
      <c r="P39" s="1216">
        <f t="shared" si="15"/>
        <v>0.22456405744690197</v>
      </c>
      <c r="Q39" s="1216">
        <f t="shared" si="15"/>
        <v>0.15724598183023411</v>
      </c>
      <c r="R39" s="163"/>
      <c r="S39" s="1221">
        <f>S12/O12-1</f>
        <v>0.12506723393035934</v>
      </c>
      <c r="T39" s="1216">
        <f t="shared" si="16"/>
        <v>0.18609741038339966</v>
      </c>
      <c r="U39" s="1216">
        <f t="shared" si="16"/>
        <v>0.13603709064822062</v>
      </c>
      <c r="V39" s="163"/>
      <c r="W39" s="1221">
        <f>W12/S12-1</f>
        <v>5.7050576081469906E-2</v>
      </c>
      <c r="X39" s="1216">
        <f t="shared" si="17"/>
        <v>0.1807739779874214</v>
      </c>
      <c r="Y39" s="1216">
        <f t="shared" si="17"/>
        <v>0.13343946540880502</v>
      </c>
      <c r="Z39" s="163"/>
      <c r="AA39" s="163"/>
      <c r="AB39" s="163"/>
      <c r="AC39" s="163"/>
      <c r="AD39" s="163"/>
      <c r="AE39" s="163"/>
      <c r="AF39" s="163"/>
      <c r="AG39" s="163"/>
      <c r="AH39" s="163"/>
      <c r="AI39" s="163"/>
      <c r="AJ39" s="163"/>
      <c r="AK39" s="163"/>
      <c r="AL39" s="1077"/>
      <c r="AM39" s="163"/>
      <c r="AN39" s="163"/>
      <c r="AO39" s="163"/>
      <c r="AP39" s="163"/>
      <c r="AQ39" s="164"/>
      <c r="AR39" s="164"/>
      <c r="AS39" s="164"/>
      <c r="AU39" s="163"/>
      <c r="AV39" s="163"/>
      <c r="AW39" s="163"/>
    </row>
    <row r="40" spans="1:49" s="117" customFormat="1">
      <c r="B40" s="131"/>
      <c r="C40" s="131"/>
      <c r="D40" s="131"/>
      <c r="E40" s="163"/>
      <c r="F40" s="163"/>
      <c r="G40" s="163"/>
      <c r="H40" s="163"/>
      <c r="I40" s="163"/>
      <c r="J40" s="163"/>
      <c r="K40" s="163"/>
      <c r="L40" s="1216">
        <f t="shared" si="14"/>
        <v>5.0881356648379901E-2</v>
      </c>
      <c r="M40" s="1216">
        <f t="shared" si="14"/>
        <v>3.7841175048299145E-3</v>
      </c>
      <c r="N40" s="163"/>
      <c r="O40" s="1221">
        <f>O13/K13-1</f>
        <v>-0.13993957618822939</v>
      </c>
      <c r="P40" s="1216">
        <f t="shared" si="15"/>
        <v>3.9991484204837627E-2</v>
      </c>
      <c r="Q40" s="1216">
        <f t="shared" si="15"/>
        <v>-1.0330860477430414E-2</v>
      </c>
      <c r="R40" s="163"/>
      <c r="S40" s="1221">
        <f>S13/O13-1</f>
        <v>0.34081331302643725</v>
      </c>
      <c r="T40" s="1216">
        <f t="shared" si="16"/>
        <v>0.1106882621586603</v>
      </c>
      <c r="U40" s="1216">
        <f t="shared" si="16"/>
        <v>3.8901198893829855E-2</v>
      </c>
      <c r="V40" s="163"/>
      <c r="W40" s="1221">
        <f>W13/S13-1</f>
        <v>0.15509079490966315</v>
      </c>
      <c r="X40" s="1216">
        <f t="shared" si="17"/>
        <v>0.16911629939798953</v>
      </c>
      <c r="Y40" s="1216">
        <f t="shared" si="17"/>
        <v>5.3164079572530276E-2</v>
      </c>
      <c r="Z40" s="163"/>
      <c r="AA40" s="163"/>
      <c r="AB40" s="163"/>
      <c r="AC40" s="163"/>
      <c r="AD40" s="163"/>
      <c r="AE40" s="163"/>
      <c r="AF40" s="163"/>
      <c r="AG40" s="163"/>
      <c r="AH40" s="163"/>
      <c r="AI40" s="163"/>
      <c r="AJ40" s="163"/>
      <c r="AK40" s="163"/>
      <c r="AL40" s="1077"/>
      <c r="AM40" s="163"/>
      <c r="AN40" s="163"/>
      <c r="AO40" s="163"/>
      <c r="AP40" s="163"/>
      <c r="AQ40" s="164"/>
      <c r="AR40" s="164"/>
      <c r="AS40" s="164"/>
      <c r="AU40" s="163"/>
      <c r="AV40" s="163"/>
      <c r="AW40" s="163"/>
    </row>
    <row r="41" spans="1:49" s="117" customFormat="1">
      <c r="B41" s="131"/>
      <c r="C41" s="131"/>
      <c r="D41" s="131"/>
      <c r="E41" s="163"/>
      <c r="F41" s="163"/>
      <c r="G41" s="163"/>
      <c r="H41" s="163"/>
      <c r="I41" s="163"/>
      <c r="J41" s="163"/>
      <c r="K41" s="163"/>
      <c r="L41" s="1216">
        <f t="shared" si="14"/>
        <v>0.21303229011547306</v>
      </c>
      <c r="M41" s="1216">
        <f t="shared" si="14"/>
        <v>0.16506637528189153</v>
      </c>
      <c r="N41" s="163"/>
      <c r="O41" s="1221">
        <f>O14/K14-1</f>
        <v>-8.2569896249236607E-2</v>
      </c>
      <c r="P41" s="1216">
        <f t="shared" si="15"/>
        <v>0.22852032698158226</v>
      </c>
      <c r="Q41" s="1216">
        <f t="shared" si="15"/>
        <v>0.18335696289647316</v>
      </c>
      <c r="R41" s="163"/>
      <c r="S41" s="1221">
        <f>S14/O14-1</f>
        <v>0.20866549207953922</v>
      </c>
      <c r="T41" s="1216">
        <f t="shared" si="16"/>
        <v>0.12327922380664685</v>
      </c>
      <c r="U41" s="1216">
        <f t="shared" si="16"/>
        <v>0.14934400406083531</v>
      </c>
      <c r="V41" s="163"/>
      <c r="W41" s="1221">
        <f>W14/S14-1</f>
        <v>8.6317578285566299E-2</v>
      </c>
      <c r="X41" s="1216">
        <f t="shared" si="17"/>
        <v>0.1218184957945634</v>
      </c>
      <c r="Y41" s="1216" t="str">
        <f t="shared" si="17"/>
        <v>n/a</v>
      </c>
      <c r="Z41" s="163"/>
      <c r="AA41" s="163"/>
      <c r="AB41" s="163"/>
      <c r="AC41" s="163"/>
      <c r="AD41" s="163"/>
      <c r="AE41" s="163"/>
      <c r="AF41" s="163"/>
      <c r="AG41" s="163"/>
      <c r="AH41" s="163"/>
      <c r="AI41" s="163"/>
      <c r="AJ41" s="163"/>
      <c r="AK41" s="163"/>
      <c r="AL41" s="1077"/>
      <c r="AM41" s="163"/>
      <c r="AN41" s="163"/>
      <c r="AO41" s="163"/>
      <c r="AP41" s="163"/>
      <c r="AQ41" s="164"/>
      <c r="AR41" s="164"/>
      <c r="AS41" s="164"/>
      <c r="AU41" s="163"/>
      <c r="AV41" s="163"/>
      <c r="AW41" s="163"/>
    </row>
    <row r="42" spans="1:49" s="117" customFormat="1">
      <c r="B42" s="131"/>
      <c r="C42" s="753"/>
      <c r="D42" s="753"/>
      <c r="E42" s="753"/>
      <c r="F42" s="753"/>
      <c r="G42" s="163"/>
      <c r="H42" s="163"/>
      <c r="I42" s="163"/>
      <c r="J42" s="163"/>
      <c r="K42" s="163"/>
      <c r="L42" s="163"/>
      <c r="M42" s="163"/>
      <c r="N42" s="163"/>
      <c r="O42" s="1222"/>
      <c r="P42" s="163"/>
      <c r="Q42" s="163"/>
      <c r="R42" s="163"/>
      <c r="S42" s="1222"/>
      <c r="T42" s="163"/>
      <c r="U42" s="163"/>
      <c r="V42" s="163"/>
      <c r="W42" s="1222"/>
      <c r="X42" s="163"/>
      <c r="Y42" s="163"/>
      <c r="Z42" s="163"/>
      <c r="AA42" s="163"/>
      <c r="AB42" s="163"/>
      <c r="AC42" s="163"/>
      <c r="AD42" s="163"/>
      <c r="AE42" s="163"/>
      <c r="AF42" s="163"/>
      <c r="AG42" s="163"/>
      <c r="AH42" s="163"/>
      <c r="AI42" s="163"/>
      <c r="AJ42" s="163"/>
      <c r="AK42" s="163"/>
      <c r="AL42" s="1077"/>
      <c r="AM42" s="163"/>
      <c r="AN42" s="163"/>
      <c r="AO42" s="163"/>
      <c r="AP42" s="163"/>
      <c r="AQ42" s="164"/>
      <c r="AR42" s="164"/>
      <c r="AS42" s="164"/>
      <c r="AU42" s="163"/>
      <c r="AV42" s="163"/>
      <c r="AW42" s="163"/>
    </row>
    <row r="43" spans="1:49" s="117" customFormat="1">
      <c r="B43" s="131"/>
      <c r="C43" s="131"/>
      <c r="D43" s="131"/>
      <c r="E43" s="163"/>
      <c r="F43" s="163"/>
      <c r="G43" s="163"/>
      <c r="H43" s="163"/>
      <c r="I43" s="163"/>
      <c r="J43" s="163"/>
      <c r="K43" s="163"/>
      <c r="L43" s="1217">
        <f>IF(IF(ISERROR(MIN(L37:L41)),"n/a",MIN(L37:L41))&lt;=0,"n/a",MIN(L37:L41))</f>
        <v>5.0881356648379901E-2</v>
      </c>
      <c r="M43" s="1217">
        <f t="shared" ref="M43:Y43" si="18">IF(IF(ISERROR(MIN(M37:M41)),"n/a",MIN(M37:M41))&lt;=0,"n/a",MIN(M37:M41))</f>
        <v>3.7841175048299145E-3</v>
      </c>
      <c r="N43" s="1217" t="str">
        <f t="shared" si="18"/>
        <v>n/a</v>
      </c>
      <c r="O43" s="1219" t="str">
        <f t="shared" si="18"/>
        <v>n/a</v>
      </c>
      <c r="P43" s="1217">
        <f t="shared" si="18"/>
        <v>3.9991484204837627E-2</v>
      </c>
      <c r="Q43" s="1217" t="str">
        <f t="shared" si="18"/>
        <v>n/a</v>
      </c>
      <c r="R43" s="1217" t="str">
        <f t="shared" si="18"/>
        <v>n/a</v>
      </c>
      <c r="S43" s="1219">
        <f t="shared" si="18"/>
        <v>0.11983179440467562</v>
      </c>
      <c r="T43" s="1217">
        <f t="shared" si="18"/>
        <v>0.1106882621586603</v>
      </c>
      <c r="U43" s="1217">
        <f t="shared" si="18"/>
        <v>3.8901198893829855E-2</v>
      </c>
      <c r="V43" s="1217" t="str">
        <f t="shared" si="18"/>
        <v>n/a</v>
      </c>
      <c r="W43" s="1219">
        <f t="shared" si="18"/>
        <v>4.9391613345135088E-2</v>
      </c>
      <c r="X43" s="1217">
        <f t="shared" si="18"/>
        <v>0.1218184957945634</v>
      </c>
      <c r="Y43" s="1217">
        <f t="shared" si="18"/>
        <v>5.3164079572530276E-2</v>
      </c>
      <c r="Z43" s="163"/>
      <c r="AA43" s="163"/>
      <c r="AB43" s="163"/>
      <c r="AC43" s="163"/>
      <c r="AD43" s="163"/>
      <c r="AE43" s="163"/>
      <c r="AF43" s="163"/>
      <c r="AG43" s="163"/>
      <c r="AH43" s="163"/>
      <c r="AI43" s="163"/>
      <c r="AJ43" s="163"/>
      <c r="AK43" s="163"/>
      <c r="AL43" s="1077"/>
      <c r="AM43" s="163"/>
      <c r="AN43" s="163"/>
      <c r="AO43" s="163"/>
      <c r="AP43" s="163"/>
      <c r="AQ43" s="164"/>
      <c r="AR43" s="164"/>
      <c r="AS43" s="164"/>
      <c r="AU43" s="163"/>
      <c r="AV43" s="163"/>
      <c r="AW43" s="163"/>
    </row>
    <row r="44" spans="1:49" s="117" customFormat="1">
      <c r="B44" s="131"/>
      <c r="C44" s="131"/>
      <c r="D44" s="131"/>
      <c r="E44" s="163"/>
      <c r="F44" s="163"/>
      <c r="G44" s="163"/>
      <c r="H44" s="163"/>
      <c r="I44" s="163"/>
      <c r="J44" s="163"/>
      <c r="K44" s="163"/>
      <c r="L44" s="1217">
        <f>IF(IF(ISERROR(MAX(L37:L41)),"n/a",MAX(L37:L41))&lt;=0,"n/a",MAX(L37:L41))</f>
        <v>0.21303229011547306</v>
      </c>
      <c r="M44" s="1217">
        <f t="shared" ref="M44:Y44" si="19">IF(IF(ISERROR(MAX(M37:M41)),"n/a",MAX(M37:M41))&lt;=0,"n/a",MAX(M37:M41))</f>
        <v>0.16506637528189153</v>
      </c>
      <c r="N44" s="1217" t="str">
        <f t="shared" si="19"/>
        <v>n/a</v>
      </c>
      <c r="O44" s="1219" t="str">
        <f t="shared" si="19"/>
        <v>n/a</v>
      </c>
      <c r="P44" s="1217">
        <f t="shared" si="19"/>
        <v>0.22852032698158226</v>
      </c>
      <c r="Q44" s="1217">
        <f t="shared" si="19"/>
        <v>0.18335696289647316</v>
      </c>
      <c r="R44" s="1217" t="str">
        <f t="shared" si="19"/>
        <v>n/a</v>
      </c>
      <c r="S44" s="1219">
        <f t="shared" si="19"/>
        <v>0.34081331302643725</v>
      </c>
      <c r="T44" s="1217">
        <f t="shared" si="19"/>
        <v>0.1888844949431675</v>
      </c>
      <c r="U44" s="1217">
        <f t="shared" si="19"/>
        <v>0.14934400406083531</v>
      </c>
      <c r="V44" s="1217" t="str">
        <f t="shared" si="19"/>
        <v>n/a</v>
      </c>
      <c r="W44" s="1219">
        <f t="shared" si="19"/>
        <v>0.15509079490966315</v>
      </c>
      <c r="X44" s="1217">
        <f t="shared" si="19"/>
        <v>0.19073996026541046</v>
      </c>
      <c r="Y44" s="1217">
        <f t="shared" si="19"/>
        <v>0.14420817371447939</v>
      </c>
      <c r="Z44" s="163"/>
      <c r="AA44" s="163"/>
      <c r="AB44" s="163"/>
      <c r="AC44" s="163"/>
      <c r="AD44" s="163"/>
      <c r="AE44" s="163"/>
      <c r="AF44" s="163"/>
      <c r="AG44" s="163"/>
      <c r="AH44" s="163"/>
      <c r="AI44" s="163"/>
      <c r="AJ44" s="163"/>
      <c r="AK44" s="163"/>
      <c r="AL44" s="1077"/>
      <c r="AM44" s="163"/>
      <c r="AN44" s="163"/>
      <c r="AO44" s="163"/>
      <c r="AP44" s="163"/>
      <c r="AQ44" s="164"/>
      <c r="AR44" s="164"/>
      <c r="AS44" s="164"/>
      <c r="AU44" s="163"/>
      <c r="AV44" s="163"/>
      <c r="AW44" s="163"/>
    </row>
    <row r="45" spans="1:49" s="117" customFormat="1">
      <c r="B45" s="131"/>
      <c r="C45" s="131"/>
      <c r="D45" s="131"/>
      <c r="E45" s="132"/>
      <c r="F45" s="132"/>
      <c r="G45" s="132"/>
      <c r="H45" s="132"/>
      <c r="I45" s="132"/>
      <c r="J45" s="132"/>
      <c r="K45" s="132"/>
      <c r="L45" s="1217">
        <f>IF(ISERROR(MEDIAN(L37:L41)),"n/a",MEDIAN(L37:L41))</f>
        <v>0.17406890090921087</v>
      </c>
      <c r="M45" s="1217">
        <f t="shared" ref="M45:Y45" si="20">IF(ISERROR(MEDIAN(M37:M41)),"n/a",MEDIAN(M37:M41))</f>
        <v>0.13026322278566041</v>
      </c>
      <c r="N45" s="1217" t="str">
        <f t="shared" si="20"/>
        <v>n/a</v>
      </c>
      <c r="O45" s="1219">
        <f t="shared" si="20"/>
        <v>-8.2569896249236607E-2</v>
      </c>
      <c r="P45" s="1217">
        <f t="shared" si="20"/>
        <v>0.18417932955608579</v>
      </c>
      <c r="Q45" s="1217">
        <f t="shared" si="20"/>
        <v>0.14485426360533774</v>
      </c>
      <c r="R45" s="1217" t="str">
        <f t="shared" si="20"/>
        <v>n/a</v>
      </c>
      <c r="S45" s="1219">
        <f t="shared" si="20"/>
        <v>0.20866549207953922</v>
      </c>
      <c r="T45" s="1217">
        <f t="shared" si="20"/>
        <v>0.17878025350395813</v>
      </c>
      <c r="U45" s="1217">
        <f t="shared" si="20"/>
        <v>0.13603709064822062</v>
      </c>
      <c r="V45" s="1217" t="str">
        <f t="shared" si="20"/>
        <v>n/a</v>
      </c>
      <c r="W45" s="1219">
        <f t="shared" si="20"/>
        <v>5.9136851056165396E-2</v>
      </c>
      <c r="X45" s="1217">
        <f t="shared" si="20"/>
        <v>0.18057298781923878</v>
      </c>
      <c r="Y45" s="1217">
        <f t="shared" si="20"/>
        <v>0.13493255677578769</v>
      </c>
      <c r="Z45" s="132"/>
      <c r="AA45" s="132"/>
      <c r="AB45" s="132"/>
      <c r="AC45" s="132"/>
      <c r="AD45" s="132"/>
      <c r="AE45" s="132"/>
      <c r="AF45" s="132"/>
      <c r="AG45" s="132"/>
      <c r="AH45" s="132"/>
      <c r="AI45" s="132"/>
      <c r="AJ45" s="132"/>
      <c r="AK45" s="132"/>
      <c r="AL45" s="1078"/>
      <c r="AM45" s="132"/>
      <c r="AN45" s="132"/>
      <c r="AO45" s="132"/>
      <c r="AP45" s="132"/>
      <c r="AQ45" s="165"/>
      <c r="AR45" s="165"/>
      <c r="AS45" s="165"/>
      <c r="AU45" s="132"/>
      <c r="AV45" s="132"/>
      <c r="AW45" s="132"/>
    </row>
    <row r="46" spans="1:49" s="117" customFormat="1">
      <c r="B46" s="166"/>
      <c r="C46" s="166"/>
      <c r="D46" s="166"/>
      <c r="E46" s="166"/>
      <c r="F46" s="166"/>
      <c r="G46" s="166"/>
      <c r="H46" s="166"/>
      <c r="I46" s="166"/>
      <c r="J46" s="166"/>
      <c r="K46" s="166"/>
      <c r="L46" s="1220">
        <f>IF(ISERROR(AVERAGE(L37:L41)),"n/a",AVERAGE(L37:L41))</f>
        <v>0.15783122221911058</v>
      </c>
      <c r="M46" s="1220">
        <f t="shared" ref="M46:Y46" si="21">IF(ISERROR(AVERAGE(M37:M41)),"n/a",AVERAGE(M37:M41))</f>
        <v>0.11179531362812925</v>
      </c>
      <c r="N46" s="1220" t="str">
        <f t="shared" si="21"/>
        <v>n/a</v>
      </c>
      <c r="O46" s="1218">
        <f t="shared" si="21"/>
        <v>-0.11032858839189921</v>
      </c>
      <c r="P46" s="1220">
        <f t="shared" si="21"/>
        <v>0.17223296082069198</v>
      </c>
      <c r="Q46" s="1220">
        <f t="shared" si="21"/>
        <v>0.12339344606174081</v>
      </c>
      <c r="R46" s="1220" t="str">
        <f t="shared" si="21"/>
        <v>n/a</v>
      </c>
      <c r="S46" s="1218">
        <f t="shared" si="21"/>
        <v>0.21594229048674593</v>
      </c>
      <c r="T46" s="1220">
        <f t="shared" si="21"/>
        <v>0.15754592895916647</v>
      </c>
      <c r="U46" s="1220">
        <f t="shared" si="21"/>
        <v>0.12044750026277329</v>
      </c>
      <c r="V46" s="1220" t="str">
        <f t="shared" si="21"/>
        <v>n/a</v>
      </c>
      <c r="W46" s="1218">
        <f t="shared" si="21"/>
        <v>8.1397482735599963E-2</v>
      </c>
      <c r="X46" s="1220">
        <f t="shared" si="21"/>
        <v>0.16860434425292473</v>
      </c>
      <c r="Y46" s="1220">
        <f t="shared" si="21"/>
        <v>0.11680934170964627</v>
      </c>
      <c r="Z46" s="166"/>
      <c r="AA46" s="166"/>
      <c r="AB46" s="166"/>
      <c r="AC46" s="166"/>
      <c r="AD46" s="166"/>
      <c r="AE46" s="166"/>
      <c r="AF46" s="166"/>
      <c r="AG46" s="166"/>
      <c r="AH46" s="166"/>
      <c r="AI46" s="166"/>
      <c r="AJ46" s="166"/>
      <c r="AK46" s="166"/>
      <c r="AL46" s="1079"/>
      <c r="AM46" s="166"/>
      <c r="AN46" s="166"/>
      <c r="AO46" s="166"/>
      <c r="AP46" s="166"/>
      <c r="AQ46" s="167"/>
      <c r="AR46" s="167"/>
      <c r="AS46" s="167"/>
      <c r="AU46" s="166"/>
      <c r="AV46" s="166"/>
      <c r="AW46" s="166"/>
    </row>
    <row r="47" spans="1:49" s="117" customFormat="1">
      <c r="A47" s="95"/>
      <c r="B47" s="166"/>
      <c r="C47" s="166"/>
      <c r="D47" s="166"/>
      <c r="E47" s="166"/>
      <c r="F47" s="166"/>
      <c r="G47" s="166"/>
      <c r="H47" s="166"/>
      <c r="I47" s="166"/>
      <c r="J47" s="166"/>
      <c r="K47" s="166"/>
      <c r="L47" s="1220">
        <f>IFERROR(QUARTILE(L38:L41,3),"n/a")</f>
        <v>0.19001283506224168</v>
      </c>
      <c r="M47" s="1220">
        <f t="shared" ref="M47:Y47" si="22">IFERROR(QUARTILE(M38:M41,3),"n/a")</f>
        <v>0.13919832903848744</v>
      </c>
      <c r="N47" s="1220" t="str">
        <f t="shared" si="22"/>
        <v>n/a</v>
      </c>
      <c r="O47" s="1218">
        <f t="shared" si="22"/>
        <v>-7.762036648813761E-2</v>
      </c>
      <c r="P47" s="1220">
        <f t="shared" si="22"/>
        <v>0.22555312483057205</v>
      </c>
      <c r="Q47" s="1220">
        <f t="shared" si="22"/>
        <v>0.16377372709679389</v>
      </c>
      <c r="R47" s="1220" t="str">
        <f t="shared" si="22"/>
        <v>n/a</v>
      </c>
      <c r="S47" s="1218">
        <f t="shared" si="22"/>
        <v>0.299203542501148</v>
      </c>
      <c r="T47" s="1220">
        <f t="shared" si="22"/>
        <v>0.18060954272381852</v>
      </c>
      <c r="U47" s="1220">
        <f t="shared" si="22"/>
        <v>0.13936381900137429</v>
      </c>
      <c r="V47" s="1220" t="str">
        <f t="shared" si="22"/>
        <v>n/a</v>
      </c>
      <c r="W47" s="1218">
        <f t="shared" si="22"/>
        <v>0.10351088244159051</v>
      </c>
      <c r="X47" s="1220">
        <f t="shared" si="22"/>
        <v>0.18062323536128444</v>
      </c>
      <c r="Y47" s="1220">
        <f t="shared" si="22"/>
        <v>0.13493255677578769</v>
      </c>
      <c r="Z47" s="166"/>
      <c r="AA47" s="166"/>
      <c r="AB47" s="166"/>
      <c r="AC47" s="166"/>
      <c r="AD47" s="166"/>
      <c r="AE47" s="166"/>
      <c r="AF47" s="166"/>
      <c r="AG47" s="166"/>
      <c r="AH47" s="166"/>
      <c r="AI47" s="166"/>
      <c r="AJ47" s="166"/>
      <c r="AK47" s="166"/>
      <c r="AL47" s="1079"/>
      <c r="AM47" s="166"/>
      <c r="AN47" s="166"/>
      <c r="AO47" s="166"/>
      <c r="AP47" s="166"/>
      <c r="AQ47" s="167"/>
      <c r="AR47" s="167"/>
      <c r="AS47" s="167"/>
      <c r="AU47" s="166"/>
      <c r="AV47" s="166"/>
      <c r="AW47" s="166"/>
    </row>
    <row r="48" spans="1:49" s="117" customFormat="1">
      <c r="A48" s="95"/>
      <c r="B48" s="166"/>
      <c r="C48" s="166"/>
      <c r="D48" s="166"/>
      <c r="E48" s="166"/>
      <c r="F48" s="166"/>
      <c r="G48" s="166"/>
      <c r="H48" s="166"/>
      <c r="I48" s="166"/>
      <c r="J48" s="166"/>
      <c r="K48" s="166"/>
      <c r="L48" s="1220">
        <f>IFERROR(QUARTILE(L38:L41,1),"n/a")</f>
        <v>0.1393457491955884</v>
      </c>
      <c r="M48" s="1220">
        <f t="shared" ref="M48:Y48" si="23">IFERROR(QUARTILE(M38:M41,1),"n/a")</f>
        <v>9.7911433584391222E-2</v>
      </c>
      <c r="N48" s="1220" t="str">
        <f t="shared" si="23"/>
        <v>n/a</v>
      </c>
      <c r="O48" s="1218">
        <f t="shared" si="23"/>
        <v>-0.15236049604619301</v>
      </c>
      <c r="P48" s="1220">
        <f t="shared" si="23"/>
        <v>0.14793007548674847</v>
      </c>
      <c r="Q48" s="1220">
        <f t="shared" si="23"/>
        <v>0.1060579825846457</v>
      </c>
      <c r="R48" s="1220" t="str">
        <f t="shared" si="23"/>
        <v>n/a</v>
      </c>
      <c r="S48" s="1218">
        <f t="shared" si="23"/>
        <v>0.18776592754224425</v>
      </c>
      <c r="T48" s="1220">
        <f t="shared" si="23"/>
        <v>0.12013148339465021</v>
      </c>
      <c r="U48" s="1220">
        <f t="shared" si="23"/>
        <v>0.11127856962727399</v>
      </c>
      <c r="V48" s="1220" t="str">
        <f t="shared" si="23"/>
        <v>n/a</v>
      </c>
      <c r="W48" s="1218">
        <f t="shared" si="23"/>
        <v>5.5135835397386201E-2</v>
      </c>
      <c r="X48" s="1220">
        <f t="shared" si="23"/>
        <v>0.15729184849713301</v>
      </c>
      <c r="Y48" s="1220">
        <f t="shared" si="23"/>
        <v>9.330177249066765E-2</v>
      </c>
      <c r="Z48" s="166"/>
      <c r="AA48" s="166"/>
      <c r="AB48" s="166"/>
      <c r="AC48" s="166"/>
      <c r="AD48" s="166"/>
      <c r="AE48" s="166"/>
      <c r="AF48" s="166"/>
      <c r="AG48" s="166"/>
      <c r="AH48" s="166"/>
      <c r="AI48" s="166"/>
      <c r="AJ48" s="166"/>
      <c r="AK48" s="166"/>
      <c r="AL48" s="1079"/>
      <c r="AM48" s="166"/>
      <c r="AN48" s="166"/>
      <c r="AO48" s="166"/>
      <c r="AP48" s="166"/>
      <c r="AQ48" s="167"/>
      <c r="AR48" s="167"/>
      <c r="AS48" s="167"/>
      <c r="AU48" s="166"/>
      <c r="AV48" s="166"/>
      <c r="AW48" s="166"/>
    </row>
    <row r="49" spans="1:50" s="117" customFormat="1">
      <c r="A49" s="95"/>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079"/>
      <c r="AM49" s="166"/>
      <c r="AN49" s="166"/>
      <c r="AO49" s="166"/>
      <c r="AP49" s="166"/>
      <c r="AQ49" s="167"/>
      <c r="AR49" s="167"/>
      <c r="AS49" s="167"/>
      <c r="AU49" s="166"/>
      <c r="AV49" s="166"/>
      <c r="AW49" s="166"/>
    </row>
    <row r="50" spans="1:50" s="117" customFormat="1">
      <c r="A50" s="95"/>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079"/>
      <c r="AM50" s="166"/>
      <c r="AN50" s="166"/>
      <c r="AO50" s="166"/>
      <c r="AP50" s="166"/>
      <c r="AQ50" s="167"/>
      <c r="AR50" s="167"/>
      <c r="AS50" s="167"/>
      <c r="AU50" s="166"/>
      <c r="AV50" s="166"/>
      <c r="AW50" s="166"/>
    </row>
    <row r="51" spans="1:50" s="168" customFormat="1">
      <c r="AL51" s="1080"/>
    </row>
    <row r="52" spans="1:50" s="168" customFormat="1">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081"/>
      <c r="AM52" s="170"/>
      <c r="AN52" s="170"/>
      <c r="AO52" s="170"/>
      <c r="AP52" s="170"/>
      <c r="AQ52" s="171"/>
      <c r="AR52" s="171"/>
      <c r="AS52" s="171"/>
      <c r="AU52" s="170"/>
      <c r="AV52" s="170"/>
      <c r="AW52" s="170"/>
    </row>
    <row r="53" spans="1:50" s="168" customFormat="1">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081"/>
      <c r="AM53" s="170"/>
      <c r="AN53" s="170"/>
      <c r="AO53" s="170"/>
      <c r="AP53" s="170"/>
      <c r="AQ53" s="171"/>
      <c r="AR53" s="171"/>
      <c r="AS53" s="171"/>
      <c r="AU53" s="170"/>
      <c r="AV53" s="170"/>
      <c r="AW53" s="170"/>
    </row>
    <row r="54" spans="1:50" s="168" customFormat="1">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081"/>
      <c r="AM54" s="170"/>
      <c r="AN54" s="170"/>
      <c r="AO54" s="170"/>
      <c r="AP54" s="170"/>
      <c r="AQ54" s="171"/>
      <c r="AR54" s="171"/>
      <c r="AS54" s="171"/>
      <c r="AU54" s="170"/>
      <c r="AV54" s="170"/>
      <c r="AW54" s="170"/>
    </row>
    <row r="55" spans="1:50" s="168" customFormat="1">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081"/>
      <c r="AM55" s="170"/>
      <c r="AN55" s="170"/>
      <c r="AO55" s="170"/>
      <c r="AP55" s="170"/>
      <c r="AQ55" s="171"/>
      <c r="AR55" s="171"/>
      <c r="AS55" s="171"/>
      <c r="AU55" s="170"/>
      <c r="AV55" s="170"/>
      <c r="AW55" s="170"/>
    </row>
    <row r="56" spans="1:50" s="168" customFormat="1">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081"/>
      <c r="AM56" s="170"/>
      <c r="AN56" s="170"/>
      <c r="AO56" s="170"/>
      <c r="AP56" s="170"/>
      <c r="AQ56" s="171"/>
      <c r="AR56" s="171"/>
      <c r="AS56" s="171"/>
      <c r="AU56" s="170"/>
      <c r="AV56" s="170"/>
      <c r="AW56" s="170"/>
    </row>
    <row r="57" spans="1:50" s="117" customFormat="1">
      <c r="A57" s="95"/>
      <c r="B57" s="116"/>
      <c r="C57" s="116"/>
      <c r="D57" s="116"/>
      <c r="E57" s="172"/>
      <c r="F57" s="172"/>
      <c r="G57" s="172"/>
      <c r="H57" s="172"/>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075"/>
      <c r="AM57" s="116"/>
      <c r="AN57" s="116"/>
      <c r="AO57" s="116"/>
      <c r="AP57" s="116"/>
      <c r="AQ57" s="156"/>
      <c r="AR57" s="156"/>
      <c r="AS57" s="156"/>
      <c r="AU57" s="116"/>
      <c r="AV57" s="116"/>
      <c r="AW57" s="116"/>
    </row>
    <row r="58" spans="1:50" s="117" customFormat="1">
      <c r="A58" s="95"/>
      <c r="B58" s="116"/>
      <c r="C58" s="116"/>
      <c r="D58" s="116"/>
      <c r="E58" s="172"/>
      <c r="F58" s="172"/>
      <c r="G58" s="172"/>
      <c r="H58" s="172"/>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075"/>
      <c r="AM58" s="116"/>
      <c r="AN58" s="116"/>
      <c r="AO58" s="116"/>
      <c r="AP58" s="116"/>
      <c r="AQ58" s="156"/>
      <c r="AR58" s="156"/>
      <c r="AS58" s="156"/>
      <c r="AU58" s="116"/>
      <c r="AV58" s="116"/>
      <c r="AW58" s="116"/>
    </row>
    <row r="59" spans="1:50" s="117" customFormat="1">
      <c r="B59" s="173"/>
      <c r="C59" s="173"/>
      <c r="D59" s="173"/>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1068"/>
      <c r="AM59" s="95"/>
      <c r="AN59" s="95"/>
      <c r="AO59" s="95"/>
      <c r="AP59" s="95"/>
      <c r="AQ59" s="175"/>
      <c r="AR59" s="175"/>
      <c r="AS59" s="175"/>
      <c r="AT59" s="176"/>
      <c r="AU59" s="95"/>
      <c r="AV59" s="95"/>
      <c r="AW59" s="95"/>
      <c r="AX59" s="176"/>
    </row>
    <row r="60" spans="1:50" s="117" customFormat="1">
      <c r="B60" s="95"/>
      <c r="C60" s="95"/>
      <c r="D60" s="95"/>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082"/>
      <c r="AM60" s="177"/>
      <c r="AN60" s="177"/>
      <c r="AO60" s="177"/>
      <c r="AP60" s="177"/>
      <c r="AQ60" s="178"/>
      <c r="AR60" s="178"/>
      <c r="AS60" s="178"/>
      <c r="AT60" s="176"/>
      <c r="AU60" s="177"/>
      <c r="AV60" s="177"/>
      <c r="AW60" s="177"/>
      <c r="AX60" s="176"/>
    </row>
    <row r="61" spans="1:50" s="117" customFormat="1">
      <c r="B61" s="95"/>
      <c r="C61" s="95"/>
      <c r="D61" s="95"/>
      <c r="E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1068"/>
      <c r="AM61" s="95"/>
      <c r="AN61" s="95"/>
      <c r="AO61" s="95"/>
      <c r="AP61" s="95"/>
      <c r="AQ61" s="162"/>
      <c r="AR61" s="162"/>
      <c r="AS61" s="162"/>
      <c r="AT61" s="176"/>
      <c r="AU61" s="95"/>
      <c r="AV61" s="95"/>
      <c r="AW61" s="95"/>
      <c r="AX61" s="176"/>
    </row>
    <row r="62" spans="1:50" s="117" customFormat="1">
      <c r="B62" s="179"/>
      <c r="C62" s="179"/>
      <c r="D62" s="179"/>
      <c r="E62" s="163"/>
      <c r="F62" s="163"/>
      <c r="G62" s="163"/>
      <c r="H62" s="163"/>
      <c r="I62" s="163"/>
      <c r="J62" s="163"/>
      <c r="K62" s="163"/>
      <c r="L62" s="163"/>
      <c r="M62" s="163"/>
      <c r="N62" s="163"/>
      <c r="O62" s="163"/>
      <c r="P62" s="163"/>
      <c r="Q62" s="163"/>
      <c r="R62" s="163"/>
      <c r="S62" s="163"/>
      <c r="T62" s="163"/>
      <c r="U62" s="163"/>
      <c r="V62" s="163"/>
      <c r="W62" s="163"/>
      <c r="X62" s="163"/>
      <c r="Y62" s="163"/>
      <c r="Z62" s="163"/>
      <c r="AA62" s="163"/>
      <c r="AB62" s="163"/>
      <c r="AC62" s="163"/>
      <c r="AD62" s="163"/>
      <c r="AE62" s="163"/>
      <c r="AF62" s="163"/>
      <c r="AG62" s="163"/>
      <c r="AH62" s="163"/>
      <c r="AI62" s="163"/>
      <c r="AJ62" s="163"/>
      <c r="AK62" s="163"/>
      <c r="AL62" s="1077"/>
      <c r="AM62" s="163"/>
      <c r="AN62" s="163"/>
      <c r="AO62" s="163"/>
      <c r="AP62" s="163"/>
      <c r="AQ62" s="164"/>
      <c r="AR62" s="164"/>
      <c r="AS62" s="164"/>
      <c r="AT62" s="176"/>
      <c r="AU62" s="163"/>
      <c r="AV62" s="163"/>
      <c r="AW62" s="163"/>
      <c r="AX62" s="176"/>
    </row>
    <row r="63" spans="1:50" s="117" customFormat="1">
      <c r="B63" s="179"/>
      <c r="C63" s="179"/>
      <c r="D63" s="179"/>
      <c r="E63" s="163"/>
      <c r="F63" s="163"/>
      <c r="G63" s="163"/>
      <c r="H63" s="163"/>
      <c r="I63" s="163"/>
      <c r="J63" s="163"/>
      <c r="K63" s="163"/>
      <c r="L63" s="163"/>
      <c r="M63" s="163"/>
      <c r="N63" s="163"/>
      <c r="O63" s="163"/>
      <c r="P63" s="163"/>
      <c r="Q63" s="163"/>
      <c r="R63" s="163"/>
      <c r="S63" s="163"/>
      <c r="T63" s="163"/>
      <c r="U63" s="163"/>
      <c r="V63" s="163"/>
      <c r="W63" s="163"/>
      <c r="X63" s="163"/>
      <c r="Y63" s="163"/>
      <c r="Z63" s="163"/>
      <c r="AA63" s="163"/>
      <c r="AB63" s="163"/>
      <c r="AC63" s="163"/>
      <c r="AD63" s="163"/>
      <c r="AE63" s="163"/>
      <c r="AF63" s="163"/>
      <c r="AG63" s="163"/>
      <c r="AH63" s="163"/>
      <c r="AI63" s="163"/>
      <c r="AJ63" s="163"/>
      <c r="AK63" s="163"/>
      <c r="AL63" s="1077"/>
      <c r="AM63" s="163"/>
      <c r="AN63" s="163"/>
      <c r="AO63" s="163"/>
      <c r="AP63" s="163"/>
      <c r="AQ63" s="164"/>
      <c r="AR63" s="164"/>
      <c r="AS63" s="164"/>
      <c r="AT63" s="176"/>
      <c r="AU63" s="163"/>
      <c r="AV63" s="163"/>
      <c r="AW63" s="163"/>
      <c r="AX63" s="176"/>
    </row>
    <row r="64" spans="1:50" s="117" customFormat="1">
      <c r="B64" s="179"/>
      <c r="C64" s="179"/>
      <c r="D64" s="179"/>
      <c r="E64" s="163"/>
      <c r="F64" s="163"/>
      <c r="G64" s="163"/>
      <c r="H64" s="163"/>
      <c r="I64" s="163"/>
      <c r="J64" s="163"/>
      <c r="K64" s="163"/>
      <c r="L64" s="163"/>
      <c r="M64" s="163"/>
      <c r="N64" s="163"/>
      <c r="O64" s="163"/>
      <c r="P64" s="163"/>
      <c r="Q64" s="163"/>
      <c r="R64" s="163"/>
      <c r="S64" s="163"/>
      <c r="T64" s="163"/>
      <c r="U64" s="163"/>
      <c r="V64" s="163"/>
      <c r="W64" s="163"/>
      <c r="X64" s="163"/>
      <c r="Y64" s="163"/>
      <c r="Z64" s="163"/>
      <c r="AA64" s="163"/>
      <c r="AB64" s="163"/>
      <c r="AC64" s="163"/>
      <c r="AD64" s="163"/>
      <c r="AE64" s="163"/>
      <c r="AF64" s="163"/>
      <c r="AG64" s="163"/>
      <c r="AH64" s="163"/>
      <c r="AI64" s="163"/>
      <c r="AJ64" s="163"/>
      <c r="AK64" s="163"/>
      <c r="AL64" s="1077"/>
      <c r="AM64" s="163"/>
      <c r="AN64" s="163"/>
      <c r="AO64" s="163"/>
      <c r="AP64" s="163"/>
      <c r="AQ64" s="164"/>
      <c r="AR64" s="164"/>
      <c r="AS64" s="164"/>
      <c r="AT64" s="176"/>
      <c r="AU64" s="163"/>
      <c r="AV64" s="163"/>
      <c r="AW64" s="163"/>
      <c r="AX64" s="176"/>
    </row>
    <row r="65" spans="2:50" s="117" customFormat="1">
      <c r="B65" s="179"/>
      <c r="C65" s="179"/>
      <c r="D65" s="179"/>
      <c r="E65" s="163"/>
      <c r="F65" s="163"/>
      <c r="G65" s="163"/>
      <c r="H65" s="163"/>
      <c r="I65" s="163"/>
      <c r="J65" s="163"/>
      <c r="K65" s="163"/>
      <c r="L65" s="163"/>
      <c r="M65" s="163"/>
      <c r="N65" s="163"/>
      <c r="O65" s="163"/>
      <c r="P65" s="163"/>
      <c r="Q65" s="163"/>
      <c r="R65" s="163"/>
      <c r="S65" s="163"/>
      <c r="T65" s="163"/>
      <c r="U65" s="163"/>
      <c r="V65" s="163"/>
      <c r="W65" s="163"/>
      <c r="X65" s="163"/>
      <c r="Y65" s="163"/>
      <c r="Z65" s="163"/>
      <c r="AA65" s="163"/>
      <c r="AB65" s="163"/>
      <c r="AC65" s="163"/>
      <c r="AD65" s="163"/>
      <c r="AE65" s="163"/>
      <c r="AF65" s="163"/>
      <c r="AG65" s="163"/>
      <c r="AH65" s="163"/>
      <c r="AI65" s="163"/>
      <c r="AJ65" s="163"/>
      <c r="AK65" s="163"/>
      <c r="AL65" s="1077"/>
      <c r="AM65" s="163"/>
      <c r="AN65" s="163"/>
      <c r="AO65" s="163"/>
      <c r="AP65" s="163"/>
      <c r="AQ65" s="164"/>
      <c r="AR65" s="164"/>
      <c r="AS65" s="164"/>
      <c r="AT65" s="176"/>
      <c r="AU65" s="163"/>
      <c r="AV65" s="163"/>
      <c r="AW65" s="163"/>
      <c r="AX65" s="176"/>
    </row>
    <row r="66" spans="2:50" s="117" customFormat="1">
      <c r="B66" s="179"/>
      <c r="C66" s="179"/>
      <c r="D66" s="179"/>
      <c r="E66" s="163"/>
      <c r="F66" s="163"/>
      <c r="G66" s="163"/>
      <c r="H66" s="163"/>
      <c r="I66" s="163"/>
      <c r="J66" s="163"/>
      <c r="K66" s="163"/>
      <c r="L66" s="163"/>
      <c r="M66" s="163"/>
      <c r="N66" s="163"/>
      <c r="O66" s="163"/>
      <c r="P66" s="163"/>
      <c r="Q66" s="163"/>
      <c r="R66" s="163"/>
      <c r="S66" s="163"/>
      <c r="T66" s="163"/>
      <c r="U66" s="163"/>
      <c r="V66" s="163"/>
      <c r="W66" s="163"/>
      <c r="X66" s="163"/>
      <c r="Y66" s="163"/>
      <c r="Z66" s="163"/>
      <c r="AA66" s="163"/>
      <c r="AB66" s="163"/>
      <c r="AC66" s="163"/>
      <c r="AD66" s="163"/>
      <c r="AE66" s="163"/>
      <c r="AF66" s="163"/>
      <c r="AG66" s="163"/>
      <c r="AH66" s="163"/>
      <c r="AI66" s="163"/>
      <c r="AJ66" s="163"/>
      <c r="AK66" s="163"/>
      <c r="AL66" s="1077"/>
      <c r="AM66" s="163"/>
      <c r="AN66" s="163"/>
      <c r="AO66" s="163"/>
      <c r="AP66" s="163"/>
      <c r="AQ66" s="164"/>
      <c r="AR66" s="164"/>
      <c r="AS66" s="164"/>
      <c r="AT66" s="176"/>
      <c r="AU66" s="163"/>
      <c r="AV66" s="163"/>
      <c r="AW66" s="163"/>
      <c r="AX66" s="176"/>
    </row>
    <row r="67" spans="2:50" s="117" customFormat="1">
      <c r="B67" s="179"/>
      <c r="C67" s="179"/>
      <c r="D67" s="179"/>
      <c r="E67" s="163"/>
      <c r="F67" s="163"/>
      <c r="G67" s="163"/>
      <c r="H67" s="163"/>
      <c r="I67" s="163"/>
      <c r="J67" s="163"/>
      <c r="K67" s="163"/>
      <c r="L67" s="163"/>
      <c r="M67" s="163"/>
      <c r="N67" s="163"/>
      <c r="O67" s="163"/>
      <c r="P67" s="163"/>
      <c r="Q67" s="163"/>
      <c r="R67" s="163"/>
      <c r="S67" s="163"/>
      <c r="T67" s="163"/>
      <c r="U67" s="163"/>
      <c r="V67" s="163"/>
      <c r="W67" s="163"/>
      <c r="X67" s="163"/>
      <c r="Y67" s="163"/>
      <c r="Z67" s="163"/>
      <c r="AA67" s="163"/>
      <c r="AB67" s="163"/>
      <c r="AC67" s="163"/>
      <c r="AD67" s="163"/>
      <c r="AE67" s="163"/>
      <c r="AF67" s="163"/>
      <c r="AG67" s="163"/>
      <c r="AH67" s="163"/>
      <c r="AI67" s="163"/>
      <c r="AJ67" s="163"/>
      <c r="AK67" s="163"/>
      <c r="AL67" s="1077"/>
      <c r="AM67" s="163"/>
      <c r="AN67" s="163"/>
      <c r="AO67" s="163"/>
      <c r="AP67" s="163"/>
      <c r="AQ67" s="164"/>
      <c r="AR67" s="164"/>
      <c r="AS67" s="164"/>
      <c r="AT67" s="176"/>
      <c r="AU67" s="163"/>
      <c r="AV67" s="163"/>
      <c r="AW67" s="163"/>
      <c r="AX67" s="176"/>
    </row>
    <row r="68" spans="2:50" s="117" customFormat="1">
      <c r="B68" s="179"/>
      <c r="C68" s="179"/>
      <c r="D68" s="179"/>
      <c r="E68" s="163"/>
      <c r="F68" s="163"/>
      <c r="G68" s="163"/>
      <c r="H68" s="163"/>
      <c r="I68" s="163"/>
      <c r="J68" s="163"/>
      <c r="K68" s="163"/>
      <c r="L68" s="163"/>
      <c r="M68" s="163"/>
      <c r="N68" s="163"/>
      <c r="O68" s="163"/>
      <c r="P68" s="163"/>
      <c r="Q68" s="163"/>
      <c r="R68" s="163"/>
      <c r="S68" s="163"/>
      <c r="T68" s="163"/>
      <c r="U68" s="163"/>
      <c r="V68" s="163"/>
      <c r="W68" s="163"/>
      <c r="X68" s="163"/>
      <c r="Y68" s="163"/>
      <c r="Z68" s="163"/>
      <c r="AA68" s="163"/>
      <c r="AB68" s="163"/>
      <c r="AC68" s="163"/>
      <c r="AD68" s="163"/>
      <c r="AE68" s="163"/>
      <c r="AF68" s="163"/>
      <c r="AG68" s="163"/>
      <c r="AH68" s="163"/>
      <c r="AI68" s="163"/>
      <c r="AJ68" s="163"/>
      <c r="AK68" s="163"/>
      <c r="AL68" s="1077"/>
      <c r="AM68" s="163"/>
      <c r="AN68" s="163"/>
      <c r="AO68" s="163"/>
      <c r="AP68" s="163"/>
      <c r="AQ68" s="164"/>
      <c r="AR68" s="164"/>
      <c r="AS68" s="164"/>
      <c r="AT68" s="176"/>
      <c r="AU68" s="163"/>
      <c r="AV68" s="163"/>
      <c r="AW68" s="163"/>
      <c r="AX68" s="176"/>
    </row>
    <row r="69" spans="2:50" s="117" customFormat="1">
      <c r="B69" s="179"/>
      <c r="C69" s="179"/>
      <c r="D69" s="179"/>
      <c r="E69" s="163"/>
      <c r="F69" s="163"/>
      <c r="G69" s="163"/>
      <c r="H69" s="163"/>
      <c r="I69" s="163"/>
      <c r="J69" s="163"/>
      <c r="K69" s="163"/>
      <c r="L69" s="163"/>
      <c r="M69" s="163"/>
      <c r="N69" s="163"/>
      <c r="O69" s="163"/>
      <c r="P69" s="163"/>
      <c r="Q69" s="163"/>
      <c r="R69" s="163"/>
      <c r="S69" s="163"/>
      <c r="T69" s="163"/>
      <c r="U69" s="163"/>
      <c r="V69" s="163"/>
      <c r="W69" s="163"/>
      <c r="X69" s="163"/>
      <c r="Y69" s="163"/>
      <c r="Z69" s="163"/>
      <c r="AA69" s="163"/>
      <c r="AB69" s="163"/>
      <c r="AC69" s="163"/>
      <c r="AD69" s="163"/>
      <c r="AE69" s="163"/>
      <c r="AF69" s="163"/>
      <c r="AG69" s="163"/>
      <c r="AH69" s="163"/>
      <c r="AI69" s="163"/>
      <c r="AJ69" s="163"/>
      <c r="AK69" s="163"/>
      <c r="AL69" s="1077"/>
      <c r="AM69" s="163"/>
      <c r="AN69" s="163"/>
      <c r="AO69" s="163"/>
      <c r="AP69" s="163"/>
      <c r="AQ69" s="164"/>
      <c r="AR69" s="164"/>
      <c r="AS69" s="164"/>
      <c r="AT69" s="176"/>
      <c r="AU69" s="163"/>
      <c r="AV69" s="163"/>
      <c r="AW69" s="163"/>
      <c r="AX69" s="176"/>
    </row>
    <row r="70" spans="2:50" s="117" customFormat="1">
      <c r="B70" s="179"/>
      <c r="C70" s="179"/>
      <c r="D70" s="179"/>
      <c r="E70" s="163"/>
      <c r="F70" s="163"/>
      <c r="G70" s="163"/>
      <c r="H70" s="163"/>
      <c r="I70" s="163"/>
      <c r="J70" s="163"/>
      <c r="K70" s="163"/>
      <c r="L70" s="163"/>
      <c r="M70" s="163"/>
      <c r="N70" s="163"/>
      <c r="O70" s="163"/>
      <c r="P70" s="163"/>
      <c r="Q70" s="163"/>
      <c r="R70" s="163"/>
      <c r="S70" s="163"/>
      <c r="T70" s="163"/>
      <c r="U70" s="163"/>
      <c r="V70" s="163"/>
      <c r="W70" s="163"/>
      <c r="X70" s="163"/>
      <c r="Y70" s="163"/>
      <c r="Z70" s="163"/>
      <c r="AA70" s="163"/>
      <c r="AB70" s="163"/>
      <c r="AC70" s="163"/>
      <c r="AD70" s="163"/>
      <c r="AE70" s="163"/>
      <c r="AF70" s="163"/>
      <c r="AG70" s="163"/>
      <c r="AH70" s="163"/>
      <c r="AI70" s="163"/>
      <c r="AJ70" s="163"/>
      <c r="AK70" s="163"/>
      <c r="AL70" s="1077"/>
      <c r="AM70" s="163"/>
      <c r="AN70" s="163"/>
      <c r="AO70" s="163"/>
      <c r="AP70" s="163"/>
      <c r="AQ70" s="164"/>
      <c r="AR70" s="164"/>
      <c r="AS70" s="164"/>
      <c r="AT70" s="176"/>
      <c r="AU70" s="163"/>
      <c r="AV70" s="163"/>
      <c r="AW70" s="163"/>
      <c r="AX70" s="176"/>
    </row>
    <row r="71" spans="2:50" s="117" customFormat="1">
      <c r="B71" s="179"/>
      <c r="C71" s="179"/>
      <c r="D71" s="179"/>
      <c r="E71" s="163"/>
      <c r="F71" s="163"/>
      <c r="G71" s="163"/>
      <c r="H71" s="163"/>
      <c r="I71" s="163"/>
      <c r="J71" s="163"/>
      <c r="K71" s="163"/>
      <c r="L71" s="163"/>
      <c r="M71" s="163"/>
      <c r="N71" s="163"/>
      <c r="O71" s="163"/>
      <c r="P71" s="163"/>
      <c r="Q71" s="163"/>
      <c r="R71" s="163"/>
      <c r="S71" s="163"/>
      <c r="T71" s="163"/>
      <c r="U71" s="163"/>
      <c r="V71" s="163"/>
      <c r="W71" s="163"/>
      <c r="X71" s="163"/>
      <c r="Y71" s="163"/>
      <c r="Z71" s="163"/>
      <c r="AA71" s="163"/>
      <c r="AB71" s="163"/>
      <c r="AC71" s="163"/>
      <c r="AD71" s="163"/>
      <c r="AE71" s="163"/>
      <c r="AF71" s="163"/>
      <c r="AG71" s="163"/>
      <c r="AH71" s="163"/>
      <c r="AI71" s="163"/>
      <c r="AJ71" s="163"/>
      <c r="AK71" s="163"/>
      <c r="AL71" s="1077"/>
      <c r="AM71" s="163"/>
      <c r="AN71" s="163"/>
      <c r="AO71" s="163"/>
      <c r="AP71" s="163"/>
      <c r="AQ71" s="164"/>
      <c r="AR71" s="164"/>
      <c r="AS71" s="164"/>
      <c r="AT71" s="176"/>
      <c r="AU71" s="163"/>
      <c r="AV71" s="163"/>
      <c r="AW71" s="163"/>
      <c r="AX71" s="176"/>
    </row>
    <row r="72" spans="2:50" s="117" customFormat="1" outlineLevel="1">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1068"/>
      <c r="AM72" s="95"/>
      <c r="AN72" s="95"/>
      <c r="AO72" s="95"/>
      <c r="AP72" s="95"/>
      <c r="AQ72" s="180"/>
      <c r="AR72" s="180"/>
      <c r="AS72" s="180"/>
      <c r="AT72" s="176"/>
      <c r="AU72" s="95"/>
      <c r="AV72" s="95"/>
      <c r="AW72" s="95"/>
      <c r="AX72" s="176"/>
    </row>
    <row r="73" spans="2:50" s="117" customFormat="1" outlineLevel="1">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079"/>
      <c r="AM73" s="166"/>
      <c r="AN73" s="166"/>
      <c r="AO73" s="166"/>
      <c r="AP73" s="166"/>
      <c r="AQ73" s="167"/>
      <c r="AR73" s="167"/>
      <c r="AS73" s="167"/>
      <c r="AT73" s="176"/>
      <c r="AU73" s="166"/>
      <c r="AV73" s="166"/>
      <c r="AW73" s="166"/>
      <c r="AX73" s="176"/>
    </row>
    <row r="74" spans="2:50" s="117" customFormat="1" outlineLevel="1">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079"/>
      <c r="AM74" s="166"/>
      <c r="AN74" s="166"/>
      <c r="AO74" s="166"/>
      <c r="AP74" s="166"/>
      <c r="AQ74" s="167"/>
      <c r="AR74" s="167"/>
      <c r="AS74" s="167"/>
      <c r="AT74" s="176"/>
      <c r="AU74" s="166"/>
      <c r="AV74" s="166"/>
      <c r="AW74" s="166"/>
      <c r="AX74" s="176"/>
    </row>
    <row r="75" spans="2:50" s="117" customFormat="1" outlineLevel="1">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079"/>
      <c r="AM75" s="166"/>
      <c r="AN75" s="166"/>
      <c r="AO75" s="166"/>
      <c r="AP75" s="166"/>
      <c r="AQ75" s="167"/>
      <c r="AR75" s="167"/>
      <c r="AS75" s="167"/>
      <c r="AT75" s="176"/>
      <c r="AU75" s="166"/>
      <c r="AV75" s="166"/>
      <c r="AW75" s="166"/>
      <c r="AX75" s="176"/>
    </row>
    <row r="76" spans="2:50" s="117" customFormat="1" outlineLevel="1">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079"/>
      <c r="AM76" s="166"/>
      <c r="AN76" s="166"/>
      <c r="AO76" s="166"/>
      <c r="AP76" s="166"/>
      <c r="AQ76" s="167"/>
      <c r="AR76" s="167"/>
      <c r="AS76" s="167"/>
      <c r="AT76" s="176"/>
      <c r="AU76" s="166"/>
      <c r="AV76" s="166"/>
      <c r="AW76" s="166"/>
      <c r="AX76" s="176"/>
    </row>
    <row r="77" spans="2:50" s="117" customFormat="1" outlineLevel="1">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079"/>
      <c r="AM77" s="166"/>
      <c r="AN77" s="166"/>
      <c r="AO77" s="166"/>
      <c r="AP77" s="166"/>
      <c r="AQ77" s="167"/>
      <c r="AR77" s="167"/>
      <c r="AS77" s="167"/>
      <c r="AT77" s="176"/>
      <c r="AU77" s="166"/>
      <c r="AV77" s="166"/>
      <c r="AW77" s="166"/>
      <c r="AX77" s="176"/>
    </row>
    <row r="78" spans="2:50" s="117" customFormat="1" outlineLevel="1">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c r="AD78" s="116"/>
      <c r="AE78" s="116"/>
      <c r="AF78" s="116"/>
      <c r="AG78" s="116"/>
      <c r="AH78" s="116"/>
      <c r="AI78" s="116"/>
      <c r="AJ78" s="116"/>
      <c r="AK78" s="116"/>
      <c r="AL78" s="1075"/>
      <c r="AM78" s="116"/>
      <c r="AN78" s="116"/>
      <c r="AO78" s="116"/>
      <c r="AP78" s="116"/>
      <c r="AQ78" s="156"/>
      <c r="AR78" s="156"/>
      <c r="AS78" s="156"/>
      <c r="AT78" s="176"/>
      <c r="AU78" s="116"/>
      <c r="AV78" s="116"/>
      <c r="AW78" s="116"/>
      <c r="AX78" s="176"/>
    </row>
    <row r="79" spans="2:50" s="117" customFormat="1" outlineLevel="1">
      <c r="B79" s="157"/>
      <c r="C79" s="157"/>
      <c r="D79" s="157"/>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1068"/>
      <c r="AM79" s="95"/>
      <c r="AN79" s="95"/>
      <c r="AO79" s="95"/>
      <c r="AP79" s="95"/>
      <c r="AQ79" s="158"/>
      <c r="AR79" s="158"/>
      <c r="AS79" s="158"/>
      <c r="AT79" s="176"/>
      <c r="AU79" s="95"/>
      <c r="AV79" s="95"/>
      <c r="AW79" s="95"/>
      <c r="AX79" s="176"/>
    </row>
    <row r="80" spans="2:50" s="117" customFormat="1" outlineLevel="1">
      <c r="B80" s="95"/>
      <c r="C80" s="95"/>
      <c r="D80" s="95"/>
      <c r="E80" s="159"/>
      <c r="F80" s="159"/>
      <c r="G80" s="159"/>
      <c r="H80" s="159"/>
      <c r="I80" s="159"/>
      <c r="J80" s="159"/>
      <c r="K80" s="159"/>
      <c r="L80" s="159"/>
      <c r="M80" s="159"/>
      <c r="N80" s="159"/>
      <c r="O80" s="159"/>
      <c r="P80" s="159"/>
      <c r="Q80" s="159"/>
      <c r="R80" s="159"/>
      <c r="S80" s="159"/>
      <c r="T80" s="159"/>
      <c r="U80" s="159"/>
      <c r="V80" s="159"/>
      <c r="W80" s="159"/>
      <c r="X80" s="159"/>
      <c r="Y80" s="159"/>
      <c r="Z80" s="159"/>
      <c r="AA80" s="159"/>
      <c r="AB80" s="159"/>
      <c r="AC80" s="159"/>
      <c r="AD80" s="159"/>
      <c r="AE80" s="159"/>
      <c r="AF80" s="159"/>
      <c r="AG80" s="159"/>
      <c r="AH80" s="159"/>
      <c r="AI80" s="159"/>
      <c r="AJ80" s="159"/>
      <c r="AK80" s="159"/>
      <c r="AL80" s="1076"/>
      <c r="AM80" s="159"/>
      <c r="AN80" s="159"/>
      <c r="AO80" s="159"/>
      <c r="AP80" s="159"/>
      <c r="AQ80" s="161"/>
      <c r="AR80" s="161"/>
      <c r="AS80" s="161"/>
      <c r="AT80" s="176"/>
      <c r="AU80" s="159"/>
      <c r="AV80" s="159"/>
      <c r="AW80" s="159"/>
      <c r="AX80" s="176"/>
    </row>
    <row r="81" spans="2:50" s="117" customFormat="1" outlineLevel="1">
      <c r="B81" s="95"/>
      <c r="C81" s="95"/>
      <c r="D81" s="95"/>
      <c r="E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1068"/>
      <c r="AM81" s="95"/>
      <c r="AN81" s="95"/>
      <c r="AO81" s="95"/>
      <c r="AP81" s="95"/>
      <c r="AQ81" s="162"/>
      <c r="AR81" s="162"/>
      <c r="AS81" s="162"/>
      <c r="AT81" s="176"/>
      <c r="AU81" s="95"/>
      <c r="AV81" s="95"/>
      <c r="AW81" s="95"/>
      <c r="AX81" s="176"/>
    </row>
    <row r="82" spans="2:50" s="117" customFormat="1">
      <c r="B82" s="179"/>
      <c r="C82" s="179"/>
      <c r="D82" s="179"/>
      <c r="E82" s="163"/>
      <c r="F82" s="163"/>
      <c r="G82" s="163"/>
      <c r="H82" s="163"/>
      <c r="I82" s="163"/>
      <c r="J82" s="163"/>
      <c r="K82" s="163"/>
      <c r="L82" s="163"/>
      <c r="M82" s="163"/>
      <c r="N82" s="163"/>
      <c r="O82" s="163"/>
      <c r="P82" s="163"/>
      <c r="Q82" s="163"/>
      <c r="R82" s="163"/>
      <c r="S82" s="163"/>
      <c r="T82" s="163"/>
      <c r="U82" s="163"/>
      <c r="V82" s="163"/>
      <c r="W82" s="163"/>
      <c r="X82" s="163"/>
      <c r="Y82" s="163"/>
      <c r="Z82" s="163"/>
      <c r="AA82" s="163"/>
      <c r="AB82" s="163"/>
      <c r="AC82" s="163"/>
      <c r="AD82" s="163"/>
      <c r="AE82" s="163"/>
      <c r="AF82" s="163"/>
      <c r="AG82" s="163"/>
      <c r="AH82" s="163"/>
      <c r="AI82" s="163"/>
      <c r="AJ82" s="163"/>
      <c r="AK82" s="163"/>
      <c r="AL82" s="1077"/>
      <c r="AM82" s="163"/>
      <c r="AN82" s="163"/>
      <c r="AO82" s="163"/>
      <c r="AP82" s="163"/>
      <c r="AQ82" s="164"/>
      <c r="AR82" s="164"/>
      <c r="AS82" s="164"/>
      <c r="AT82" s="176"/>
      <c r="AU82" s="163"/>
      <c r="AV82" s="163"/>
      <c r="AW82" s="163"/>
      <c r="AX82" s="176"/>
    </row>
    <row r="83" spans="2:50" s="117" customFormat="1">
      <c r="B83" s="179"/>
      <c r="C83" s="179"/>
      <c r="D83" s="179"/>
      <c r="E83" s="163"/>
      <c r="F83" s="163"/>
      <c r="G83" s="163"/>
      <c r="H83" s="163"/>
      <c r="I83" s="163"/>
      <c r="J83" s="163"/>
      <c r="K83" s="163"/>
      <c r="L83" s="163"/>
      <c r="M83" s="163"/>
      <c r="N83" s="163"/>
      <c r="O83" s="163"/>
      <c r="P83" s="163"/>
      <c r="Q83" s="163"/>
      <c r="R83" s="163"/>
      <c r="S83" s="163"/>
      <c r="T83" s="163"/>
      <c r="U83" s="163"/>
      <c r="V83" s="163"/>
      <c r="W83" s="163"/>
      <c r="X83" s="163"/>
      <c r="Y83" s="163"/>
      <c r="Z83" s="163"/>
      <c r="AA83" s="163"/>
      <c r="AB83" s="163"/>
      <c r="AC83" s="163"/>
      <c r="AD83" s="163"/>
      <c r="AE83" s="163"/>
      <c r="AF83" s="163"/>
      <c r="AG83" s="163"/>
      <c r="AH83" s="163"/>
      <c r="AI83" s="163"/>
      <c r="AJ83" s="163"/>
      <c r="AK83" s="163"/>
      <c r="AL83" s="1077"/>
      <c r="AM83" s="163"/>
      <c r="AN83" s="163"/>
      <c r="AO83" s="163"/>
      <c r="AP83" s="163"/>
      <c r="AQ83" s="164"/>
      <c r="AR83" s="164"/>
      <c r="AS83" s="164"/>
      <c r="AT83" s="176"/>
      <c r="AU83" s="163"/>
      <c r="AV83" s="163"/>
      <c r="AW83" s="163"/>
      <c r="AX83" s="176"/>
    </row>
    <row r="84" spans="2:50" s="117" customFormat="1">
      <c r="B84" s="179"/>
      <c r="C84" s="179"/>
      <c r="D84" s="179"/>
      <c r="E84" s="163"/>
      <c r="F84" s="163"/>
      <c r="G84" s="163"/>
      <c r="H84" s="163"/>
      <c r="I84" s="163"/>
      <c r="J84" s="163"/>
      <c r="K84" s="163"/>
      <c r="L84" s="163"/>
      <c r="M84" s="163"/>
      <c r="N84" s="163"/>
      <c r="O84" s="163"/>
      <c r="P84" s="163"/>
      <c r="Q84" s="163"/>
      <c r="R84" s="163"/>
      <c r="S84" s="163"/>
      <c r="T84" s="163"/>
      <c r="U84" s="163"/>
      <c r="V84" s="163"/>
      <c r="W84" s="163"/>
      <c r="X84" s="163"/>
      <c r="Y84" s="163"/>
      <c r="Z84" s="163"/>
      <c r="AA84" s="163"/>
      <c r="AB84" s="163"/>
      <c r="AC84" s="163"/>
      <c r="AD84" s="163"/>
      <c r="AE84" s="163"/>
      <c r="AF84" s="163"/>
      <c r="AG84" s="163"/>
      <c r="AH84" s="163"/>
      <c r="AI84" s="163"/>
      <c r="AJ84" s="163"/>
      <c r="AK84" s="163"/>
      <c r="AL84" s="1077"/>
      <c r="AM84" s="163"/>
      <c r="AN84" s="163"/>
      <c r="AO84" s="163"/>
      <c r="AP84" s="163"/>
      <c r="AQ84" s="164"/>
      <c r="AR84" s="164"/>
      <c r="AS84" s="164"/>
      <c r="AT84" s="176"/>
      <c r="AU84" s="163"/>
      <c r="AV84" s="163"/>
      <c r="AW84" s="163"/>
      <c r="AX84" s="176"/>
    </row>
    <row r="85" spans="2:50" s="117" customFormat="1" outlineLevel="1">
      <c r="B85" s="179"/>
      <c r="C85" s="179"/>
      <c r="D85" s="179"/>
      <c r="E85" s="163"/>
      <c r="F85" s="163"/>
      <c r="G85" s="163"/>
      <c r="H85" s="163"/>
      <c r="I85" s="163"/>
      <c r="J85" s="163"/>
      <c r="K85" s="163"/>
      <c r="L85" s="163"/>
      <c r="M85" s="163"/>
      <c r="N85" s="163"/>
      <c r="O85" s="163"/>
      <c r="P85" s="163"/>
      <c r="Q85" s="163"/>
      <c r="R85" s="163"/>
      <c r="S85" s="163"/>
      <c r="T85" s="163"/>
      <c r="U85" s="163"/>
      <c r="V85" s="163"/>
      <c r="W85" s="163"/>
      <c r="X85" s="163"/>
      <c r="Y85" s="163"/>
      <c r="Z85" s="163"/>
      <c r="AA85" s="163"/>
      <c r="AB85" s="163"/>
      <c r="AC85" s="163"/>
      <c r="AD85" s="163"/>
      <c r="AE85" s="163"/>
      <c r="AF85" s="163"/>
      <c r="AG85" s="163"/>
      <c r="AH85" s="163"/>
      <c r="AI85" s="163"/>
      <c r="AJ85" s="163"/>
      <c r="AK85" s="163"/>
      <c r="AL85" s="1077"/>
      <c r="AM85" s="163"/>
      <c r="AN85" s="163"/>
      <c r="AO85" s="163"/>
      <c r="AP85" s="163"/>
      <c r="AQ85" s="164"/>
      <c r="AR85" s="164"/>
      <c r="AS85" s="164"/>
      <c r="AT85" s="176"/>
      <c r="AU85" s="163"/>
      <c r="AV85" s="163"/>
      <c r="AW85" s="163"/>
      <c r="AX85" s="176"/>
    </row>
    <row r="86" spans="2:50" s="117" customFormat="1" outlineLevel="1">
      <c r="B86" s="179"/>
      <c r="C86" s="179"/>
      <c r="D86" s="179"/>
      <c r="E86" s="163"/>
      <c r="F86" s="163"/>
      <c r="G86" s="163"/>
      <c r="H86" s="163"/>
      <c r="I86" s="163"/>
      <c r="J86" s="163"/>
      <c r="K86" s="163"/>
      <c r="L86" s="163"/>
      <c r="M86" s="163"/>
      <c r="N86" s="163"/>
      <c r="O86" s="163"/>
      <c r="P86" s="163"/>
      <c r="Q86" s="163"/>
      <c r="R86" s="163"/>
      <c r="S86" s="163"/>
      <c r="T86" s="163"/>
      <c r="U86" s="163"/>
      <c r="V86" s="163"/>
      <c r="W86" s="163"/>
      <c r="X86" s="163"/>
      <c r="Y86" s="163"/>
      <c r="Z86" s="163"/>
      <c r="AA86" s="163"/>
      <c r="AB86" s="163"/>
      <c r="AC86" s="163"/>
      <c r="AD86" s="163"/>
      <c r="AE86" s="163"/>
      <c r="AF86" s="163"/>
      <c r="AG86" s="163"/>
      <c r="AH86" s="163"/>
      <c r="AI86" s="163"/>
      <c r="AJ86" s="163"/>
      <c r="AK86" s="163"/>
      <c r="AL86" s="1077"/>
      <c r="AM86" s="163"/>
      <c r="AN86" s="163"/>
      <c r="AO86" s="163"/>
      <c r="AP86" s="163"/>
      <c r="AQ86" s="164"/>
      <c r="AR86" s="164"/>
      <c r="AS86" s="164"/>
      <c r="AT86" s="176"/>
      <c r="AU86" s="163"/>
      <c r="AV86" s="163"/>
      <c r="AW86" s="163"/>
      <c r="AX86" s="176"/>
    </row>
    <row r="87" spans="2:50" s="117" customFormat="1" outlineLevel="1">
      <c r="B87" s="179"/>
      <c r="C87" s="179"/>
      <c r="D87" s="179"/>
      <c r="E87" s="163"/>
      <c r="F87" s="163"/>
      <c r="G87" s="163"/>
      <c r="H87" s="163"/>
      <c r="I87" s="163"/>
      <c r="J87" s="163"/>
      <c r="K87" s="163"/>
      <c r="L87" s="163"/>
      <c r="M87" s="163"/>
      <c r="N87" s="163"/>
      <c r="O87" s="163"/>
      <c r="P87" s="163"/>
      <c r="Q87" s="163"/>
      <c r="R87" s="163"/>
      <c r="S87" s="163"/>
      <c r="T87" s="163"/>
      <c r="U87" s="163"/>
      <c r="V87" s="163"/>
      <c r="W87" s="163"/>
      <c r="X87" s="163"/>
      <c r="Y87" s="163"/>
      <c r="Z87" s="163"/>
      <c r="AA87" s="163"/>
      <c r="AB87" s="163"/>
      <c r="AC87" s="163"/>
      <c r="AD87" s="163"/>
      <c r="AE87" s="163"/>
      <c r="AF87" s="163"/>
      <c r="AG87" s="163"/>
      <c r="AH87" s="163"/>
      <c r="AI87" s="163"/>
      <c r="AJ87" s="163"/>
      <c r="AK87" s="163"/>
      <c r="AL87" s="1077"/>
      <c r="AM87" s="163"/>
      <c r="AN87" s="163"/>
      <c r="AO87" s="163"/>
      <c r="AP87" s="163"/>
      <c r="AQ87" s="164"/>
      <c r="AR87" s="164"/>
      <c r="AS87" s="164"/>
      <c r="AT87" s="176"/>
      <c r="AU87" s="163"/>
      <c r="AV87" s="163"/>
      <c r="AW87" s="163"/>
      <c r="AX87" s="176"/>
    </row>
    <row r="88" spans="2:50" s="117" customFormat="1" outlineLevel="1">
      <c r="B88" s="179"/>
      <c r="C88" s="179"/>
      <c r="D88" s="179"/>
      <c r="E88" s="163"/>
      <c r="F88" s="163"/>
      <c r="G88" s="163"/>
      <c r="H88" s="163"/>
      <c r="I88" s="163"/>
      <c r="J88" s="163"/>
      <c r="K88" s="163"/>
      <c r="L88" s="163"/>
      <c r="M88" s="163"/>
      <c r="N88" s="163"/>
      <c r="O88" s="163"/>
      <c r="P88" s="163"/>
      <c r="Q88" s="163"/>
      <c r="R88" s="163"/>
      <c r="S88" s="163"/>
      <c r="T88" s="163"/>
      <c r="U88" s="163"/>
      <c r="V88" s="163"/>
      <c r="W88" s="163"/>
      <c r="X88" s="163"/>
      <c r="Y88" s="163"/>
      <c r="Z88" s="163"/>
      <c r="AA88" s="163"/>
      <c r="AB88" s="163"/>
      <c r="AC88" s="163"/>
      <c r="AD88" s="163"/>
      <c r="AE88" s="163"/>
      <c r="AF88" s="163"/>
      <c r="AG88" s="163"/>
      <c r="AH88" s="163"/>
      <c r="AI88" s="163"/>
      <c r="AJ88" s="163"/>
      <c r="AK88" s="163"/>
      <c r="AL88" s="1077"/>
      <c r="AM88" s="163"/>
      <c r="AN88" s="163"/>
      <c r="AO88" s="163"/>
      <c r="AP88" s="163"/>
      <c r="AQ88" s="164"/>
      <c r="AR88" s="164"/>
      <c r="AS88" s="164"/>
      <c r="AT88" s="176"/>
      <c r="AU88" s="163"/>
      <c r="AV88" s="163"/>
      <c r="AW88" s="163"/>
      <c r="AX88" s="176"/>
    </row>
    <row r="89" spans="2:50" s="117" customFormat="1" outlineLevel="1">
      <c r="B89" s="179"/>
      <c r="C89" s="179"/>
      <c r="D89" s="179"/>
      <c r="E89" s="163"/>
      <c r="F89" s="163"/>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63"/>
      <c r="AE89" s="163"/>
      <c r="AF89" s="163"/>
      <c r="AG89" s="163"/>
      <c r="AH89" s="163"/>
      <c r="AI89" s="163"/>
      <c r="AJ89" s="163"/>
      <c r="AK89" s="163"/>
      <c r="AL89" s="1077"/>
      <c r="AM89" s="163"/>
      <c r="AN89" s="163"/>
      <c r="AO89" s="163"/>
      <c r="AP89" s="163"/>
      <c r="AQ89" s="164"/>
      <c r="AR89" s="164"/>
      <c r="AS89" s="164"/>
      <c r="AT89" s="176"/>
      <c r="AU89" s="163"/>
      <c r="AV89" s="163"/>
      <c r="AW89" s="163"/>
      <c r="AX89" s="176"/>
    </row>
    <row r="90" spans="2:50" s="117" customFormat="1" outlineLevel="1">
      <c r="B90" s="179"/>
      <c r="C90" s="179"/>
      <c r="D90" s="179"/>
      <c r="E90" s="163"/>
      <c r="F90" s="163"/>
      <c r="G90" s="163"/>
      <c r="H90" s="163"/>
      <c r="I90" s="163"/>
      <c r="J90" s="163"/>
      <c r="K90" s="163"/>
      <c r="L90" s="163"/>
      <c r="M90" s="163"/>
      <c r="N90" s="163"/>
      <c r="O90" s="163"/>
      <c r="P90" s="163"/>
      <c r="Q90" s="163"/>
      <c r="R90" s="163"/>
      <c r="S90" s="163"/>
      <c r="T90" s="163"/>
      <c r="U90" s="163"/>
      <c r="V90" s="163"/>
      <c r="W90" s="163"/>
      <c r="X90" s="163"/>
      <c r="Y90" s="163"/>
      <c r="Z90" s="163"/>
      <c r="AA90" s="163"/>
      <c r="AB90" s="163"/>
      <c r="AC90" s="163"/>
      <c r="AD90" s="163"/>
      <c r="AE90" s="163"/>
      <c r="AF90" s="163"/>
      <c r="AG90" s="163"/>
      <c r="AH90" s="163"/>
      <c r="AI90" s="163"/>
      <c r="AJ90" s="163"/>
      <c r="AK90" s="163"/>
      <c r="AL90" s="1077"/>
      <c r="AM90" s="163"/>
      <c r="AN90" s="163"/>
      <c r="AO90" s="163"/>
      <c r="AP90" s="163"/>
      <c r="AQ90" s="164"/>
      <c r="AR90" s="164"/>
      <c r="AS90" s="164"/>
      <c r="AT90" s="176"/>
      <c r="AU90" s="163"/>
      <c r="AV90" s="163"/>
      <c r="AW90" s="163"/>
      <c r="AX90" s="176"/>
    </row>
    <row r="91" spans="2:50" s="117" customFormat="1" outlineLevel="1">
      <c r="B91" s="179"/>
      <c r="C91" s="179"/>
      <c r="D91" s="179"/>
      <c r="E91" s="163"/>
      <c r="F91" s="163"/>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077"/>
      <c r="AM91" s="163"/>
      <c r="AN91" s="163"/>
      <c r="AO91" s="163"/>
      <c r="AP91" s="163"/>
      <c r="AQ91" s="164"/>
      <c r="AR91" s="164"/>
      <c r="AS91" s="164"/>
      <c r="AT91" s="176"/>
      <c r="AU91" s="163"/>
      <c r="AV91" s="163"/>
      <c r="AW91" s="163"/>
      <c r="AX91" s="176"/>
    </row>
    <row r="92" spans="2:50" s="117" customFormat="1" outlineLevel="1">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1068"/>
      <c r="AM92" s="95"/>
      <c r="AN92" s="95"/>
      <c r="AO92" s="95"/>
      <c r="AP92" s="95"/>
      <c r="AQ92" s="180"/>
      <c r="AR92" s="180"/>
      <c r="AS92" s="180"/>
      <c r="AT92" s="176"/>
      <c r="AU92" s="95"/>
      <c r="AV92" s="95"/>
      <c r="AW92" s="95"/>
      <c r="AX92" s="176"/>
    </row>
    <row r="93" spans="2:50" s="117" customFormat="1" outlineLevel="1">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079"/>
      <c r="AM93" s="166"/>
      <c r="AN93" s="166"/>
      <c r="AO93" s="166"/>
      <c r="AP93" s="166"/>
      <c r="AQ93" s="167"/>
      <c r="AR93" s="167"/>
      <c r="AS93" s="167"/>
      <c r="AT93" s="176"/>
      <c r="AU93" s="166"/>
      <c r="AV93" s="166"/>
      <c r="AW93" s="166"/>
      <c r="AX93" s="176"/>
    </row>
    <row r="94" spans="2:50" s="117" customFormat="1" outlineLevel="1">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079"/>
      <c r="AM94" s="166"/>
      <c r="AN94" s="166"/>
      <c r="AO94" s="166"/>
      <c r="AP94" s="166"/>
      <c r="AQ94" s="167"/>
      <c r="AR94" s="167"/>
      <c r="AS94" s="167"/>
      <c r="AT94" s="176"/>
      <c r="AU94" s="166"/>
      <c r="AV94" s="166"/>
      <c r="AW94" s="166"/>
      <c r="AX94" s="176"/>
    </row>
    <row r="95" spans="2:50" s="117" customFormat="1" outlineLevel="1">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079"/>
      <c r="AM95" s="166"/>
      <c r="AN95" s="166"/>
      <c r="AO95" s="166"/>
      <c r="AP95" s="166"/>
      <c r="AQ95" s="167"/>
      <c r="AR95" s="167"/>
      <c r="AS95" s="167"/>
      <c r="AT95" s="176"/>
      <c r="AU95" s="166"/>
      <c r="AV95" s="166"/>
      <c r="AW95" s="166"/>
      <c r="AX95" s="176"/>
    </row>
    <row r="96" spans="2:50" s="117" customFormat="1" outlineLevel="1">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079"/>
      <c r="AM96" s="166"/>
      <c r="AN96" s="166"/>
      <c r="AO96" s="166"/>
      <c r="AP96" s="166"/>
      <c r="AQ96" s="167"/>
      <c r="AR96" s="167"/>
      <c r="AS96" s="167"/>
      <c r="AT96" s="176"/>
      <c r="AU96" s="166"/>
      <c r="AV96" s="166"/>
      <c r="AW96" s="166"/>
      <c r="AX96" s="176"/>
    </row>
    <row r="97" spans="2:50" s="117" customFormat="1" outlineLevel="1">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079"/>
      <c r="AM97" s="166"/>
      <c r="AN97" s="166"/>
      <c r="AO97" s="166"/>
      <c r="AP97" s="166"/>
      <c r="AQ97" s="167"/>
      <c r="AR97" s="167"/>
      <c r="AS97" s="167"/>
      <c r="AT97" s="176"/>
      <c r="AU97" s="166"/>
      <c r="AV97" s="166"/>
      <c r="AW97" s="166"/>
      <c r="AX97" s="176"/>
    </row>
    <row r="98" spans="2:50" s="117" customFormat="1">
      <c r="B98" s="168"/>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080"/>
      <c r="AM98" s="168"/>
      <c r="AN98" s="168"/>
      <c r="AO98" s="168"/>
      <c r="AP98" s="168"/>
      <c r="AQ98" s="168"/>
      <c r="AR98" s="168"/>
      <c r="AS98" s="168"/>
      <c r="AT98" s="176"/>
      <c r="AU98" s="168"/>
      <c r="AV98" s="168"/>
      <c r="AW98" s="168"/>
      <c r="AX98" s="176"/>
    </row>
    <row r="99" spans="2:50" s="117" customFormat="1">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081"/>
      <c r="AM99" s="170"/>
      <c r="AN99" s="170"/>
      <c r="AO99" s="170"/>
      <c r="AP99" s="170"/>
      <c r="AQ99" s="171"/>
      <c r="AR99" s="171"/>
      <c r="AS99" s="171"/>
      <c r="AT99" s="176"/>
      <c r="AU99" s="170"/>
      <c r="AV99" s="170"/>
      <c r="AW99" s="170"/>
      <c r="AX99" s="176"/>
    </row>
    <row r="100" spans="2:50" s="117" customFormat="1">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081"/>
      <c r="AM100" s="170"/>
      <c r="AN100" s="170"/>
      <c r="AO100" s="170"/>
      <c r="AP100" s="170"/>
      <c r="AQ100" s="171"/>
      <c r="AR100" s="171"/>
      <c r="AS100" s="171"/>
      <c r="AT100" s="176"/>
      <c r="AU100" s="170"/>
      <c r="AV100" s="170"/>
      <c r="AW100" s="170"/>
      <c r="AX100" s="176"/>
    </row>
    <row r="101" spans="2:50" s="117" customFormat="1">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081"/>
      <c r="AM101" s="170"/>
      <c r="AN101" s="170"/>
      <c r="AO101" s="170"/>
      <c r="AP101" s="170"/>
      <c r="AQ101" s="171"/>
      <c r="AR101" s="171"/>
      <c r="AS101" s="171"/>
      <c r="AT101" s="176"/>
      <c r="AU101" s="170"/>
      <c r="AV101" s="170"/>
      <c r="AW101" s="170"/>
      <c r="AX101" s="176"/>
    </row>
    <row r="102" spans="2:50" s="117" customFormat="1">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081"/>
      <c r="AM102" s="170"/>
      <c r="AN102" s="170"/>
      <c r="AO102" s="170"/>
      <c r="AP102" s="170"/>
      <c r="AQ102" s="171"/>
      <c r="AR102" s="171"/>
      <c r="AS102" s="171"/>
      <c r="AT102" s="176"/>
      <c r="AU102" s="170"/>
      <c r="AV102" s="170"/>
      <c r="AW102" s="170"/>
      <c r="AX102" s="176"/>
    </row>
    <row r="103" spans="2:50" s="117" customFormat="1">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081"/>
      <c r="AM103" s="170"/>
      <c r="AN103" s="170"/>
      <c r="AO103" s="170"/>
      <c r="AP103" s="170"/>
      <c r="AQ103" s="171"/>
      <c r="AR103" s="171"/>
      <c r="AS103" s="171"/>
      <c r="AT103" s="176"/>
      <c r="AU103" s="170"/>
      <c r="AV103" s="170"/>
      <c r="AW103" s="170"/>
      <c r="AX103" s="176"/>
    </row>
    <row r="104" spans="2:50" s="168" customFormat="1">
      <c r="AL104" s="1080"/>
    </row>
    <row r="105" spans="2:50" s="168" customFormat="1">
      <c r="AL105" s="1080"/>
    </row>
    <row r="106" spans="2:50" s="117" customFormat="1">
      <c r="B106" s="173"/>
      <c r="C106" s="173"/>
      <c r="D106" s="173"/>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c r="AK106" s="95"/>
      <c r="AL106" s="1068"/>
      <c r="AM106" s="95"/>
      <c r="AN106" s="95"/>
      <c r="AO106" s="95"/>
      <c r="AP106" s="95"/>
      <c r="AQ106" s="175"/>
      <c r="AR106" s="175"/>
      <c r="AS106" s="181"/>
      <c r="AT106" s="176"/>
      <c r="AU106" s="95"/>
      <c r="AV106" s="95"/>
      <c r="AW106" s="95"/>
      <c r="AX106" s="176"/>
    </row>
    <row r="107" spans="2:50" s="117" customFormat="1">
      <c r="B107" s="95"/>
      <c r="C107" s="95"/>
      <c r="D107" s="95"/>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082"/>
      <c r="AM107" s="177"/>
      <c r="AN107" s="177"/>
      <c r="AO107" s="177"/>
      <c r="AP107" s="177"/>
      <c r="AQ107" s="178"/>
      <c r="AR107" s="178"/>
      <c r="AS107" s="181"/>
      <c r="AT107" s="176"/>
      <c r="AU107" s="177"/>
      <c r="AV107" s="177"/>
      <c r="AW107" s="177"/>
      <c r="AX107" s="176"/>
    </row>
    <row r="108" spans="2:50" s="117" customFormat="1">
      <c r="B108" s="95"/>
      <c r="C108" s="95"/>
      <c r="D108" s="95"/>
      <c r="E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c r="AK108" s="95"/>
      <c r="AL108" s="1068"/>
      <c r="AM108" s="95"/>
      <c r="AN108" s="95"/>
      <c r="AO108" s="95"/>
      <c r="AP108" s="95"/>
      <c r="AQ108" s="162"/>
      <c r="AR108" s="162"/>
      <c r="AS108" s="162"/>
      <c r="AT108" s="176"/>
      <c r="AU108" s="95"/>
      <c r="AV108" s="95"/>
      <c r="AW108" s="95"/>
      <c r="AX108" s="176"/>
    </row>
    <row r="109" spans="2:50" s="117" customFormat="1">
      <c r="B109" s="179"/>
      <c r="C109" s="179"/>
      <c r="D109" s="179"/>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c r="AA109" s="163"/>
      <c r="AB109" s="163"/>
      <c r="AC109" s="163"/>
      <c r="AD109" s="163"/>
      <c r="AE109" s="163"/>
      <c r="AF109" s="163"/>
      <c r="AG109" s="163"/>
      <c r="AH109" s="163"/>
      <c r="AI109" s="163"/>
      <c r="AJ109" s="163"/>
      <c r="AK109" s="163"/>
      <c r="AL109" s="1077"/>
      <c r="AM109" s="163"/>
      <c r="AN109" s="163"/>
      <c r="AO109" s="163"/>
      <c r="AP109" s="163"/>
      <c r="AQ109" s="164"/>
      <c r="AR109" s="164"/>
      <c r="AS109" s="164"/>
      <c r="AT109" s="176"/>
      <c r="AU109" s="163"/>
      <c r="AV109" s="163"/>
      <c r="AW109" s="163"/>
      <c r="AX109" s="176"/>
    </row>
    <row r="110" spans="2:50" s="117" customFormat="1">
      <c r="B110" s="179"/>
      <c r="C110" s="179"/>
      <c r="D110" s="179"/>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63"/>
      <c r="AE110" s="163"/>
      <c r="AF110" s="163"/>
      <c r="AG110" s="163"/>
      <c r="AH110" s="163"/>
      <c r="AI110" s="163"/>
      <c r="AJ110" s="163"/>
      <c r="AK110" s="163"/>
      <c r="AL110" s="1077"/>
      <c r="AM110" s="163"/>
      <c r="AN110" s="163"/>
      <c r="AO110" s="163"/>
      <c r="AP110" s="163"/>
      <c r="AQ110" s="164"/>
      <c r="AR110" s="164"/>
      <c r="AS110" s="164"/>
      <c r="AT110" s="176"/>
      <c r="AU110" s="163"/>
      <c r="AV110" s="163"/>
      <c r="AW110" s="163"/>
      <c r="AX110" s="176"/>
    </row>
    <row r="111" spans="2:50" s="117" customFormat="1">
      <c r="B111" s="179"/>
      <c r="C111" s="179"/>
      <c r="D111" s="179"/>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c r="AA111" s="163"/>
      <c r="AB111" s="163"/>
      <c r="AC111" s="163"/>
      <c r="AD111" s="163"/>
      <c r="AE111" s="163"/>
      <c r="AF111" s="163"/>
      <c r="AG111" s="163"/>
      <c r="AH111" s="163"/>
      <c r="AI111" s="163"/>
      <c r="AJ111" s="163"/>
      <c r="AK111" s="163"/>
      <c r="AL111" s="1077"/>
      <c r="AM111" s="163"/>
      <c r="AN111" s="163"/>
      <c r="AO111" s="163"/>
      <c r="AP111" s="163"/>
      <c r="AQ111" s="164"/>
      <c r="AR111" s="164"/>
      <c r="AS111" s="164"/>
      <c r="AT111" s="176"/>
      <c r="AU111" s="163"/>
      <c r="AV111" s="163"/>
      <c r="AW111" s="163"/>
      <c r="AX111" s="176"/>
    </row>
    <row r="112" spans="2:50" s="117" customFormat="1">
      <c r="B112" s="179"/>
      <c r="C112" s="179"/>
      <c r="D112" s="179"/>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63"/>
      <c r="AE112" s="163"/>
      <c r="AF112" s="163"/>
      <c r="AG112" s="163"/>
      <c r="AH112" s="163"/>
      <c r="AI112" s="163"/>
      <c r="AJ112" s="163"/>
      <c r="AK112" s="163"/>
      <c r="AL112" s="1077"/>
      <c r="AM112" s="163"/>
      <c r="AN112" s="163"/>
      <c r="AO112" s="163"/>
      <c r="AP112" s="163"/>
      <c r="AQ112" s="164"/>
      <c r="AR112" s="164"/>
      <c r="AS112" s="164"/>
      <c r="AT112" s="176"/>
      <c r="AU112" s="163"/>
      <c r="AV112" s="163"/>
      <c r="AW112" s="163"/>
      <c r="AX112" s="176"/>
    </row>
    <row r="113" spans="1:50" s="117" customFormat="1">
      <c r="B113" s="179"/>
      <c r="C113" s="179"/>
      <c r="D113" s="179"/>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077"/>
      <c r="AM113" s="163"/>
      <c r="AN113" s="163"/>
      <c r="AO113" s="163"/>
      <c r="AP113" s="163"/>
      <c r="AQ113" s="164"/>
      <c r="AR113" s="164"/>
      <c r="AS113" s="164"/>
      <c r="AT113" s="176"/>
      <c r="AU113" s="163"/>
      <c r="AV113" s="163"/>
      <c r="AW113" s="163"/>
      <c r="AX113" s="176"/>
    </row>
    <row r="114" spans="1:50" s="117" customFormat="1">
      <c r="B114" s="179"/>
      <c r="C114" s="179"/>
      <c r="D114" s="179"/>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c r="AA114" s="163"/>
      <c r="AB114" s="163"/>
      <c r="AC114" s="163"/>
      <c r="AD114" s="163"/>
      <c r="AE114" s="163"/>
      <c r="AF114" s="163"/>
      <c r="AG114" s="163"/>
      <c r="AH114" s="163"/>
      <c r="AI114" s="163"/>
      <c r="AJ114" s="163"/>
      <c r="AK114" s="163"/>
      <c r="AL114" s="1077"/>
      <c r="AM114" s="163"/>
      <c r="AN114" s="163"/>
      <c r="AO114" s="163"/>
      <c r="AP114" s="163"/>
      <c r="AQ114" s="164"/>
      <c r="AR114" s="164"/>
      <c r="AS114" s="164"/>
      <c r="AT114" s="176"/>
      <c r="AU114" s="163"/>
      <c r="AV114" s="163"/>
      <c r="AW114" s="163"/>
      <c r="AX114" s="176"/>
    </row>
    <row r="115" spans="1:50" s="117" customFormat="1">
      <c r="B115" s="179"/>
      <c r="C115" s="179"/>
      <c r="D115" s="179"/>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63"/>
      <c r="AE115" s="163"/>
      <c r="AF115" s="163"/>
      <c r="AG115" s="163"/>
      <c r="AH115" s="163"/>
      <c r="AI115" s="163"/>
      <c r="AJ115" s="163"/>
      <c r="AK115" s="163"/>
      <c r="AL115" s="1077"/>
      <c r="AM115" s="163"/>
      <c r="AN115" s="163"/>
      <c r="AO115" s="163"/>
      <c r="AP115" s="163"/>
      <c r="AQ115" s="164"/>
      <c r="AR115" s="164"/>
      <c r="AS115" s="164"/>
      <c r="AT115" s="176"/>
      <c r="AU115" s="163"/>
      <c r="AV115" s="163"/>
      <c r="AW115" s="163"/>
      <c r="AX115" s="176"/>
    </row>
    <row r="116" spans="1:50" s="117" customFormat="1">
      <c r="B116" s="179"/>
      <c r="C116" s="179"/>
      <c r="D116" s="179"/>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63"/>
      <c r="AE116" s="163"/>
      <c r="AF116" s="163"/>
      <c r="AG116" s="163"/>
      <c r="AH116" s="163"/>
      <c r="AI116" s="163"/>
      <c r="AJ116" s="163"/>
      <c r="AK116" s="163"/>
      <c r="AL116" s="1077"/>
      <c r="AM116" s="163"/>
      <c r="AN116" s="163"/>
      <c r="AO116" s="163"/>
      <c r="AP116" s="163"/>
      <c r="AQ116" s="164"/>
      <c r="AR116" s="164"/>
      <c r="AS116" s="164"/>
      <c r="AT116" s="176"/>
      <c r="AU116" s="163"/>
      <c r="AV116" s="163"/>
      <c r="AW116" s="163"/>
      <c r="AX116" s="176"/>
    </row>
    <row r="117" spans="1:50" s="117" customFormat="1">
      <c r="B117" s="179"/>
      <c r="C117" s="179"/>
      <c r="D117" s="179"/>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c r="AA117" s="163"/>
      <c r="AB117" s="163"/>
      <c r="AC117" s="163"/>
      <c r="AD117" s="163"/>
      <c r="AE117" s="163"/>
      <c r="AF117" s="163"/>
      <c r="AG117" s="163"/>
      <c r="AH117" s="163"/>
      <c r="AI117" s="163"/>
      <c r="AJ117" s="163"/>
      <c r="AK117" s="163"/>
      <c r="AL117" s="1077"/>
      <c r="AM117" s="163"/>
      <c r="AN117" s="163"/>
      <c r="AO117" s="163"/>
      <c r="AP117" s="163"/>
      <c r="AQ117" s="164"/>
      <c r="AR117" s="164"/>
      <c r="AS117" s="164"/>
      <c r="AT117" s="176"/>
      <c r="AU117" s="163"/>
      <c r="AV117" s="163"/>
      <c r="AW117" s="163"/>
      <c r="AX117" s="176"/>
    </row>
    <row r="118" spans="1:50" s="117" customFormat="1">
      <c r="B118" s="179"/>
      <c r="C118" s="179"/>
      <c r="D118" s="179"/>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63"/>
      <c r="AE118" s="163"/>
      <c r="AF118" s="163"/>
      <c r="AG118" s="163"/>
      <c r="AH118" s="163"/>
      <c r="AI118" s="163"/>
      <c r="AJ118" s="163"/>
      <c r="AK118" s="163"/>
      <c r="AL118" s="1077"/>
      <c r="AM118" s="163"/>
      <c r="AN118" s="163"/>
      <c r="AO118" s="163"/>
      <c r="AP118" s="163"/>
      <c r="AQ118" s="164"/>
      <c r="AR118" s="164"/>
      <c r="AS118" s="164"/>
      <c r="AT118" s="176"/>
      <c r="AU118" s="163"/>
      <c r="AV118" s="163"/>
      <c r="AW118" s="163"/>
      <c r="AX118" s="176"/>
    </row>
    <row r="119" spans="1:50" s="117" customFormat="1" outlineLevel="1">
      <c r="B119" s="179"/>
      <c r="C119" s="179"/>
      <c r="D119" s="179"/>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c r="AD119" s="182"/>
      <c r="AE119" s="182"/>
      <c r="AF119" s="182"/>
      <c r="AG119" s="182"/>
      <c r="AH119" s="182"/>
      <c r="AI119" s="182"/>
      <c r="AJ119" s="182"/>
      <c r="AK119" s="182"/>
      <c r="AL119" s="1083"/>
      <c r="AM119" s="182"/>
      <c r="AN119" s="182"/>
      <c r="AO119" s="182"/>
      <c r="AP119" s="182"/>
      <c r="AQ119" s="164"/>
      <c r="AR119" s="164"/>
      <c r="AS119" s="164"/>
      <c r="AT119" s="176"/>
      <c r="AU119" s="182"/>
      <c r="AV119" s="182"/>
      <c r="AW119" s="182"/>
      <c r="AX119" s="176"/>
    </row>
    <row r="120" spans="1:50" s="117" customFormat="1" outlineLevel="1">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079"/>
      <c r="AM120" s="166"/>
      <c r="AN120" s="166"/>
      <c r="AO120" s="166"/>
      <c r="AP120" s="166"/>
      <c r="AQ120" s="167"/>
      <c r="AR120" s="167"/>
      <c r="AS120" s="164"/>
      <c r="AT120" s="184"/>
      <c r="AU120" s="166"/>
      <c r="AV120" s="166"/>
      <c r="AW120" s="166"/>
      <c r="AX120" s="184"/>
    </row>
    <row r="121" spans="1:50" s="117" customFormat="1" outlineLevel="1">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079"/>
      <c r="AM121" s="166"/>
      <c r="AN121" s="166"/>
      <c r="AO121" s="166"/>
      <c r="AP121" s="166"/>
      <c r="AQ121" s="167"/>
      <c r="AR121" s="167"/>
      <c r="AS121" s="164"/>
      <c r="AT121" s="184"/>
      <c r="AU121" s="166"/>
      <c r="AV121" s="166"/>
      <c r="AW121" s="166"/>
      <c r="AX121" s="184"/>
    </row>
    <row r="122" spans="1:50" s="117" customFormat="1" outlineLevel="1">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079"/>
      <c r="AM122" s="166"/>
      <c r="AN122" s="166"/>
      <c r="AO122" s="166"/>
      <c r="AP122" s="166"/>
      <c r="AQ122" s="167"/>
      <c r="AR122" s="167"/>
      <c r="AS122" s="164"/>
      <c r="AT122" s="184"/>
      <c r="AU122" s="166"/>
      <c r="AV122" s="166"/>
      <c r="AW122" s="166"/>
      <c r="AX122" s="184"/>
    </row>
    <row r="123" spans="1:50" s="117" customFormat="1" outlineLevel="1">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079"/>
      <c r="AM123" s="166"/>
      <c r="AN123" s="166"/>
      <c r="AO123" s="166"/>
      <c r="AP123" s="166"/>
      <c r="AQ123" s="167"/>
      <c r="AR123" s="167"/>
      <c r="AS123" s="164"/>
      <c r="AT123" s="184"/>
      <c r="AU123" s="166"/>
      <c r="AV123" s="166"/>
      <c r="AW123" s="166"/>
      <c r="AX123" s="184"/>
    </row>
    <row r="124" spans="1:50" s="117" customFormat="1" outlineLevel="1">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079"/>
      <c r="AM124" s="166"/>
      <c r="AN124" s="166"/>
      <c r="AO124" s="166"/>
      <c r="AP124" s="166"/>
      <c r="AQ124" s="167"/>
      <c r="AR124" s="167"/>
      <c r="AS124" s="164"/>
      <c r="AT124" s="184"/>
      <c r="AU124" s="166"/>
      <c r="AV124" s="166"/>
      <c r="AW124" s="166"/>
      <c r="AX124" s="184"/>
    </row>
    <row r="125" spans="1:50" s="117" customFormat="1" outlineLevel="1">
      <c r="A125" s="9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c r="AA125" s="185"/>
      <c r="AB125" s="185"/>
      <c r="AC125" s="185"/>
      <c r="AD125" s="185"/>
      <c r="AE125" s="185"/>
      <c r="AF125" s="185"/>
      <c r="AG125" s="185"/>
      <c r="AH125" s="185"/>
      <c r="AI125" s="185"/>
      <c r="AJ125" s="185"/>
      <c r="AK125" s="185"/>
      <c r="AL125" s="1084"/>
      <c r="AM125" s="185"/>
      <c r="AN125" s="185"/>
      <c r="AO125" s="185"/>
      <c r="AP125" s="185"/>
      <c r="AQ125" s="156"/>
      <c r="AR125" s="156"/>
      <c r="AS125" s="156"/>
      <c r="AT125" s="156"/>
      <c r="AU125" s="185"/>
      <c r="AV125" s="185"/>
      <c r="AW125" s="185"/>
      <c r="AX125" s="156"/>
    </row>
    <row r="126" spans="1:50" s="117" customFormat="1" outlineLevel="1">
      <c r="B126" s="157"/>
      <c r="C126" s="157"/>
      <c r="D126" s="157"/>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c r="AK126" s="95"/>
      <c r="AL126" s="1068"/>
      <c r="AM126" s="95"/>
      <c r="AN126" s="95"/>
      <c r="AO126" s="95"/>
      <c r="AP126" s="95"/>
      <c r="AQ126" s="158"/>
      <c r="AR126" s="158"/>
      <c r="AS126" s="162"/>
      <c r="AT126" s="176"/>
      <c r="AU126" s="95"/>
      <c r="AV126" s="95"/>
      <c r="AW126" s="95"/>
      <c r="AX126" s="176"/>
    </row>
    <row r="127" spans="1:50" s="117" customFormat="1" outlineLevel="1">
      <c r="B127" s="95"/>
      <c r="C127" s="95"/>
      <c r="D127" s="95"/>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c r="AG127" s="159"/>
      <c r="AH127" s="159"/>
      <c r="AI127" s="159"/>
      <c r="AJ127" s="159"/>
      <c r="AK127" s="159"/>
      <c r="AL127" s="1076"/>
      <c r="AM127" s="159"/>
      <c r="AN127" s="159"/>
      <c r="AO127" s="159"/>
      <c r="AP127" s="159"/>
      <c r="AQ127" s="161"/>
      <c r="AR127" s="161"/>
      <c r="AS127" s="162"/>
      <c r="AT127" s="176"/>
      <c r="AU127" s="159"/>
      <c r="AV127" s="159"/>
      <c r="AW127" s="159"/>
      <c r="AX127" s="176"/>
    </row>
    <row r="128" spans="1:50" s="117" customFormat="1" outlineLevel="1">
      <c r="B128" s="95"/>
      <c r="C128" s="95"/>
      <c r="D128" s="95"/>
      <c r="E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1068"/>
      <c r="AM128" s="95"/>
      <c r="AN128" s="95"/>
      <c r="AO128" s="95"/>
      <c r="AP128" s="95"/>
      <c r="AQ128" s="162"/>
      <c r="AR128" s="162"/>
      <c r="AS128" s="162"/>
      <c r="AT128" s="176"/>
      <c r="AU128" s="95"/>
      <c r="AV128" s="95"/>
      <c r="AW128" s="95"/>
      <c r="AX128" s="176"/>
    </row>
    <row r="129" spans="2:50" s="117" customFormat="1">
      <c r="B129" s="179"/>
      <c r="C129" s="179"/>
      <c r="D129" s="179"/>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077"/>
      <c r="AM129" s="163"/>
      <c r="AN129" s="163"/>
      <c r="AO129" s="163"/>
      <c r="AP129" s="163"/>
      <c r="AQ129" s="164"/>
      <c r="AR129" s="164"/>
      <c r="AS129" s="162"/>
      <c r="AT129" s="176"/>
      <c r="AU129" s="163"/>
      <c r="AV129" s="163"/>
      <c r="AW129" s="163"/>
      <c r="AX129" s="176"/>
    </row>
    <row r="130" spans="2:50" s="117" customFormat="1">
      <c r="B130" s="179"/>
      <c r="C130" s="179"/>
      <c r="D130" s="179"/>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c r="AA130" s="163"/>
      <c r="AB130" s="163"/>
      <c r="AC130" s="163"/>
      <c r="AD130" s="163"/>
      <c r="AE130" s="163"/>
      <c r="AF130" s="163"/>
      <c r="AG130" s="163"/>
      <c r="AH130" s="163"/>
      <c r="AI130" s="163"/>
      <c r="AJ130" s="163"/>
      <c r="AK130" s="163"/>
      <c r="AL130" s="1077"/>
      <c r="AM130" s="163"/>
      <c r="AN130" s="163"/>
      <c r="AO130" s="163"/>
      <c r="AP130" s="163"/>
      <c r="AQ130" s="164"/>
      <c r="AR130" s="164"/>
      <c r="AS130" s="162"/>
      <c r="AT130" s="176"/>
      <c r="AU130" s="163"/>
      <c r="AV130" s="163"/>
      <c r="AW130" s="163"/>
      <c r="AX130" s="176"/>
    </row>
    <row r="131" spans="2:50" s="117" customFormat="1">
      <c r="B131" s="179"/>
      <c r="C131" s="179"/>
      <c r="D131" s="179"/>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c r="AA131" s="163"/>
      <c r="AB131" s="163"/>
      <c r="AC131" s="163"/>
      <c r="AD131" s="163"/>
      <c r="AE131" s="163"/>
      <c r="AF131" s="163"/>
      <c r="AG131" s="163"/>
      <c r="AH131" s="163"/>
      <c r="AI131" s="163"/>
      <c r="AJ131" s="163"/>
      <c r="AK131" s="163"/>
      <c r="AL131" s="1077"/>
      <c r="AM131" s="163"/>
      <c r="AN131" s="163"/>
      <c r="AO131" s="163"/>
      <c r="AP131" s="163"/>
      <c r="AQ131" s="164"/>
      <c r="AR131" s="164"/>
      <c r="AS131" s="162"/>
      <c r="AT131" s="176"/>
      <c r="AU131" s="163"/>
      <c r="AV131" s="163"/>
      <c r="AW131" s="163"/>
      <c r="AX131" s="176"/>
    </row>
    <row r="132" spans="2:50" s="117" customFormat="1" outlineLevel="1">
      <c r="B132" s="179"/>
      <c r="C132" s="179"/>
      <c r="D132" s="179"/>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c r="AA132" s="163"/>
      <c r="AB132" s="163"/>
      <c r="AC132" s="163"/>
      <c r="AD132" s="163"/>
      <c r="AE132" s="163"/>
      <c r="AF132" s="163"/>
      <c r="AG132" s="163"/>
      <c r="AH132" s="163"/>
      <c r="AI132" s="163"/>
      <c r="AJ132" s="163"/>
      <c r="AK132" s="163"/>
      <c r="AL132" s="1077"/>
      <c r="AM132" s="163"/>
      <c r="AN132" s="163"/>
      <c r="AO132" s="163"/>
      <c r="AP132" s="163"/>
      <c r="AQ132" s="164"/>
      <c r="AR132" s="164"/>
      <c r="AS132" s="162"/>
      <c r="AT132" s="176"/>
      <c r="AU132" s="163"/>
      <c r="AV132" s="163"/>
      <c r="AW132" s="163"/>
      <c r="AX132" s="176"/>
    </row>
    <row r="133" spans="2:50" s="117" customFormat="1" outlineLevel="1">
      <c r="B133" s="179"/>
      <c r="C133" s="179"/>
      <c r="D133" s="179"/>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c r="AD133" s="163"/>
      <c r="AE133" s="163"/>
      <c r="AF133" s="163"/>
      <c r="AG133" s="163"/>
      <c r="AH133" s="163"/>
      <c r="AI133" s="163"/>
      <c r="AJ133" s="163"/>
      <c r="AK133" s="163"/>
      <c r="AL133" s="1077"/>
      <c r="AM133" s="163"/>
      <c r="AN133" s="163"/>
      <c r="AO133" s="163"/>
      <c r="AP133" s="163"/>
      <c r="AQ133" s="164"/>
      <c r="AR133" s="164"/>
      <c r="AS133" s="162"/>
      <c r="AT133" s="176"/>
      <c r="AU133" s="163"/>
      <c r="AV133" s="163"/>
      <c r="AW133" s="163"/>
      <c r="AX133" s="176"/>
    </row>
    <row r="134" spans="2:50" s="117" customFormat="1" outlineLevel="1">
      <c r="B134" s="179"/>
      <c r="C134" s="179"/>
      <c r="D134" s="179"/>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c r="AA134" s="163"/>
      <c r="AB134" s="163"/>
      <c r="AC134" s="163"/>
      <c r="AD134" s="163"/>
      <c r="AE134" s="163"/>
      <c r="AF134" s="163"/>
      <c r="AG134" s="163"/>
      <c r="AH134" s="163"/>
      <c r="AI134" s="163"/>
      <c r="AJ134" s="163"/>
      <c r="AK134" s="163"/>
      <c r="AL134" s="1077"/>
      <c r="AM134" s="163"/>
      <c r="AN134" s="163"/>
      <c r="AO134" s="163"/>
      <c r="AP134" s="163"/>
      <c r="AQ134" s="164"/>
      <c r="AR134" s="164"/>
      <c r="AS134" s="162"/>
      <c r="AT134" s="176"/>
      <c r="AU134" s="163"/>
      <c r="AV134" s="163"/>
      <c r="AW134" s="163"/>
      <c r="AX134" s="176"/>
    </row>
    <row r="135" spans="2:50" s="117" customFormat="1" outlineLevel="1">
      <c r="B135" s="179"/>
      <c r="C135" s="179"/>
      <c r="D135" s="179"/>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c r="AA135" s="163"/>
      <c r="AB135" s="163"/>
      <c r="AC135" s="163"/>
      <c r="AD135" s="163"/>
      <c r="AE135" s="163"/>
      <c r="AF135" s="163"/>
      <c r="AG135" s="163"/>
      <c r="AH135" s="163"/>
      <c r="AI135" s="163"/>
      <c r="AJ135" s="163"/>
      <c r="AK135" s="163"/>
      <c r="AL135" s="1077"/>
      <c r="AM135" s="163"/>
      <c r="AN135" s="163"/>
      <c r="AO135" s="163"/>
      <c r="AP135" s="163"/>
      <c r="AQ135" s="164"/>
      <c r="AR135" s="164"/>
      <c r="AS135" s="162"/>
      <c r="AT135" s="176"/>
      <c r="AU135" s="163"/>
      <c r="AV135" s="163"/>
      <c r="AW135" s="163"/>
      <c r="AX135" s="176"/>
    </row>
    <row r="136" spans="2:50" s="117" customFormat="1" outlineLevel="1">
      <c r="B136" s="179"/>
      <c r="C136" s="179"/>
      <c r="D136" s="179"/>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c r="AA136" s="163"/>
      <c r="AB136" s="163"/>
      <c r="AC136" s="163"/>
      <c r="AD136" s="163"/>
      <c r="AE136" s="163"/>
      <c r="AF136" s="163"/>
      <c r="AG136" s="163"/>
      <c r="AH136" s="163"/>
      <c r="AI136" s="163"/>
      <c r="AJ136" s="163"/>
      <c r="AK136" s="163"/>
      <c r="AL136" s="1077"/>
      <c r="AM136" s="163"/>
      <c r="AN136" s="163"/>
      <c r="AO136" s="163"/>
      <c r="AP136" s="163"/>
      <c r="AQ136" s="164"/>
      <c r="AR136" s="164"/>
      <c r="AS136" s="162"/>
      <c r="AT136" s="176"/>
      <c r="AU136" s="163"/>
      <c r="AV136" s="163"/>
      <c r="AW136" s="163"/>
      <c r="AX136" s="176"/>
    </row>
    <row r="137" spans="2:50" s="117" customFormat="1" outlineLevel="1">
      <c r="B137" s="179"/>
      <c r="C137" s="179"/>
      <c r="D137" s="179"/>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c r="AA137" s="163"/>
      <c r="AB137" s="163"/>
      <c r="AC137" s="163"/>
      <c r="AD137" s="163"/>
      <c r="AE137" s="163"/>
      <c r="AF137" s="163"/>
      <c r="AG137" s="163"/>
      <c r="AH137" s="163"/>
      <c r="AI137" s="163"/>
      <c r="AJ137" s="163"/>
      <c r="AK137" s="163"/>
      <c r="AL137" s="1077"/>
      <c r="AM137" s="163"/>
      <c r="AN137" s="163"/>
      <c r="AO137" s="163"/>
      <c r="AP137" s="163"/>
      <c r="AQ137" s="164"/>
      <c r="AR137" s="164"/>
      <c r="AS137" s="162"/>
      <c r="AT137" s="176"/>
      <c r="AU137" s="163"/>
      <c r="AV137" s="163"/>
      <c r="AW137" s="163"/>
      <c r="AX137" s="176"/>
    </row>
    <row r="138" spans="2:50" s="117" customFormat="1" outlineLevel="1">
      <c r="B138" s="179"/>
      <c r="C138" s="179"/>
      <c r="D138" s="179"/>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c r="AA138" s="163"/>
      <c r="AB138" s="163"/>
      <c r="AC138" s="163"/>
      <c r="AD138" s="163"/>
      <c r="AE138" s="163"/>
      <c r="AF138" s="163"/>
      <c r="AG138" s="163"/>
      <c r="AH138" s="163"/>
      <c r="AI138" s="163"/>
      <c r="AJ138" s="163"/>
      <c r="AK138" s="163"/>
      <c r="AL138" s="1077"/>
      <c r="AM138" s="163"/>
      <c r="AN138" s="163"/>
      <c r="AO138" s="163"/>
      <c r="AP138" s="163"/>
      <c r="AQ138" s="164"/>
      <c r="AR138" s="164"/>
      <c r="AS138" s="162"/>
      <c r="AT138" s="176"/>
      <c r="AU138" s="163"/>
      <c r="AV138" s="163"/>
      <c r="AW138" s="163"/>
      <c r="AX138" s="176"/>
    </row>
    <row r="139" spans="2:50" s="117" customFormat="1" outlineLevel="1">
      <c r="B139" s="179"/>
      <c r="C139" s="179"/>
      <c r="D139" s="179"/>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2"/>
      <c r="AI139" s="182"/>
      <c r="AJ139" s="182"/>
      <c r="AK139" s="182"/>
      <c r="AL139" s="1083"/>
      <c r="AM139" s="182"/>
      <c r="AN139" s="182"/>
      <c r="AO139" s="182"/>
      <c r="AP139" s="182"/>
      <c r="AQ139" s="164"/>
      <c r="AR139" s="164"/>
      <c r="AS139" s="164"/>
      <c r="AT139" s="176"/>
      <c r="AU139" s="182"/>
      <c r="AV139" s="182"/>
      <c r="AW139" s="182"/>
      <c r="AX139" s="176"/>
    </row>
    <row r="140" spans="2:50" s="117" customFormat="1" outlineLevel="1">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079"/>
      <c r="AM140" s="166"/>
      <c r="AN140" s="166"/>
      <c r="AO140" s="166"/>
      <c r="AP140" s="166"/>
      <c r="AQ140" s="167"/>
      <c r="AR140" s="167"/>
      <c r="AS140" s="164"/>
      <c r="AT140" s="184"/>
      <c r="AU140" s="166"/>
      <c r="AV140" s="166"/>
      <c r="AW140" s="166"/>
      <c r="AX140" s="184"/>
    </row>
    <row r="141" spans="2:50" s="117" customFormat="1" outlineLevel="1">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079"/>
      <c r="AM141" s="166"/>
      <c r="AN141" s="166"/>
      <c r="AO141" s="166"/>
      <c r="AP141" s="166"/>
      <c r="AQ141" s="167"/>
      <c r="AR141" s="167"/>
      <c r="AS141" s="164"/>
      <c r="AT141" s="184"/>
      <c r="AU141" s="166"/>
      <c r="AV141" s="166"/>
      <c r="AW141" s="166"/>
      <c r="AX141" s="184"/>
    </row>
    <row r="142" spans="2:50" s="117" customFormat="1" outlineLevel="1">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079"/>
      <c r="AM142" s="166"/>
      <c r="AN142" s="166"/>
      <c r="AO142" s="166"/>
      <c r="AP142" s="166"/>
      <c r="AQ142" s="167"/>
      <c r="AR142" s="167"/>
      <c r="AS142" s="164"/>
      <c r="AT142" s="184"/>
      <c r="AU142" s="166"/>
      <c r="AV142" s="166"/>
      <c r="AW142" s="166"/>
      <c r="AX142" s="184"/>
    </row>
    <row r="143" spans="2:50" s="117" customFormat="1" outlineLevel="1">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079"/>
      <c r="AM143" s="166"/>
      <c r="AN143" s="166"/>
      <c r="AO143" s="166"/>
      <c r="AP143" s="166"/>
      <c r="AQ143" s="167"/>
      <c r="AR143" s="167"/>
      <c r="AS143" s="164"/>
      <c r="AT143" s="184"/>
      <c r="AU143" s="166"/>
      <c r="AV143" s="166"/>
      <c r="AW143" s="166"/>
      <c r="AX143" s="184"/>
    </row>
    <row r="144" spans="2:50" s="117" customFormat="1" outlineLevel="1">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079"/>
      <c r="AM144" s="166"/>
      <c r="AN144" s="166"/>
      <c r="AO144" s="166"/>
      <c r="AP144" s="166"/>
      <c r="AQ144" s="167"/>
      <c r="AR144" s="167"/>
      <c r="AS144" s="164"/>
      <c r="AT144" s="184"/>
      <c r="AU144" s="166"/>
      <c r="AV144" s="166"/>
      <c r="AW144" s="166"/>
      <c r="AX144" s="184"/>
    </row>
    <row r="145" spans="1:50" s="117" customFormat="1">
      <c r="A145" s="95"/>
      <c r="B145" s="187"/>
      <c r="C145" s="187"/>
      <c r="D145" s="187"/>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6"/>
      <c r="AC145" s="116"/>
      <c r="AD145" s="116"/>
      <c r="AE145" s="116"/>
      <c r="AF145" s="116"/>
      <c r="AG145" s="116"/>
      <c r="AH145" s="116"/>
      <c r="AI145" s="116"/>
      <c r="AJ145" s="116"/>
      <c r="AK145" s="116"/>
      <c r="AL145" s="1075"/>
      <c r="AM145" s="116"/>
      <c r="AN145" s="116"/>
      <c r="AO145" s="116"/>
      <c r="AP145" s="116"/>
      <c r="AS145" s="156"/>
      <c r="AU145" s="116"/>
      <c r="AV145" s="116"/>
      <c r="AW145" s="116"/>
    </row>
    <row r="146" spans="1:50" s="117" customFormat="1">
      <c r="A146" s="95"/>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081"/>
      <c r="AM146" s="170"/>
      <c r="AN146" s="170"/>
      <c r="AO146" s="170"/>
      <c r="AP146" s="170"/>
      <c r="AQ146" s="171"/>
      <c r="AR146" s="171"/>
      <c r="AU146" s="170"/>
      <c r="AV146" s="170"/>
      <c r="AW146" s="170"/>
    </row>
    <row r="147" spans="1:50" s="117" customFormat="1">
      <c r="A147" s="95"/>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081"/>
      <c r="AM147" s="170"/>
      <c r="AN147" s="170"/>
      <c r="AO147" s="170"/>
      <c r="AP147" s="170"/>
      <c r="AQ147" s="171"/>
      <c r="AR147" s="171"/>
      <c r="AU147" s="170"/>
      <c r="AV147" s="170"/>
      <c r="AW147" s="170"/>
    </row>
    <row r="148" spans="1:50" s="117" customFormat="1">
      <c r="A148" s="95"/>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081"/>
      <c r="AM148" s="170"/>
      <c r="AN148" s="170"/>
      <c r="AO148" s="170"/>
      <c r="AP148" s="170"/>
      <c r="AQ148" s="171"/>
      <c r="AR148" s="171"/>
      <c r="AU148" s="170"/>
      <c r="AV148" s="170"/>
      <c r="AW148" s="170"/>
    </row>
    <row r="149" spans="1:50" s="117" customFormat="1">
      <c r="A149" s="95"/>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081"/>
      <c r="AM149" s="170"/>
      <c r="AN149" s="170"/>
      <c r="AO149" s="170"/>
      <c r="AP149" s="170"/>
      <c r="AQ149" s="171"/>
      <c r="AR149" s="171"/>
      <c r="AU149" s="170"/>
      <c r="AV149" s="170"/>
      <c r="AW149" s="170"/>
    </row>
    <row r="150" spans="1:50" s="117" customFormat="1">
      <c r="A150" s="95"/>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081"/>
      <c r="AM150" s="170"/>
      <c r="AN150" s="170"/>
      <c r="AO150" s="170"/>
      <c r="AP150" s="170"/>
      <c r="AQ150" s="171"/>
      <c r="AR150" s="171"/>
      <c r="AU150" s="170"/>
      <c r="AV150" s="170"/>
      <c r="AW150" s="170"/>
    </row>
    <row r="151" spans="1:50" s="168" customFormat="1">
      <c r="AL151" s="1080"/>
    </row>
    <row r="152" spans="1:50" s="117" customFormat="1">
      <c r="B152" s="188"/>
      <c r="C152" s="188"/>
      <c r="D152" s="188"/>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16"/>
      <c r="AG152" s="116"/>
      <c r="AH152" s="116"/>
      <c r="AI152" s="116"/>
      <c r="AJ152" s="116"/>
      <c r="AK152" s="116"/>
      <c r="AL152" s="1075"/>
      <c r="AM152" s="116"/>
      <c r="AN152" s="116"/>
      <c r="AO152" s="116"/>
      <c r="AP152" s="116"/>
      <c r="AS152" s="189"/>
      <c r="AT152" s="176"/>
      <c r="AU152" s="116"/>
      <c r="AV152" s="116"/>
      <c r="AW152" s="116"/>
      <c r="AX152" s="176"/>
    </row>
    <row r="153" spans="1:50" s="117" customFormat="1">
      <c r="B153" s="185"/>
      <c r="C153" s="185"/>
      <c r="D153" s="185"/>
      <c r="E153" s="190"/>
      <c r="F153" s="190"/>
      <c r="G153" s="190"/>
      <c r="H153" s="190"/>
      <c r="I153" s="190"/>
      <c r="J153" s="190"/>
      <c r="K153" s="190"/>
      <c r="L153" s="190"/>
      <c r="M153" s="190"/>
      <c r="N153" s="190"/>
      <c r="O153" s="190"/>
      <c r="P153" s="190"/>
      <c r="Q153" s="190"/>
      <c r="R153" s="190"/>
      <c r="S153" s="190"/>
      <c r="T153" s="190"/>
      <c r="U153" s="190"/>
      <c r="V153" s="190"/>
      <c r="W153" s="190"/>
      <c r="X153" s="190"/>
      <c r="Y153" s="190"/>
      <c r="Z153" s="190"/>
      <c r="AA153" s="190"/>
      <c r="AB153" s="190"/>
      <c r="AC153" s="190"/>
      <c r="AD153" s="190"/>
      <c r="AE153" s="190"/>
      <c r="AF153" s="190"/>
      <c r="AG153" s="190"/>
      <c r="AH153" s="190"/>
      <c r="AI153" s="190"/>
      <c r="AJ153" s="190"/>
      <c r="AK153" s="190"/>
      <c r="AL153" s="1085"/>
      <c r="AM153" s="190"/>
      <c r="AN153" s="190"/>
      <c r="AO153" s="190"/>
      <c r="AP153" s="190"/>
      <c r="AS153" s="191"/>
      <c r="AT153" s="176"/>
      <c r="AU153" s="190"/>
      <c r="AV153" s="190"/>
      <c r="AW153" s="190"/>
      <c r="AX153" s="176"/>
    </row>
    <row r="154" spans="1:50" s="117" customFormat="1">
      <c r="B154" s="192"/>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c r="AA154" s="192"/>
      <c r="AB154" s="192"/>
      <c r="AC154" s="192"/>
      <c r="AD154" s="192"/>
      <c r="AE154" s="192"/>
      <c r="AF154" s="192"/>
      <c r="AG154" s="192"/>
      <c r="AH154" s="192"/>
      <c r="AI154" s="192"/>
      <c r="AJ154" s="192"/>
      <c r="AK154" s="192"/>
      <c r="AL154" s="1086"/>
      <c r="AM154" s="192"/>
      <c r="AN154" s="192"/>
      <c r="AO154" s="192"/>
      <c r="AP154" s="192"/>
      <c r="AQ154" s="192"/>
      <c r="AR154" s="192"/>
      <c r="AS154" s="192"/>
      <c r="AT154" s="156"/>
      <c r="AU154" s="192"/>
      <c r="AV154" s="192"/>
      <c r="AW154" s="192"/>
      <c r="AX154" s="156"/>
    </row>
    <row r="155" spans="1:50" s="117" customFormat="1">
      <c r="B155" s="118"/>
      <c r="C155" s="118"/>
      <c r="D155" s="118"/>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c r="AD155" s="193"/>
      <c r="AE155" s="193"/>
      <c r="AF155" s="193"/>
      <c r="AG155" s="193"/>
      <c r="AH155" s="193"/>
      <c r="AI155" s="193"/>
      <c r="AJ155" s="193"/>
      <c r="AK155" s="193"/>
      <c r="AL155" s="1087"/>
      <c r="AM155" s="193"/>
      <c r="AN155" s="193"/>
      <c r="AO155" s="193"/>
      <c r="AP155" s="193"/>
      <c r="AQ155" s="192"/>
      <c r="AR155" s="192"/>
      <c r="AS155" s="192"/>
      <c r="AT155" s="156"/>
      <c r="AU155" s="193"/>
      <c r="AV155" s="193"/>
      <c r="AW155" s="193"/>
      <c r="AX155" s="156"/>
    </row>
    <row r="156" spans="1:50" s="117" customFormat="1">
      <c r="A156" s="95"/>
      <c r="AL156" s="201"/>
      <c r="AQ156" s="192"/>
      <c r="AR156" s="192"/>
      <c r="AS156" s="192"/>
      <c r="AT156" s="195"/>
      <c r="AX156" s="195"/>
    </row>
    <row r="157" spans="1:50" s="117" customFormat="1">
      <c r="AL157" s="201"/>
    </row>
    <row r="158" spans="1:50" s="117" customFormat="1">
      <c r="B158" s="196"/>
      <c r="C158" s="196"/>
      <c r="D158" s="196"/>
      <c r="AL158" s="201"/>
    </row>
    <row r="159" spans="1:50" s="117" customFormat="1">
      <c r="E159" s="197"/>
      <c r="F159" s="197"/>
      <c r="G159" s="197"/>
      <c r="H159" s="197"/>
      <c r="AL159" s="201"/>
    </row>
    <row r="160" spans="1:50" s="117" customFormat="1">
      <c r="E160" s="197"/>
      <c r="F160" s="197"/>
      <c r="G160" s="197"/>
      <c r="H160" s="197"/>
      <c r="AL160" s="201"/>
    </row>
    <row r="161" spans="2:49" s="117" customFormat="1">
      <c r="E161" s="197"/>
      <c r="F161" s="197"/>
      <c r="G161" s="197"/>
      <c r="H161" s="197"/>
      <c r="AL161" s="201"/>
    </row>
    <row r="162" spans="2:49" s="117" customFormat="1">
      <c r="E162" s="197"/>
      <c r="F162" s="197"/>
      <c r="G162" s="197"/>
      <c r="H162" s="197"/>
      <c r="AL162" s="201"/>
    </row>
    <row r="163" spans="2:49" s="117" customFormat="1">
      <c r="E163" s="197"/>
      <c r="F163" s="197"/>
      <c r="G163" s="197"/>
      <c r="H163" s="197"/>
      <c r="AL163" s="201"/>
    </row>
    <row r="164" spans="2:49" s="117" customFormat="1">
      <c r="E164" s="197"/>
      <c r="F164" s="197"/>
      <c r="G164" s="197"/>
      <c r="H164" s="197"/>
      <c r="AL164" s="201"/>
    </row>
    <row r="165" spans="2:49" s="117" customFormat="1">
      <c r="B165" s="185"/>
      <c r="C165" s="185"/>
      <c r="D165" s="185"/>
      <c r="AL165" s="201"/>
    </row>
    <row r="166" spans="2:49" s="117" customFormat="1">
      <c r="B166" s="185"/>
      <c r="C166" s="185"/>
      <c r="D166" s="185"/>
      <c r="AL166" s="201"/>
    </row>
    <row r="167" spans="2:49" s="117" customFormat="1">
      <c r="AL167" s="201"/>
    </row>
    <row r="168" spans="2:49" s="117" customFormat="1">
      <c r="AL168" s="201"/>
    </row>
    <row r="169" spans="2:49" s="117" customFormat="1">
      <c r="AL169" s="201"/>
    </row>
    <row r="170" spans="2:49" s="117" customFormat="1">
      <c r="AL170" s="201"/>
    </row>
    <row r="171" spans="2:49" ht="15">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088"/>
      <c r="AM171" s="198"/>
      <c r="AN171" s="198"/>
      <c r="AO171" s="198"/>
      <c r="AP171" s="198"/>
      <c r="AQ171" s="198"/>
      <c r="AR171" s="198"/>
      <c r="AS171" s="198"/>
      <c r="AU171" s="198"/>
      <c r="AV171" s="198"/>
      <c r="AW171" s="198"/>
    </row>
    <row r="172" spans="2:49" ht="15">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088"/>
      <c r="AM172" s="198"/>
      <c r="AN172" s="198"/>
      <c r="AO172" s="198"/>
      <c r="AP172" s="198"/>
      <c r="AQ172" s="198"/>
      <c r="AR172" s="198"/>
      <c r="AS172" s="198"/>
      <c r="AU172" s="198"/>
      <c r="AV172" s="198"/>
      <c r="AW172" s="198"/>
    </row>
    <row r="173" spans="2:49" ht="15">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088"/>
      <c r="AM173" s="198"/>
      <c r="AN173" s="198"/>
      <c r="AO173" s="198"/>
      <c r="AP173" s="198"/>
      <c r="AQ173" s="198"/>
      <c r="AR173" s="198"/>
      <c r="AS173" s="198"/>
      <c r="AU173" s="198"/>
      <c r="AV173" s="198"/>
      <c r="AW173" s="198"/>
    </row>
  </sheetData>
  <mergeCells count="4">
    <mergeCell ref="O7:Q7"/>
    <mergeCell ref="K7:M7"/>
    <mergeCell ref="AE7:AG7"/>
    <mergeCell ref="AI7:AK7"/>
  </mergeCells>
  <conditionalFormatting sqref="B4 AU153:AW153 Y3 AA2:AF4 N2:P4 E2:L4 B153:AP153 R2:X4 AH2:AN4 AP3:AR3 AP4 AP2">
    <cfRule type="cellIs" dxfId="236" priority="48" stopIfTrue="1" operator="equal">
      <formula>"input"</formula>
    </cfRule>
  </conditionalFormatting>
  <conditionalFormatting sqref="AT59:AT68 AT72:AT78 AT152:AT153 AT103 AT106:AT108 AT119 AT126:AT128 AT139 AX139 AX126:AX128 AX119 AX106:AX108 AX103 AX152:AX153 AX72:AX78 AX59:AX68">
    <cfRule type="cellIs" dxfId="235" priority="49" stopIfTrue="1" operator="equal">
      <formula>"Input"</formula>
    </cfRule>
  </conditionalFormatting>
  <conditionalFormatting sqref="AT69 AX69">
    <cfRule type="cellIs" dxfId="234" priority="47" stopIfTrue="1" operator="equal">
      <formula>"Input"</formula>
    </cfRule>
  </conditionalFormatting>
  <conditionalFormatting sqref="AT70 AX70">
    <cfRule type="cellIs" dxfId="233" priority="46" stopIfTrue="1" operator="equal">
      <formula>"Input"</formula>
    </cfRule>
  </conditionalFormatting>
  <conditionalFormatting sqref="AT71 AX71">
    <cfRule type="cellIs" dxfId="232" priority="45" stopIfTrue="1" operator="equal">
      <formula>"Input"</formula>
    </cfRule>
  </conditionalFormatting>
  <conditionalFormatting sqref="AT109:AT114 AX109:AX114">
    <cfRule type="cellIs" dxfId="231" priority="44" stopIfTrue="1" operator="equal">
      <formula>"Input"</formula>
    </cfRule>
  </conditionalFormatting>
  <conditionalFormatting sqref="AT115 AX115">
    <cfRule type="cellIs" dxfId="230" priority="43" stopIfTrue="1" operator="equal">
      <formula>"Input"</formula>
    </cfRule>
  </conditionalFormatting>
  <conditionalFormatting sqref="AT116 AX116">
    <cfRule type="cellIs" dxfId="229" priority="42" stopIfTrue="1" operator="equal">
      <formula>"Input"</formula>
    </cfRule>
  </conditionalFormatting>
  <conditionalFormatting sqref="AT117 AX117">
    <cfRule type="cellIs" dxfId="228" priority="41" stopIfTrue="1" operator="equal">
      <formula>"Input"</formula>
    </cfRule>
  </conditionalFormatting>
  <conditionalFormatting sqref="AT118 AX118">
    <cfRule type="cellIs" dxfId="227" priority="40" stopIfTrue="1" operator="equal">
      <formula>"Input"</formula>
    </cfRule>
  </conditionalFormatting>
  <conditionalFormatting sqref="AT79:AT88 AT92:AT102 AX92:AX102 AX79:AX88">
    <cfRule type="cellIs" dxfId="226" priority="39" stopIfTrue="1" operator="equal">
      <formula>"Input"</formula>
    </cfRule>
  </conditionalFormatting>
  <conditionalFormatting sqref="AT89 AX89">
    <cfRule type="cellIs" dxfId="225" priority="38" stopIfTrue="1" operator="equal">
      <formula>"Input"</formula>
    </cfRule>
  </conditionalFormatting>
  <conditionalFormatting sqref="AT90 AX90">
    <cfRule type="cellIs" dxfId="224" priority="37" stopIfTrue="1" operator="equal">
      <formula>"Input"</formula>
    </cfRule>
  </conditionalFormatting>
  <conditionalFormatting sqref="AT91 AX91">
    <cfRule type="cellIs" dxfId="223" priority="36" stopIfTrue="1" operator="equal">
      <formula>"Input"</formula>
    </cfRule>
  </conditionalFormatting>
  <conditionalFormatting sqref="AT129:AT134 AX129:AX134">
    <cfRule type="cellIs" dxfId="222" priority="35" stopIfTrue="1" operator="equal">
      <formula>"Input"</formula>
    </cfRule>
  </conditionalFormatting>
  <conditionalFormatting sqref="AT135 AX135">
    <cfRule type="cellIs" dxfId="221" priority="34" stopIfTrue="1" operator="equal">
      <formula>"Input"</formula>
    </cfRule>
  </conditionalFormatting>
  <conditionalFormatting sqref="AT136 AX136">
    <cfRule type="cellIs" dxfId="220" priority="33" stopIfTrue="1" operator="equal">
      <formula>"Input"</formula>
    </cfRule>
  </conditionalFormatting>
  <conditionalFormatting sqref="AT137 AX137">
    <cfRule type="cellIs" dxfId="219" priority="32" stopIfTrue="1" operator="equal">
      <formula>"Input"</formula>
    </cfRule>
  </conditionalFormatting>
  <conditionalFormatting sqref="AT138 AX138">
    <cfRule type="cellIs" dxfId="218" priority="31" stopIfTrue="1" operator="equal">
      <formula>"Input"</formula>
    </cfRule>
  </conditionalFormatting>
  <conditionalFormatting sqref="AQ4:AR4 AQ2:AR2">
    <cfRule type="cellIs" dxfId="217" priority="30" stopIfTrue="1" operator="equal">
      <formula>"input"</formula>
    </cfRule>
  </conditionalFormatting>
  <conditionalFormatting sqref="C4:D4">
    <cfRule type="cellIs" dxfId="216" priority="29" stopIfTrue="1" operator="equal">
      <formula>"input"</formula>
    </cfRule>
  </conditionalFormatting>
  <conditionalFormatting sqref="AV2:AW2">
    <cfRule type="cellIs" dxfId="215" priority="23" stopIfTrue="1" operator="equal">
      <formula>"input"</formula>
    </cfRule>
  </conditionalFormatting>
  <conditionalFormatting sqref="AX2">
    <cfRule type="cellIs" dxfId="214" priority="22" stopIfTrue="1" operator="equal">
      <formula>"input"</formula>
    </cfRule>
  </conditionalFormatting>
  <conditionalFormatting sqref="Y4">
    <cfRule type="cellIs" dxfId="213" priority="21" stopIfTrue="1" operator="equal">
      <formula>"input"</formula>
    </cfRule>
  </conditionalFormatting>
  <conditionalFormatting sqref="Y2">
    <cfRule type="cellIs" dxfId="212" priority="16" stopIfTrue="1" operator="equal">
      <formula>"input"</formula>
    </cfRule>
  </conditionalFormatting>
  <conditionalFormatting sqref="Q3">
    <cfRule type="cellIs" dxfId="211" priority="14" stopIfTrue="1" operator="equal">
      <formula>"input"</formula>
    </cfRule>
  </conditionalFormatting>
  <conditionalFormatting sqref="Q4">
    <cfRule type="cellIs" dxfId="210" priority="13" stopIfTrue="1" operator="equal">
      <formula>"input"</formula>
    </cfRule>
  </conditionalFormatting>
  <conditionalFormatting sqref="Q2">
    <cfRule type="cellIs" dxfId="209" priority="12" stopIfTrue="1" operator="equal">
      <formula>"input"</formula>
    </cfRule>
  </conditionalFormatting>
  <conditionalFormatting sqref="Z2:Z4">
    <cfRule type="cellIs" dxfId="208" priority="11" stopIfTrue="1" operator="equal">
      <formula>"input"</formula>
    </cfRule>
  </conditionalFormatting>
  <conditionalFormatting sqref="M2:M4">
    <cfRule type="cellIs" dxfId="207" priority="10" stopIfTrue="1" operator="equal">
      <formula>"input"</formula>
    </cfRule>
  </conditionalFormatting>
  <conditionalFormatting sqref="AG3">
    <cfRule type="cellIs" dxfId="206" priority="9" stopIfTrue="1" operator="equal">
      <formula>"input"</formula>
    </cfRule>
  </conditionalFormatting>
  <conditionalFormatting sqref="AG4">
    <cfRule type="cellIs" dxfId="205" priority="8" stopIfTrue="1" operator="equal">
      <formula>"input"</formula>
    </cfRule>
  </conditionalFormatting>
  <conditionalFormatting sqref="AG2">
    <cfRule type="cellIs" dxfId="204" priority="7" stopIfTrue="1" operator="equal">
      <formula>"input"</formula>
    </cfRule>
  </conditionalFormatting>
  <conditionalFormatting sqref="AO3">
    <cfRule type="cellIs" dxfId="203" priority="6" stopIfTrue="1" operator="equal">
      <formula>"input"</formula>
    </cfRule>
  </conditionalFormatting>
  <conditionalFormatting sqref="AO4">
    <cfRule type="cellIs" dxfId="202" priority="5" stopIfTrue="1" operator="equal">
      <formula>"input"</formula>
    </cfRule>
  </conditionalFormatting>
  <conditionalFormatting sqref="AO2">
    <cfRule type="cellIs" dxfId="201" priority="4" stopIfTrue="1" operator="equal">
      <formula>"input"</formula>
    </cfRule>
  </conditionalFormatting>
  <conditionalFormatting sqref="AS3">
    <cfRule type="cellIs" dxfId="200" priority="3" stopIfTrue="1" operator="equal">
      <formula>"input"</formula>
    </cfRule>
  </conditionalFormatting>
  <conditionalFormatting sqref="AS4">
    <cfRule type="cellIs" dxfId="199" priority="2" stopIfTrue="1" operator="equal">
      <formula>"input"</formula>
    </cfRule>
  </conditionalFormatting>
  <conditionalFormatting sqref="AS2">
    <cfRule type="cellIs" dxfId="198" priority="1" stopIfTrue="1" operator="equal">
      <formula>"input"</formula>
    </cfRule>
  </conditionalFormatting>
  <pageMargins left="0.5" right="0.5" top="0.5" bottom="0.5" header="0.3" footer="0.3"/>
  <pageSetup scale="71" fitToWidth="0" fitToHeight="0" orientation="landscape" r:id="rId1"/>
  <rowBreaks count="2" manualBreakCount="2">
    <brk id="57" max="15" man="1"/>
    <brk id="104" max="15" man="1"/>
  </rowBreaks>
  <colBreaks count="4" manualBreakCount="4">
    <brk id="17" max="30" man="1"/>
    <brk id="25" max="30" man="1"/>
    <brk id="33" max="30" man="1"/>
    <brk id="41" max="30"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G168"/>
  <sheetViews>
    <sheetView showGridLines="0" view="pageBreakPreview" topLeftCell="A19" zoomScaleNormal="100" zoomScaleSheetLayoutView="100" workbookViewId="0">
      <selection activeCell="D19" sqref="D19"/>
    </sheetView>
  </sheetViews>
  <sheetFormatPr defaultColWidth="8" defaultRowHeight="12.75" outlineLevelRow="1" outlineLevelCol="3"/>
  <cols>
    <col min="1" max="1" width="1.85546875" style="200" customWidth="1"/>
    <col min="2" max="2" width="1.5703125" style="200" customWidth="1"/>
    <col min="3" max="3" width="3.7109375" style="200" customWidth="1"/>
    <col min="4" max="4" width="60.5703125" style="200" customWidth="1"/>
    <col min="5" max="5" width="6.85546875" style="200" customWidth="1"/>
    <col min="6" max="7" width="19.85546875" style="200" customWidth="1"/>
    <col min="8" max="8" width="4.85546875" style="200" hidden="1" customWidth="1" outlineLevel="1"/>
    <col min="9" max="10" width="21.5703125" style="200" hidden="1" customWidth="1" outlineLevel="2"/>
    <col min="11" max="11" width="4.5703125" style="200" hidden="1" customWidth="1" outlineLevel="3"/>
    <col min="12" max="13" width="21.5703125" style="200" hidden="1" customWidth="1" outlineLevel="3"/>
    <col min="14" max="14" width="1.85546875" style="200" customWidth="1" collapsed="1"/>
    <col min="15" max="15" width="8" style="200"/>
    <col min="16" max="16" width="10.5703125" style="200" bestFit="1" customWidth="1"/>
    <col min="17" max="18" width="8" style="200"/>
    <col min="19" max="19" width="8.85546875" style="200" customWidth="1"/>
    <col min="20" max="20" width="9.7109375" style="200" customWidth="1"/>
    <col min="21" max="21" width="9" style="200" customWidth="1"/>
    <col min="22" max="22" width="13.7109375" style="200" customWidth="1"/>
    <col min="23" max="16384" width="8" style="200"/>
  </cols>
  <sheetData>
    <row r="1" spans="1:137" s="78" customFormat="1" ht="11.25" customHeight="1" thickBot="1">
      <c r="A1" s="77"/>
      <c r="B1" s="79"/>
      <c r="C1" s="79"/>
      <c r="D1" s="79"/>
      <c r="E1" s="79"/>
      <c r="F1" s="79"/>
      <c r="G1" s="79"/>
      <c r="H1" s="79"/>
      <c r="I1" s="79"/>
      <c r="J1" s="79"/>
    </row>
    <row r="2" spans="1:137" s="81" customFormat="1" ht="16.5" thickTop="1">
      <c r="A2" s="505"/>
      <c r="B2" s="82" t="str">
        <f>Outline!B2</f>
        <v>Satellite Healthcare WB Santa Cruz Valuation</v>
      </c>
      <c r="C2" s="82"/>
      <c r="D2" s="82"/>
      <c r="E2" s="82"/>
      <c r="F2" s="83"/>
      <c r="G2" s="83"/>
      <c r="H2" s="83"/>
      <c r="I2" s="83"/>
      <c r="J2" s="83"/>
      <c r="K2" s="83"/>
      <c r="L2" s="83"/>
      <c r="M2" s="83"/>
    </row>
    <row r="3" spans="1:137" s="81" customFormat="1" ht="15.75">
      <c r="A3" s="507"/>
      <c r="B3" s="89" t="str">
        <f>Outline!C23</f>
        <v>Exhibit C2</v>
      </c>
      <c r="C3" s="89"/>
      <c r="D3" s="89"/>
      <c r="E3" s="89"/>
      <c r="F3" s="86"/>
      <c r="G3" s="86"/>
      <c r="H3" s="86"/>
      <c r="I3" s="86"/>
      <c r="J3" s="86"/>
      <c r="K3" s="86"/>
      <c r="L3" s="86"/>
      <c r="M3" s="86"/>
    </row>
    <row r="4" spans="1:137" s="81" customFormat="1" ht="16.5" thickBot="1">
      <c r="A4" s="505"/>
      <c r="B4" s="91" t="s">
        <v>501</v>
      </c>
      <c r="C4" s="91"/>
      <c r="D4" s="91"/>
      <c r="E4" s="91"/>
      <c r="F4" s="92"/>
      <c r="G4" s="508" t="str">
        <f>'C2'!M4</f>
        <v>Values in $ Thousands</v>
      </c>
      <c r="H4" s="92"/>
      <c r="I4" s="92"/>
      <c r="J4" s="92"/>
      <c r="K4" s="92"/>
      <c r="L4" s="92"/>
      <c r="M4" s="92"/>
    </row>
    <row r="5" spans="1:137" s="81" customFormat="1" ht="16.5" thickTop="1">
      <c r="A5" s="505"/>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97"/>
      <c r="BQ5" s="97"/>
      <c r="BR5" s="97"/>
      <c r="BS5" s="97"/>
      <c r="BT5" s="97"/>
      <c r="BU5" s="97"/>
      <c r="BV5" s="97"/>
      <c r="BW5" s="97"/>
      <c r="BX5" s="97"/>
      <c r="BY5" s="97"/>
      <c r="BZ5" s="97"/>
      <c r="CA5" s="97"/>
      <c r="CB5" s="97"/>
      <c r="CC5" s="97"/>
      <c r="CD5" s="97"/>
      <c r="CE5" s="97"/>
      <c r="CF5" s="97"/>
      <c r="CG5" s="97"/>
      <c r="CH5" s="97"/>
      <c r="CI5" s="97"/>
      <c r="CJ5" s="97"/>
      <c r="CK5" s="97"/>
      <c r="CL5" s="97"/>
      <c r="CM5" s="97"/>
      <c r="CN5" s="97"/>
      <c r="CO5" s="97"/>
      <c r="CP5" s="97"/>
      <c r="CQ5" s="97"/>
      <c r="CR5" s="97"/>
      <c r="CS5" s="97"/>
      <c r="CT5" s="97"/>
      <c r="CU5" s="97"/>
      <c r="CV5" s="97"/>
      <c r="CW5" s="97"/>
      <c r="CX5" s="97"/>
      <c r="CY5" s="97"/>
      <c r="CZ5" s="97"/>
      <c r="DA5" s="97"/>
      <c r="DB5" s="97"/>
      <c r="DC5" s="97"/>
      <c r="DD5" s="97"/>
      <c r="DE5" s="97"/>
      <c r="DF5" s="97"/>
      <c r="DG5" s="97"/>
      <c r="DH5" s="97"/>
      <c r="DI5" s="97"/>
      <c r="DJ5" s="97"/>
      <c r="DK5" s="97"/>
      <c r="DL5" s="97"/>
      <c r="DM5" s="97"/>
      <c r="DN5" s="97"/>
      <c r="DO5" s="97"/>
      <c r="DP5" s="97"/>
      <c r="DQ5" s="97"/>
      <c r="DR5" s="97"/>
      <c r="DS5" s="97"/>
      <c r="DT5" s="97"/>
      <c r="DU5" s="97"/>
      <c r="DV5" s="97"/>
      <c r="DW5" s="97"/>
      <c r="DX5" s="97"/>
      <c r="DY5" s="97"/>
      <c r="DZ5" s="97"/>
      <c r="EA5" s="97"/>
      <c r="EB5" s="97"/>
      <c r="EC5" s="97"/>
      <c r="ED5" s="97"/>
      <c r="EE5" s="97"/>
      <c r="EF5" s="97"/>
      <c r="EG5" s="97"/>
    </row>
    <row r="6" spans="1:137" s="97" customFormat="1">
      <c r="A6" s="509"/>
      <c r="N6" s="95"/>
    </row>
    <row r="7" spans="1:137" s="201" customFormat="1" ht="24" customHeight="1">
      <c r="B7" s="202"/>
      <c r="C7" s="203"/>
      <c r="D7" s="204"/>
      <c r="E7" s="204"/>
      <c r="F7" s="1092" t="s">
        <v>518</v>
      </c>
      <c r="G7" s="511"/>
      <c r="H7" s="511"/>
      <c r="I7" s="1092" t="s">
        <v>510</v>
      </c>
      <c r="J7" s="1092"/>
      <c r="K7" s="511"/>
      <c r="L7" s="1092" t="s">
        <v>518</v>
      </c>
      <c r="M7" s="511"/>
      <c r="P7" s="247"/>
      <c r="Q7" s="247"/>
    </row>
    <row r="8" spans="1:137" s="201" customFormat="1" ht="17.25" customHeight="1">
      <c r="B8" s="202"/>
      <c r="C8" s="203"/>
      <c r="D8" s="204"/>
      <c r="E8" s="204"/>
      <c r="F8" s="953" t="s">
        <v>81</v>
      </c>
      <c r="G8" s="953" t="s">
        <v>82</v>
      </c>
      <c r="H8" s="953"/>
      <c r="I8" s="953" t="s">
        <v>103</v>
      </c>
      <c r="J8" s="953">
        <v>2018</v>
      </c>
      <c r="K8" s="247"/>
      <c r="L8" s="953">
        <v>2019</v>
      </c>
      <c r="M8" s="953">
        <v>2020</v>
      </c>
      <c r="P8" s="247"/>
      <c r="Q8" s="247"/>
    </row>
    <row r="9" spans="1:137" s="201" customFormat="1" ht="15">
      <c r="B9" s="202"/>
      <c r="C9" s="512" t="s">
        <v>85</v>
      </c>
      <c r="D9" s="204"/>
      <c r="E9" s="204"/>
      <c r="G9" s="510"/>
      <c r="H9" s="510"/>
      <c r="K9" s="770"/>
      <c r="M9" s="510"/>
      <c r="N9" s="205"/>
      <c r="P9" s="510"/>
      <c r="Q9" s="510"/>
    </row>
    <row r="10" spans="1:137" s="201" customFormat="1" ht="12.75" customHeight="1">
      <c r="B10" s="202"/>
      <c r="C10" s="512"/>
      <c r="D10" s="203" t="str">
        <f>'E1'!B16</f>
        <v>Low</v>
      </c>
      <c r="E10" s="203"/>
      <c r="F10" s="973">
        <f>'E1'!AF16</f>
        <v>4.9780622998276858</v>
      </c>
      <c r="G10" s="973"/>
      <c r="H10" s="973"/>
      <c r="I10" s="973">
        <f>'E1'!AE16</f>
        <v>1.0604880120697904</v>
      </c>
      <c r="J10" s="973">
        <f>'E1'!AI16</f>
        <v>1.1559333051467988</v>
      </c>
      <c r="K10" s="771"/>
      <c r="L10" s="973">
        <f>+'E1'!AN16</f>
        <v>6.3666740276605545</v>
      </c>
      <c r="M10" s="973">
        <f>+'E1'!AR16</f>
        <v>6.0067808881409546</v>
      </c>
      <c r="N10" s="205"/>
      <c r="Q10" s="510"/>
    </row>
    <row r="11" spans="1:137" s="201" customFormat="1" ht="12.75" customHeight="1">
      <c r="B11" s="202"/>
      <c r="C11" s="512"/>
      <c r="D11" s="203" t="str">
        <f>'E1'!B17</f>
        <v>High</v>
      </c>
      <c r="E11" s="203"/>
      <c r="F11" s="973">
        <f>'E1'!AF17</f>
        <v>8.8042890058475027</v>
      </c>
      <c r="G11" s="973"/>
      <c r="H11" s="973"/>
      <c r="I11" s="973">
        <f>'E1'!AE17</f>
        <v>4.3190532846938083</v>
      </c>
      <c r="J11" s="973">
        <f>'E1'!AI17</f>
        <v>5.0218021491465104</v>
      </c>
      <c r="K11" s="771"/>
      <c r="L11" s="973">
        <f>+'E1'!AN17</f>
        <v>33.836833614712646</v>
      </c>
      <c r="M11" s="973">
        <f>+'E1'!AR17</f>
        <v>19.172983345490923</v>
      </c>
      <c r="N11" s="205"/>
      <c r="Q11" s="510"/>
    </row>
    <row r="12" spans="1:137" s="117" customFormat="1">
      <c r="B12" s="97"/>
      <c r="D12" s="203" t="str">
        <f>'E1'!B18</f>
        <v>Median</v>
      </c>
      <c r="E12" s="203"/>
      <c r="F12" s="973">
        <f>'E1'!AF18</f>
        <v>7.4656284850406358</v>
      </c>
      <c r="G12" s="973"/>
      <c r="H12" s="973"/>
      <c r="I12" s="973">
        <f>'E1'!AE18</f>
        <v>1.3767146504156098</v>
      </c>
      <c r="J12" s="973">
        <f>'E1'!AI18</f>
        <v>1.4911426026342125</v>
      </c>
      <c r="K12" s="771"/>
      <c r="L12" s="973">
        <f>+'E1'!AN18</f>
        <v>7.7577675534039834</v>
      </c>
      <c r="M12" s="973">
        <f>+'E1'!AR18</f>
        <v>7.2269760296190055</v>
      </c>
      <c r="N12" s="133"/>
      <c r="Q12" s="513"/>
    </row>
    <row r="13" spans="1:137" s="117" customFormat="1">
      <c r="B13" s="95"/>
      <c r="D13" s="203" t="str">
        <f>'E1'!B19</f>
        <v>Mean</v>
      </c>
      <c r="E13" s="203"/>
      <c r="F13" s="973">
        <f>'E1'!AF19</f>
        <v>7.1784020689391141</v>
      </c>
      <c r="G13" s="973"/>
      <c r="H13" s="973"/>
      <c r="I13" s="973">
        <f>'E1'!AE19</f>
        <v>1.9094437012694456</v>
      </c>
      <c r="J13" s="973">
        <f>'E1'!AI19</f>
        <v>2.168956623360093</v>
      </c>
      <c r="K13" s="771"/>
      <c r="L13" s="973">
        <f>+'E1'!AN19</f>
        <v>12.638411789910908</v>
      </c>
      <c r="M13" s="973">
        <f>+'E1'!AR19</f>
        <v>9.393105009391677</v>
      </c>
      <c r="N13" s="133"/>
      <c r="Q13" s="513"/>
    </row>
    <row r="14" spans="1:137" s="117" customFormat="1">
      <c r="B14" s="95"/>
      <c r="D14" s="203" t="str">
        <f>'E1'!B20</f>
        <v>Upper Quartile</v>
      </c>
      <c r="E14" s="203"/>
      <c r="F14" s="973">
        <f>'E1'!AF20</f>
        <v>7.9132623222893548</v>
      </c>
      <c r="G14" s="973"/>
      <c r="H14" s="973"/>
      <c r="I14" s="973">
        <f>'E1'!AE20</f>
        <v>2.2837917734433177</v>
      </c>
      <c r="J14" s="973">
        <f>'E1'!AI20</f>
        <v>2.540119973167474</v>
      </c>
      <c r="K14" s="771"/>
      <c r="L14" s="973">
        <f>+'E1'!AN20</f>
        <v>14.595028045367901</v>
      </c>
      <c r="M14" s="973">
        <f>+'E1'!AR20</f>
        <v>10.768841906554883</v>
      </c>
      <c r="N14" s="133"/>
      <c r="Q14" s="513"/>
    </row>
    <row r="15" spans="1:137" s="117" customFormat="1">
      <c r="B15" s="95"/>
      <c r="D15" s="203" t="str">
        <f>'E1'!B21</f>
        <v>Lower Quartile</v>
      </c>
      <c r="E15" s="203"/>
      <c r="F15" s="973">
        <f>'E1'!AF21</f>
        <v>6.0001489692794463</v>
      </c>
      <c r="G15" s="973"/>
      <c r="H15" s="973"/>
      <c r="I15" s="973">
        <f>'E1'!AE21</f>
        <v>1.1543154701235971</v>
      </c>
      <c r="J15" s="973">
        <f>'E1'!AI21</f>
        <v>1.3862426853105601</v>
      </c>
      <c r="K15" s="771"/>
      <c r="L15" s="973">
        <f>+'E1'!AN21</f>
        <v>7.4099941719681262</v>
      </c>
      <c r="M15" s="973">
        <f>+'E1'!AR21</f>
        <v>6.9219272442494928</v>
      </c>
      <c r="N15" s="133"/>
      <c r="Q15" s="513"/>
    </row>
    <row r="16" spans="1:137" s="117" customFormat="1">
      <c r="B16" s="95"/>
      <c r="D16" s="203"/>
      <c r="E16" s="203"/>
      <c r="F16" s="769"/>
      <c r="G16" s="771"/>
      <c r="H16" s="771"/>
      <c r="K16" s="771"/>
      <c r="L16" s="769"/>
      <c r="M16" s="771"/>
      <c r="N16" s="133"/>
      <c r="P16" s="513"/>
      <c r="Q16" s="513"/>
    </row>
    <row r="17" spans="1:22" s="117" customFormat="1" ht="13.5">
      <c r="B17" s="95"/>
      <c r="C17" s="775" t="s">
        <v>434</v>
      </c>
      <c r="D17" s="515" t="s">
        <v>245</v>
      </c>
      <c r="E17" s="203"/>
      <c r="F17" s="1039">
        <v>6.5</v>
      </c>
      <c r="G17" s="1039">
        <v>7.5</v>
      </c>
      <c r="H17" s="1039"/>
      <c r="I17" s="1039">
        <v>1.1000000000000001</v>
      </c>
      <c r="J17" s="1039">
        <v>1.2</v>
      </c>
      <c r="K17" s="915"/>
      <c r="L17" s="1039">
        <v>7.75</v>
      </c>
      <c r="M17" s="1039">
        <v>8.25</v>
      </c>
      <c r="N17" s="133"/>
      <c r="P17" s="516"/>
      <c r="Q17" s="516"/>
    </row>
    <row r="18" spans="1:22" s="117" customFormat="1">
      <c r="B18" s="95"/>
      <c r="C18" s="95"/>
      <c r="D18" s="95"/>
      <c r="E18" s="95"/>
      <c r="F18" s="119"/>
      <c r="G18" s="119"/>
      <c r="H18" s="119"/>
      <c r="K18" s="118"/>
      <c r="M18" s="119"/>
      <c r="P18" s="119"/>
      <c r="Q18" s="119"/>
    </row>
    <row r="19" spans="1:22" s="117" customFormat="1">
      <c r="B19" s="95"/>
      <c r="C19" s="95"/>
      <c r="D19" s="95"/>
      <c r="E19" s="95"/>
      <c r="F19" s="119"/>
      <c r="G19" s="119"/>
      <c r="H19" s="119"/>
      <c r="K19" s="118"/>
      <c r="M19" s="119"/>
      <c r="P19" s="119"/>
      <c r="Q19" s="119"/>
      <c r="V19" s="517"/>
    </row>
    <row r="20" spans="1:22" s="117" customFormat="1">
      <c r="B20" s="95"/>
      <c r="C20" s="157" t="s">
        <v>235</v>
      </c>
      <c r="D20" s="116"/>
      <c r="E20" s="116"/>
      <c r="F20" s="118"/>
      <c r="G20" s="118"/>
      <c r="H20" s="118"/>
      <c r="K20" s="118"/>
      <c r="M20" s="118"/>
      <c r="P20" s="118"/>
      <c r="Q20" s="118"/>
      <c r="T20" s="206"/>
      <c r="U20" s="206"/>
    </row>
    <row r="21" spans="1:22" s="117" customFormat="1">
      <c r="B21" s="95"/>
      <c r="C21" s="980" t="s">
        <v>334</v>
      </c>
      <c r="D21" s="95" t="s">
        <v>653</v>
      </c>
      <c r="E21" s="116"/>
      <c r="F21" s="972">
        <f>'C3'!K58</f>
        <v>292.25383699999969</v>
      </c>
      <c r="G21" s="1041">
        <f>F21</f>
        <v>292.25383699999969</v>
      </c>
      <c r="K21" s="118"/>
      <c r="M21" s="118"/>
      <c r="P21" s="118"/>
      <c r="Q21" s="118"/>
      <c r="T21" s="206"/>
      <c r="U21" s="206"/>
    </row>
    <row r="22" spans="1:22" s="117" customFormat="1" hidden="1" outlineLevel="1">
      <c r="B22" s="95"/>
      <c r="C22" s="980" t="s">
        <v>334</v>
      </c>
      <c r="D22" s="95" t="s">
        <v>515</v>
      </c>
      <c r="E22" s="116"/>
      <c r="F22" s="972">
        <f>'C2'!H12+'C2'!H16</f>
        <v>413.79553739481435</v>
      </c>
      <c r="G22" s="1041">
        <f>F22</f>
        <v>413.79553739481435</v>
      </c>
      <c r="H22" s="972"/>
      <c r="K22" s="118"/>
      <c r="M22" s="118"/>
      <c r="P22" s="118"/>
      <c r="Q22" s="118"/>
      <c r="T22" s="206"/>
      <c r="U22" s="206"/>
    </row>
    <row r="23" spans="1:22" s="117" customFormat="1" hidden="1" outlineLevel="1">
      <c r="B23" s="95"/>
      <c r="C23" s="980" t="s">
        <v>335</v>
      </c>
      <c r="D23" s="95" t="s">
        <v>526</v>
      </c>
      <c r="E23" s="116"/>
      <c r="F23" s="118"/>
      <c r="G23" s="118"/>
      <c r="H23" s="118"/>
      <c r="I23" s="972">
        <f>'C3'!K10+('C3'!J10*(2/12))</f>
        <v>3812.3785550000002</v>
      </c>
      <c r="K23" s="118"/>
      <c r="M23" s="118"/>
      <c r="P23" s="118"/>
      <c r="Q23" s="118"/>
      <c r="T23" s="206"/>
      <c r="U23" s="206"/>
    </row>
    <row r="24" spans="1:22" s="117" customFormat="1" hidden="1" outlineLevel="1">
      <c r="B24" s="95"/>
      <c r="C24" s="980" t="s">
        <v>335</v>
      </c>
      <c r="D24" s="95" t="s">
        <v>527</v>
      </c>
      <c r="E24" s="116"/>
      <c r="F24" s="118"/>
      <c r="G24" s="118"/>
      <c r="H24" s="118"/>
      <c r="J24" s="972">
        <f>'C3'!K10+('C1'!H26*(2/12))</f>
        <v>3901.5814577290762</v>
      </c>
      <c r="K24" s="118"/>
      <c r="M24" s="118"/>
      <c r="P24" s="118"/>
      <c r="Q24" s="118"/>
      <c r="T24" s="206"/>
      <c r="U24" s="206"/>
    </row>
    <row r="25" spans="1:22" s="117" customFormat="1" hidden="1" outlineLevel="1">
      <c r="A25" s="95"/>
      <c r="B25" s="95"/>
      <c r="C25" s="980" t="s">
        <v>335</v>
      </c>
      <c r="D25" s="95" t="s">
        <v>515</v>
      </c>
      <c r="E25" s="95"/>
      <c r="F25" s="119"/>
      <c r="G25" s="119"/>
      <c r="H25" s="119"/>
      <c r="K25" s="1041"/>
      <c r="L25" s="972">
        <f>('C1'!H55*2/12)+('C1'!I55*(10/12))</f>
        <v>385.43661811392417</v>
      </c>
      <c r="M25" s="1040"/>
      <c r="P25" s="518"/>
      <c r="Q25" s="519"/>
      <c r="T25" s="210"/>
      <c r="U25" s="207"/>
      <c r="V25" s="208"/>
    </row>
    <row r="26" spans="1:22" s="117" customFormat="1" hidden="1" outlineLevel="1">
      <c r="A26" s="95"/>
      <c r="B26" s="95"/>
      <c r="C26" s="980" t="s">
        <v>335</v>
      </c>
      <c r="D26" s="95" t="s">
        <v>516</v>
      </c>
      <c r="E26" s="95"/>
      <c r="F26" s="118"/>
      <c r="G26" s="118"/>
      <c r="H26" s="118"/>
      <c r="K26" s="518"/>
      <c r="M26" s="972">
        <f>('C1'!I55*(2/12))+('C1'!J55*(10/12))</f>
        <v>342.64654921473527</v>
      </c>
      <c r="P26" s="995"/>
      <c r="Q26" s="520"/>
      <c r="T26" s="210"/>
      <c r="U26" s="207"/>
      <c r="V26" s="208"/>
    </row>
    <row r="27" spans="1:22" s="117" customFormat="1" hidden="1" outlineLevel="1">
      <c r="A27" s="95"/>
      <c r="B27" s="95"/>
      <c r="C27" s="775"/>
      <c r="D27" s="95"/>
      <c r="E27" s="95"/>
      <c r="F27" s="118"/>
      <c r="G27" s="118"/>
      <c r="H27" s="118"/>
      <c r="K27" s="518"/>
      <c r="M27" s="519"/>
      <c r="P27" s="519"/>
      <c r="Q27" s="520"/>
      <c r="T27" s="210"/>
      <c r="U27" s="207"/>
      <c r="V27" s="208"/>
    </row>
    <row r="28" spans="1:22" s="117" customFormat="1" collapsed="1">
      <c r="A28" s="95"/>
      <c r="B28" s="95"/>
      <c r="C28" s="116"/>
      <c r="D28" s="95"/>
      <c r="E28" s="95"/>
      <c r="F28" s="118"/>
      <c r="G28" s="118"/>
      <c r="H28" s="118"/>
      <c r="K28" s="118"/>
      <c r="M28" s="118"/>
      <c r="P28" s="118"/>
      <c r="Q28" s="119"/>
    </row>
    <row r="29" spans="1:22" s="117" customFormat="1">
      <c r="A29" s="116"/>
      <c r="B29" s="95"/>
      <c r="C29" s="980"/>
      <c r="D29" s="209" t="s">
        <v>89</v>
      </c>
      <c r="E29" s="209"/>
      <c r="F29" s="1009">
        <f>IFERROR($F21*F17,"n/a")</f>
        <v>1899.6499404999979</v>
      </c>
      <c r="G29" s="773">
        <f>IFERROR($G21*G17,"n/a")</f>
        <v>2191.9037774999979</v>
      </c>
      <c r="H29" s="1091"/>
      <c r="I29" s="1009">
        <f>IFERROR($I23*I17,"n/a")</f>
        <v>4193.6164105000007</v>
      </c>
      <c r="J29" s="773">
        <f>IFERROR($J24*J17,"n/a")</f>
        <v>4681.8977492748909</v>
      </c>
      <c r="K29" s="1091"/>
      <c r="L29" s="1042">
        <f>IFERROR($L25*L17,"n/a")</f>
        <v>2987.1337903829121</v>
      </c>
      <c r="M29" s="1043">
        <f>IFERROR($M26*M17,"n/a")</f>
        <v>2826.8340310215658</v>
      </c>
      <c r="N29" s="916"/>
      <c r="P29" s="532"/>
      <c r="Q29" s="124"/>
      <c r="T29" s="206"/>
      <c r="U29" s="206"/>
    </row>
    <row r="30" spans="1:22" s="117" customFormat="1">
      <c r="B30" s="95"/>
      <c r="C30" s="131"/>
      <c r="D30" s="131"/>
      <c r="E30" s="131"/>
      <c r="F30" s="163"/>
      <c r="G30" s="163"/>
      <c r="H30" s="163"/>
      <c r="I30" s="521"/>
      <c r="J30" s="521"/>
      <c r="K30" s="521"/>
      <c r="L30" s="521"/>
      <c r="M30" s="521"/>
      <c r="T30" s="207"/>
      <c r="U30" s="210"/>
    </row>
    <row r="31" spans="1:22" s="117" customFormat="1">
      <c r="B31" s="95"/>
      <c r="D31" s="522" t="s">
        <v>246</v>
      </c>
      <c r="E31" s="131"/>
      <c r="F31" s="163"/>
      <c r="G31" s="163"/>
      <c r="H31" s="163"/>
      <c r="I31" s="163"/>
      <c r="J31" s="163"/>
      <c r="K31" s="163"/>
      <c r="L31" s="163"/>
      <c r="M31" s="163"/>
      <c r="T31" s="207"/>
      <c r="U31" s="210"/>
    </row>
    <row r="32" spans="1:22" s="117" customFormat="1" ht="43.5" customHeight="1">
      <c r="B32" s="95"/>
      <c r="C32" s="775" t="s">
        <v>434</v>
      </c>
      <c r="D32" s="1284" t="s">
        <v>659</v>
      </c>
      <c r="E32" s="1284"/>
      <c r="F32" s="1284"/>
      <c r="G32" s="1284"/>
      <c r="H32" s="1284"/>
      <c r="I32" s="1284"/>
      <c r="J32" s="1284"/>
      <c r="K32" s="1284"/>
      <c r="L32" s="1060"/>
      <c r="M32" s="1060"/>
      <c r="T32" s="207"/>
      <c r="U32" s="210"/>
    </row>
    <row r="33" spans="1:21" s="117" customFormat="1" ht="12.75" customHeight="1">
      <c r="B33" s="131"/>
      <c r="C33" s="998"/>
      <c r="D33" s="1283"/>
      <c r="E33" s="1283"/>
      <c r="F33" s="1283"/>
      <c r="G33" s="1283"/>
      <c r="H33" s="1283"/>
      <c r="I33" s="1283"/>
      <c r="J33" s="1283"/>
      <c r="K33" s="1061"/>
      <c r="L33" s="1061"/>
      <c r="M33" s="1061"/>
      <c r="N33" s="164"/>
      <c r="T33" s="207"/>
      <c r="U33" s="210"/>
    </row>
    <row r="34" spans="1:21" s="117" customFormat="1">
      <c r="B34" s="131"/>
      <c r="N34" s="164"/>
    </row>
    <row r="35" spans="1:21" s="117" customFormat="1">
      <c r="B35" s="131"/>
      <c r="E35" s="131"/>
      <c r="F35" s="163"/>
      <c r="G35" s="163"/>
      <c r="H35" s="163"/>
      <c r="I35" s="163"/>
      <c r="J35" s="163"/>
      <c r="K35" s="163"/>
      <c r="L35" s="163"/>
      <c r="M35" s="163"/>
      <c r="N35" s="164"/>
    </row>
    <row r="36" spans="1:21" s="117" customFormat="1">
      <c r="B36" s="131"/>
      <c r="C36" s="131"/>
      <c r="D36" s="1044"/>
      <c r="E36" s="131"/>
      <c r="F36" s="163"/>
      <c r="G36" s="163"/>
      <c r="H36" s="163"/>
      <c r="I36" s="163"/>
      <c r="J36" s="163"/>
      <c r="K36" s="163"/>
      <c r="L36" s="163"/>
      <c r="M36" s="163"/>
      <c r="N36" s="164"/>
    </row>
    <row r="37" spans="1:21" s="117" customFormat="1">
      <c r="B37" s="131"/>
      <c r="C37" s="131"/>
      <c r="D37" s="131"/>
      <c r="E37" s="131"/>
      <c r="F37" s="163"/>
      <c r="G37" s="163"/>
      <c r="H37" s="163"/>
      <c r="I37" s="163"/>
      <c r="J37" s="163"/>
      <c r="K37" s="163"/>
      <c r="L37" s="163"/>
      <c r="M37" s="163"/>
      <c r="N37" s="164"/>
    </row>
    <row r="38" spans="1:21" s="117" customFormat="1">
      <c r="B38" s="131"/>
      <c r="C38" s="131"/>
      <c r="D38" s="524"/>
      <c r="E38" s="131"/>
      <c r="F38" s="163"/>
      <c r="G38" s="163"/>
      <c r="H38" s="163"/>
      <c r="I38" s="163"/>
      <c r="J38" s="163"/>
      <c r="K38" s="163"/>
      <c r="L38" s="163"/>
      <c r="M38" s="163"/>
      <c r="N38" s="164"/>
    </row>
    <row r="39" spans="1:21" s="117" customFormat="1">
      <c r="B39" s="131"/>
      <c r="C39" s="523"/>
      <c r="D39" s="524"/>
      <c r="E39" s="131"/>
      <c r="F39" s="163"/>
      <c r="G39" s="163"/>
      <c r="H39" s="163"/>
      <c r="I39" s="163"/>
      <c r="J39" s="163"/>
      <c r="K39" s="163"/>
      <c r="L39" s="163"/>
      <c r="M39" s="163"/>
      <c r="N39" s="164"/>
    </row>
    <row r="40" spans="1:21" s="117" customFormat="1">
      <c r="B40" s="131"/>
      <c r="C40" s="774"/>
      <c r="D40" s="524"/>
      <c r="E40" s="131"/>
      <c r="F40" s="132"/>
      <c r="G40" s="132"/>
      <c r="H40" s="132"/>
      <c r="I40" s="132"/>
      <c r="J40" s="132"/>
      <c r="K40" s="132"/>
      <c r="L40" s="132"/>
      <c r="M40" s="132"/>
      <c r="N40" s="165"/>
    </row>
    <row r="41" spans="1:21" s="117" customFormat="1">
      <c r="B41" s="166"/>
      <c r="C41" s="774"/>
      <c r="D41" s="166"/>
      <c r="E41" s="166"/>
      <c r="F41" s="166"/>
      <c r="G41" s="166"/>
      <c r="H41" s="166"/>
      <c r="I41" s="166"/>
      <c r="J41" s="166"/>
      <c r="K41" s="166"/>
      <c r="L41" s="166"/>
      <c r="M41" s="166"/>
      <c r="N41" s="167"/>
    </row>
    <row r="42" spans="1:21" s="117" customFormat="1">
      <c r="A42" s="95"/>
      <c r="B42" s="166"/>
      <c r="C42" s="774"/>
      <c r="D42" s="166"/>
      <c r="E42" s="166"/>
      <c r="F42" s="166"/>
      <c r="G42" s="166"/>
      <c r="H42" s="166"/>
      <c r="I42" s="166"/>
      <c r="J42" s="166"/>
      <c r="K42" s="166"/>
      <c r="L42" s="166"/>
      <c r="M42" s="166"/>
      <c r="N42" s="167"/>
    </row>
    <row r="43" spans="1:21" s="117" customFormat="1">
      <c r="A43" s="95"/>
      <c r="B43" s="166"/>
      <c r="C43" s="774"/>
      <c r="D43" s="166"/>
      <c r="E43" s="166"/>
      <c r="F43" s="166"/>
      <c r="G43" s="166"/>
      <c r="H43" s="166"/>
      <c r="I43" s="166"/>
      <c r="J43" s="166"/>
      <c r="K43" s="166"/>
      <c r="L43" s="166"/>
      <c r="M43" s="166"/>
      <c r="N43" s="167"/>
    </row>
    <row r="44" spans="1:21" s="117" customFormat="1">
      <c r="A44" s="95"/>
      <c r="B44" s="166"/>
      <c r="C44" s="166"/>
      <c r="D44" s="166"/>
      <c r="E44" s="166"/>
      <c r="F44" s="166"/>
      <c r="G44" s="166"/>
      <c r="H44" s="166"/>
      <c r="I44" s="166"/>
      <c r="J44" s="166"/>
      <c r="K44" s="166"/>
      <c r="L44" s="166"/>
      <c r="M44" s="166"/>
      <c r="N44" s="167"/>
    </row>
    <row r="45" spans="1:21" s="117" customFormat="1">
      <c r="A45" s="95"/>
      <c r="B45" s="166"/>
      <c r="C45" s="166"/>
      <c r="D45" s="166"/>
      <c r="E45" s="166"/>
      <c r="F45" s="166"/>
      <c r="G45" s="166"/>
      <c r="H45" s="166"/>
      <c r="I45" s="166"/>
      <c r="J45" s="166"/>
      <c r="K45" s="166"/>
      <c r="L45" s="166"/>
      <c r="M45" s="166"/>
      <c r="N45" s="167"/>
    </row>
    <row r="46" spans="1:21" s="525" customFormat="1"/>
    <row r="47" spans="1:21" s="525" customFormat="1">
      <c r="B47" s="170"/>
      <c r="C47" s="170"/>
      <c r="D47" s="170"/>
      <c r="E47" s="170"/>
      <c r="F47" s="170"/>
      <c r="G47" s="170"/>
      <c r="H47" s="170"/>
      <c r="I47" s="170"/>
      <c r="J47" s="170"/>
      <c r="K47" s="170"/>
      <c r="L47" s="170"/>
      <c r="M47" s="170"/>
      <c r="N47" s="171"/>
    </row>
    <row r="48" spans="1:21" s="525" customFormat="1">
      <c r="B48" s="170"/>
      <c r="C48" s="170"/>
      <c r="D48" s="170"/>
      <c r="E48" s="170"/>
      <c r="F48" s="170"/>
      <c r="G48" s="170"/>
      <c r="H48" s="170"/>
      <c r="I48" s="170"/>
      <c r="J48" s="170"/>
      <c r="K48" s="170"/>
      <c r="L48" s="170"/>
      <c r="M48" s="170"/>
      <c r="N48" s="171"/>
    </row>
    <row r="49" spans="1:14" s="525" customFormat="1">
      <c r="B49" s="170"/>
      <c r="C49" s="170"/>
      <c r="D49" s="170"/>
      <c r="E49" s="170"/>
      <c r="F49" s="170"/>
      <c r="G49" s="170"/>
      <c r="H49" s="170"/>
      <c r="I49" s="170"/>
      <c r="J49" s="170"/>
      <c r="K49" s="170"/>
      <c r="L49" s="170"/>
      <c r="M49" s="170"/>
      <c r="N49" s="171"/>
    </row>
    <row r="50" spans="1:14" s="525" customFormat="1">
      <c r="B50" s="170"/>
      <c r="C50" s="170"/>
      <c r="D50" s="170"/>
      <c r="E50" s="170"/>
      <c r="F50" s="170"/>
      <c r="G50" s="170"/>
      <c r="H50" s="170"/>
      <c r="I50" s="170"/>
      <c r="J50" s="170"/>
      <c r="K50" s="170"/>
      <c r="L50" s="170"/>
      <c r="M50" s="170"/>
      <c r="N50" s="171"/>
    </row>
    <row r="51" spans="1:14" s="525" customFormat="1">
      <c r="B51" s="170"/>
      <c r="C51" s="170"/>
      <c r="D51" s="170"/>
      <c r="E51" s="170"/>
      <c r="F51" s="170"/>
      <c r="G51" s="170"/>
      <c r="H51" s="170"/>
      <c r="I51" s="170"/>
      <c r="J51" s="170"/>
      <c r="K51" s="170"/>
      <c r="L51" s="170"/>
      <c r="M51" s="170"/>
      <c r="N51" s="171"/>
    </row>
    <row r="52" spans="1:14" s="117" customFormat="1">
      <c r="A52" s="95"/>
      <c r="B52" s="116"/>
      <c r="C52" s="116"/>
      <c r="D52" s="116"/>
      <c r="E52" s="116"/>
      <c r="F52" s="172"/>
      <c r="G52" s="172"/>
      <c r="H52" s="172"/>
      <c r="I52" s="172"/>
      <c r="J52" s="172"/>
      <c r="K52" s="116"/>
      <c r="L52" s="116"/>
      <c r="M52" s="116"/>
      <c r="N52" s="156"/>
    </row>
    <row r="53" spans="1:14" s="117" customFormat="1">
      <c r="A53" s="95"/>
      <c r="B53" s="116"/>
      <c r="C53" s="116"/>
      <c r="D53" s="116"/>
      <c r="E53" s="116"/>
      <c r="F53" s="172"/>
      <c r="G53" s="172"/>
      <c r="H53" s="172"/>
      <c r="I53" s="172"/>
      <c r="J53" s="172"/>
      <c r="K53" s="116"/>
      <c r="L53" s="116"/>
      <c r="M53" s="116"/>
      <c r="N53" s="156"/>
    </row>
    <row r="54" spans="1:14" s="117" customFormat="1">
      <c r="B54" s="173"/>
      <c r="C54" s="173"/>
      <c r="D54" s="173"/>
      <c r="E54" s="173"/>
      <c r="F54" s="95"/>
      <c r="G54" s="95"/>
      <c r="H54" s="95"/>
      <c r="I54" s="95"/>
      <c r="J54" s="95"/>
      <c r="K54" s="95"/>
      <c r="L54" s="95"/>
      <c r="M54" s="95"/>
      <c r="N54" s="175"/>
    </row>
    <row r="55" spans="1:14" s="117" customFormat="1">
      <c r="B55" s="95"/>
      <c r="C55" s="95"/>
      <c r="D55" s="95"/>
      <c r="E55" s="95"/>
      <c r="F55" s="177"/>
      <c r="G55" s="177"/>
      <c r="H55" s="177"/>
      <c r="I55" s="177"/>
      <c r="J55" s="177"/>
      <c r="K55" s="177"/>
      <c r="L55" s="177"/>
      <c r="M55" s="177"/>
      <c r="N55" s="178"/>
    </row>
    <row r="56" spans="1:14" s="117" customFormat="1">
      <c r="B56" s="95"/>
      <c r="C56" s="95"/>
      <c r="D56" s="95"/>
      <c r="E56" s="95"/>
      <c r="I56" s="95"/>
      <c r="J56" s="95"/>
      <c r="K56" s="95"/>
      <c r="L56" s="95"/>
      <c r="M56" s="95"/>
      <c r="N56" s="162"/>
    </row>
    <row r="57" spans="1:14" s="117" customFormat="1">
      <c r="B57" s="179"/>
      <c r="C57" s="179"/>
      <c r="D57" s="179"/>
      <c r="E57" s="179"/>
      <c r="F57" s="163"/>
      <c r="G57" s="163"/>
      <c r="H57" s="163"/>
      <c r="I57" s="163"/>
      <c r="J57" s="163"/>
      <c r="K57" s="163"/>
      <c r="L57" s="163"/>
      <c r="M57" s="163"/>
      <c r="N57" s="164"/>
    </row>
    <row r="58" spans="1:14" s="117" customFormat="1">
      <c r="B58" s="179"/>
      <c r="C58" s="179"/>
      <c r="D58" s="179"/>
      <c r="E58" s="179"/>
      <c r="F58" s="163"/>
      <c r="G58" s="163"/>
      <c r="H58" s="163"/>
      <c r="I58" s="163"/>
      <c r="J58" s="163"/>
      <c r="K58" s="163"/>
      <c r="L58" s="163"/>
      <c r="M58" s="163"/>
      <c r="N58" s="164"/>
    </row>
    <row r="59" spans="1:14" s="117" customFormat="1">
      <c r="B59" s="179"/>
      <c r="C59" s="179"/>
      <c r="D59" s="179"/>
      <c r="E59" s="179"/>
      <c r="F59" s="163"/>
      <c r="G59" s="163"/>
      <c r="H59" s="163"/>
      <c r="I59" s="163"/>
      <c r="J59" s="163"/>
      <c r="K59" s="163"/>
      <c r="L59" s="163"/>
      <c r="M59" s="163"/>
      <c r="N59" s="164"/>
    </row>
    <row r="60" spans="1:14" s="117" customFormat="1">
      <c r="B60" s="179"/>
      <c r="C60" s="179"/>
      <c r="D60" s="179"/>
      <c r="E60" s="179"/>
      <c r="F60" s="163"/>
      <c r="G60" s="163"/>
      <c r="H60" s="163"/>
      <c r="I60" s="163"/>
      <c r="J60" s="163"/>
      <c r="K60" s="163"/>
      <c r="L60" s="163"/>
      <c r="M60" s="163"/>
      <c r="N60" s="164"/>
    </row>
    <row r="61" spans="1:14" s="117" customFormat="1">
      <c r="B61" s="179"/>
      <c r="C61" s="179"/>
      <c r="D61" s="179"/>
      <c r="E61" s="179"/>
      <c r="F61" s="163"/>
      <c r="G61" s="163"/>
      <c r="H61" s="163"/>
      <c r="I61" s="163"/>
      <c r="J61" s="163"/>
      <c r="K61" s="163"/>
      <c r="L61" s="163"/>
      <c r="M61" s="163"/>
      <c r="N61" s="164"/>
    </row>
    <row r="62" spans="1:14" s="117" customFormat="1">
      <c r="B62" s="179"/>
      <c r="C62" s="179"/>
      <c r="D62" s="179"/>
      <c r="E62" s="179"/>
      <c r="F62" s="163"/>
      <c r="G62" s="163"/>
      <c r="H62" s="163"/>
      <c r="I62" s="163"/>
      <c r="J62" s="163"/>
      <c r="K62" s="163"/>
      <c r="L62" s="163"/>
      <c r="M62" s="163"/>
      <c r="N62" s="164"/>
    </row>
    <row r="63" spans="1:14" s="117" customFormat="1">
      <c r="B63" s="179"/>
      <c r="C63" s="179"/>
      <c r="D63" s="179"/>
      <c r="E63" s="179"/>
      <c r="F63" s="163"/>
      <c r="G63" s="163"/>
      <c r="H63" s="163"/>
      <c r="I63" s="163"/>
      <c r="J63" s="163"/>
      <c r="K63" s="163"/>
      <c r="L63" s="163"/>
      <c r="M63" s="163"/>
      <c r="N63" s="164"/>
    </row>
    <row r="64" spans="1:14" s="117" customFormat="1">
      <c r="B64" s="179"/>
      <c r="C64" s="179"/>
      <c r="D64" s="179"/>
      <c r="E64" s="179"/>
      <c r="F64" s="163"/>
      <c r="G64" s="163"/>
      <c r="H64" s="163"/>
      <c r="I64" s="163"/>
      <c r="J64" s="163"/>
      <c r="K64" s="163"/>
      <c r="L64" s="163"/>
      <c r="M64" s="163"/>
      <c r="N64" s="164"/>
    </row>
    <row r="65" spans="2:14" s="117" customFormat="1">
      <c r="B65" s="179"/>
      <c r="C65" s="179"/>
      <c r="D65" s="179"/>
      <c r="E65" s="179"/>
      <c r="F65" s="163"/>
      <c r="G65" s="163"/>
      <c r="H65" s="163"/>
      <c r="I65" s="163"/>
      <c r="J65" s="163"/>
      <c r="K65" s="163"/>
      <c r="L65" s="163"/>
      <c r="M65" s="163"/>
      <c r="N65" s="164"/>
    </row>
    <row r="66" spans="2:14" s="117" customFormat="1">
      <c r="B66" s="179"/>
      <c r="C66" s="179"/>
      <c r="D66" s="179"/>
      <c r="E66" s="179"/>
      <c r="F66" s="163"/>
      <c r="G66" s="163"/>
      <c r="H66" s="163"/>
      <c r="I66" s="163"/>
      <c r="J66" s="163"/>
      <c r="K66" s="163"/>
      <c r="L66" s="163"/>
      <c r="M66" s="163"/>
      <c r="N66" s="164"/>
    </row>
    <row r="67" spans="2:14" s="117" customFormat="1" outlineLevel="1">
      <c r="B67" s="95"/>
      <c r="C67" s="95"/>
      <c r="D67" s="95"/>
      <c r="E67" s="95"/>
      <c r="F67" s="95"/>
      <c r="G67" s="95"/>
      <c r="H67" s="95"/>
      <c r="I67" s="95"/>
      <c r="J67" s="95"/>
      <c r="K67" s="95"/>
      <c r="L67" s="95"/>
      <c r="M67" s="95"/>
      <c r="N67" s="180"/>
    </row>
    <row r="68" spans="2:14" s="117" customFormat="1" outlineLevel="1">
      <c r="B68" s="166"/>
      <c r="C68" s="166"/>
      <c r="D68" s="166"/>
      <c r="E68" s="166"/>
      <c r="F68" s="166"/>
      <c r="G68" s="166"/>
      <c r="H68" s="166"/>
      <c r="I68" s="166"/>
      <c r="J68" s="166"/>
      <c r="K68" s="166"/>
      <c r="L68" s="166"/>
      <c r="M68" s="166"/>
      <c r="N68" s="167"/>
    </row>
    <row r="69" spans="2:14" s="117" customFormat="1" outlineLevel="1">
      <c r="B69" s="166"/>
      <c r="C69" s="166"/>
      <c r="D69" s="166"/>
      <c r="E69" s="166"/>
      <c r="F69" s="166"/>
      <c r="G69" s="166"/>
      <c r="H69" s="166"/>
      <c r="I69" s="166"/>
      <c r="J69" s="166"/>
      <c r="K69" s="166"/>
      <c r="L69" s="166"/>
      <c r="M69" s="166"/>
      <c r="N69" s="167"/>
    </row>
    <row r="70" spans="2:14" s="117" customFormat="1" outlineLevel="1">
      <c r="B70" s="166"/>
      <c r="C70" s="166"/>
      <c r="D70" s="166"/>
      <c r="E70" s="166"/>
      <c r="F70" s="166"/>
      <c r="G70" s="166"/>
      <c r="H70" s="166"/>
      <c r="I70" s="166"/>
      <c r="J70" s="166"/>
      <c r="K70" s="166"/>
      <c r="L70" s="166"/>
      <c r="M70" s="166"/>
      <c r="N70" s="167"/>
    </row>
    <row r="71" spans="2:14" s="117" customFormat="1" outlineLevel="1">
      <c r="B71" s="166"/>
      <c r="C71" s="166"/>
      <c r="D71" s="166"/>
      <c r="E71" s="166"/>
      <c r="F71" s="166"/>
      <c r="G71" s="166"/>
      <c r="H71" s="166"/>
      <c r="I71" s="166"/>
      <c r="J71" s="166"/>
      <c r="K71" s="166"/>
      <c r="L71" s="166"/>
      <c r="M71" s="166"/>
      <c r="N71" s="167"/>
    </row>
    <row r="72" spans="2:14" s="117" customFormat="1" outlineLevel="1">
      <c r="B72" s="166"/>
      <c r="C72" s="166"/>
      <c r="D72" s="166"/>
      <c r="E72" s="166"/>
      <c r="F72" s="166"/>
      <c r="G72" s="166"/>
      <c r="H72" s="166"/>
      <c r="I72" s="166"/>
      <c r="J72" s="166"/>
      <c r="K72" s="166"/>
      <c r="L72" s="166"/>
      <c r="M72" s="166"/>
      <c r="N72" s="167"/>
    </row>
    <row r="73" spans="2:14" s="117" customFormat="1" outlineLevel="1">
      <c r="B73" s="116"/>
      <c r="C73" s="116"/>
      <c r="D73" s="116"/>
      <c r="E73" s="116"/>
      <c r="F73" s="116"/>
      <c r="G73" s="116"/>
      <c r="H73" s="116"/>
      <c r="I73" s="116"/>
      <c r="J73" s="116"/>
      <c r="K73" s="116"/>
      <c r="L73" s="116"/>
      <c r="M73" s="116"/>
      <c r="N73" s="156"/>
    </row>
    <row r="74" spans="2:14" s="117" customFormat="1" outlineLevel="1">
      <c r="B74" s="157"/>
      <c r="C74" s="157"/>
      <c r="D74" s="157"/>
      <c r="E74" s="157"/>
      <c r="F74" s="95"/>
      <c r="G74" s="95"/>
      <c r="H74" s="95"/>
      <c r="I74" s="95"/>
      <c r="J74" s="95"/>
      <c r="K74" s="95"/>
      <c r="L74" s="95"/>
      <c r="M74" s="95"/>
      <c r="N74" s="158"/>
    </row>
    <row r="75" spans="2:14" s="117" customFormat="1" outlineLevel="1">
      <c r="B75" s="95"/>
      <c r="C75" s="95"/>
      <c r="D75" s="95"/>
      <c r="E75" s="95"/>
      <c r="F75" s="159"/>
      <c r="G75" s="159"/>
      <c r="H75" s="159"/>
      <c r="I75" s="159"/>
      <c r="J75" s="159"/>
      <c r="K75" s="159"/>
      <c r="L75" s="159"/>
      <c r="M75" s="159"/>
      <c r="N75" s="161"/>
    </row>
    <row r="76" spans="2:14" s="117" customFormat="1" outlineLevel="1">
      <c r="B76" s="95"/>
      <c r="C76" s="95"/>
      <c r="D76" s="95"/>
      <c r="E76" s="95"/>
      <c r="I76" s="95"/>
      <c r="J76" s="95"/>
      <c r="K76" s="95"/>
      <c r="L76" s="95"/>
      <c r="M76" s="95"/>
      <c r="N76" s="162"/>
    </row>
    <row r="77" spans="2:14" s="117" customFormat="1">
      <c r="B77" s="179"/>
      <c r="C77" s="179"/>
      <c r="D77" s="179"/>
      <c r="E77" s="179"/>
      <c r="F77" s="163"/>
      <c r="G77" s="163"/>
      <c r="H77" s="163"/>
      <c r="I77" s="163"/>
      <c r="J77" s="163"/>
      <c r="K77" s="163"/>
      <c r="L77" s="163"/>
      <c r="M77" s="163"/>
      <c r="N77" s="164"/>
    </row>
    <row r="78" spans="2:14" s="117" customFormat="1">
      <c r="B78" s="179"/>
      <c r="C78" s="179"/>
      <c r="D78" s="179"/>
      <c r="E78" s="179"/>
      <c r="F78" s="163"/>
      <c r="G78" s="163"/>
      <c r="H78" s="163"/>
      <c r="I78" s="163"/>
      <c r="J78" s="163"/>
      <c r="K78" s="163"/>
      <c r="L78" s="163"/>
      <c r="M78" s="163"/>
      <c r="N78" s="164"/>
    </row>
    <row r="79" spans="2:14" s="117" customFormat="1">
      <c r="B79" s="179"/>
      <c r="C79" s="179"/>
      <c r="D79" s="179"/>
      <c r="E79" s="179"/>
      <c r="F79" s="163"/>
      <c r="G79" s="163"/>
      <c r="H79" s="163"/>
      <c r="I79" s="163"/>
      <c r="J79" s="163"/>
      <c r="K79" s="163"/>
      <c r="L79" s="163"/>
      <c r="M79" s="163"/>
      <c r="N79" s="164"/>
    </row>
    <row r="80" spans="2:14" s="117" customFormat="1" outlineLevel="1">
      <c r="B80" s="179"/>
      <c r="C80" s="179"/>
      <c r="D80" s="179"/>
      <c r="E80" s="179"/>
      <c r="F80" s="163"/>
      <c r="G80" s="163"/>
      <c r="H80" s="163"/>
      <c r="I80" s="163"/>
      <c r="J80" s="163"/>
      <c r="K80" s="163"/>
      <c r="L80" s="163"/>
      <c r="M80" s="163"/>
      <c r="N80" s="164"/>
    </row>
    <row r="81" spans="2:14" s="117" customFormat="1" outlineLevel="1">
      <c r="B81" s="179"/>
      <c r="C81" s="179"/>
      <c r="D81" s="179"/>
      <c r="E81" s="179"/>
      <c r="F81" s="163"/>
      <c r="G81" s="163"/>
      <c r="H81" s="163"/>
      <c r="I81" s="163"/>
      <c r="J81" s="163"/>
      <c r="K81" s="163"/>
      <c r="L81" s="163"/>
      <c r="M81" s="163"/>
      <c r="N81" s="164"/>
    </row>
    <row r="82" spans="2:14" s="117" customFormat="1" outlineLevel="1">
      <c r="B82" s="179"/>
      <c r="C82" s="179"/>
      <c r="D82" s="179"/>
      <c r="E82" s="179"/>
      <c r="F82" s="163"/>
      <c r="G82" s="163"/>
      <c r="H82" s="163"/>
      <c r="I82" s="163"/>
      <c r="J82" s="163"/>
      <c r="K82" s="163"/>
      <c r="L82" s="163"/>
      <c r="M82" s="163"/>
      <c r="N82" s="164"/>
    </row>
    <row r="83" spans="2:14" s="117" customFormat="1" outlineLevel="1">
      <c r="B83" s="179"/>
      <c r="C83" s="179"/>
      <c r="D83" s="179"/>
      <c r="E83" s="179"/>
      <c r="F83" s="163"/>
      <c r="G83" s="163"/>
      <c r="H83" s="163"/>
      <c r="I83" s="163"/>
      <c r="J83" s="163"/>
      <c r="K83" s="163"/>
      <c r="L83" s="163"/>
      <c r="M83" s="163"/>
      <c r="N83" s="164"/>
    </row>
    <row r="84" spans="2:14" s="117" customFormat="1" outlineLevel="1">
      <c r="B84" s="179"/>
      <c r="C84" s="179"/>
      <c r="D84" s="179"/>
      <c r="E84" s="179"/>
      <c r="F84" s="163"/>
      <c r="G84" s="163"/>
      <c r="H84" s="163"/>
      <c r="I84" s="163"/>
      <c r="J84" s="163"/>
      <c r="K84" s="163"/>
      <c r="L84" s="163"/>
      <c r="M84" s="163"/>
      <c r="N84" s="164"/>
    </row>
    <row r="85" spans="2:14" s="117" customFormat="1" outlineLevel="1">
      <c r="B85" s="179"/>
      <c r="C85" s="179"/>
      <c r="D85" s="179"/>
      <c r="E85" s="179"/>
      <c r="F85" s="163"/>
      <c r="G85" s="163"/>
      <c r="H85" s="163"/>
      <c r="I85" s="163"/>
      <c r="J85" s="163"/>
      <c r="K85" s="163"/>
      <c r="L85" s="163"/>
      <c r="M85" s="163"/>
      <c r="N85" s="164"/>
    </row>
    <row r="86" spans="2:14" s="117" customFormat="1" outlineLevel="1">
      <c r="B86" s="179"/>
      <c r="C86" s="179"/>
      <c r="D86" s="179"/>
      <c r="E86" s="179"/>
      <c r="F86" s="163"/>
      <c r="G86" s="163"/>
      <c r="H86" s="163"/>
      <c r="I86" s="163"/>
      <c r="J86" s="163"/>
      <c r="K86" s="163"/>
      <c r="L86" s="163"/>
      <c r="M86" s="163"/>
      <c r="N86" s="164"/>
    </row>
    <row r="87" spans="2:14" s="117" customFormat="1" outlineLevel="1">
      <c r="B87" s="95"/>
      <c r="C87" s="95"/>
      <c r="D87" s="95"/>
      <c r="E87" s="95"/>
      <c r="F87" s="95"/>
      <c r="G87" s="95"/>
      <c r="H87" s="95"/>
      <c r="I87" s="95"/>
      <c r="J87" s="95"/>
      <c r="K87" s="95"/>
      <c r="L87" s="95"/>
      <c r="M87" s="95"/>
      <c r="N87" s="180"/>
    </row>
    <row r="88" spans="2:14" s="117" customFormat="1" outlineLevel="1">
      <c r="B88" s="166"/>
      <c r="C88" s="166"/>
      <c r="D88" s="166"/>
      <c r="E88" s="166"/>
      <c r="F88" s="166"/>
      <c r="G88" s="166"/>
      <c r="H88" s="166"/>
      <c r="I88" s="166"/>
      <c r="J88" s="166"/>
      <c r="K88" s="166"/>
      <c r="L88" s="166"/>
      <c r="M88" s="166"/>
      <c r="N88" s="167"/>
    </row>
    <row r="89" spans="2:14" s="117" customFormat="1" outlineLevel="1">
      <c r="B89" s="166"/>
      <c r="C89" s="166"/>
      <c r="D89" s="166"/>
      <c r="E89" s="166"/>
      <c r="F89" s="166"/>
      <c r="G89" s="166"/>
      <c r="H89" s="166"/>
      <c r="I89" s="166"/>
      <c r="J89" s="166"/>
      <c r="K89" s="166"/>
      <c r="L89" s="166"/>
      <c r="M89" s="166"/>
      <c r="N89" s="167"/>
    </row>
    <row r="90" spans="2:14" s="117" customFormat="1" outlineLevel="1">
      <c r="B90" s="166"/>
      <c r="C90" s="166"/>
      <c r="D90" s="166"/>
      <c r="E90" s="166"/>
      <c r="F90" s="166"/>
      <c r="G90" s="166"/>
      <c r="H90" s="166"/>
      <c r="I90" s="166"/>
      <c r="J90" s="166"/>
      <c r="K90" s="166"/>
      <c r="L90" s="166"/>
      <c r="M90" s="166"/>
      <c r="N90" s="167"/>
    </row>
    <row r="91" spans="2:14" s="117" customFormat="1" outlineLevel="1">
      <c r="B91" s="166"/>
      <c r="C91" s="166"/>
      <c r="D91" s="166"/>
      <c r="E91" s="166"/>
      <c r="F91" s="166"/>
      <c r="G91" s="166"/>
      <c r="H91" s="166"/>
      <c r="I91" s="166"/>
      <c r="J91" s="166"/>
      <c r="K91" s="166"/>
      <c r="L91" s="166"/>
      <c r="M91" s="166"/>
      <c r="N91" s="167"/>
    </row>
    <row r="92" spans="2:14" s="117" customFormat="1" outlineLevel="1">
      <c r="B92" s="166"/>
      <c r="C92" s="166"/>
      <c r="D92" s="166"/>
      <c r="E92" s="166"/>
      <c r="F92" s="166"/>
      <c r="G92" s="166"/>
      <c r="H92" s="166"/>
      <c r="I92" s="166"/>
      <c r="J92" s="166"/>
      <c r="K92" s="166"/>
      <c r="L92" s="166"/>
      <c r="M92" s="166"/>
      <c r="N92" s="167"/>
    </row>
    <row r="93" spans="2:14" s="117" customFormat="1">
      <c r="B93" s="525"/>
      <c r="C93" s="525"/>
      <c r="D93" s="525"/>
      <c r="E93" s="525"/>
      <c r="F93" s="525"/>
      <c r="G93" s="525"/>
      <c r="H93" s="525"/>
      <c r="I93" s="525"/>
      <c r="J93" s="525"/>
      <c r="K93" s="525"/>
      <c r="L93" s="525"/>
      <c r="M93" s="525"/>
      <c r="N93" s="525"/>
    </row>
    <row r="94" spans="2:14" s="117" customFormat="1">
      <c r="B94" s="170"/>
      <c r="C94" s="170"/>
      <c r="D94" s="170"/>
      <c r="E94" s="170"/>
      <c r="F94" s="170"/>
      <c r="G94" s="170"/>
      <c r="H94" s="170"/>
      <c r="I94" s="170"/>
      <c r="J94" s="170"/>
      <c r="K94" s="170"/>
      <c r="L94" s="170"/>
      <c r="M94" s="170"/>
      <c r="N94" s="171"/>
    </row>
    <row r="95" spans="2:14" s="117" customFormat="1">
      <c r="B95" s="170"/>
      <c r="C95" s="170"/>
      <c r="D95" s="170"/>
      <c r="E95" s="170"/>
      <c r="F95" s="170"/>
      <c r="G95" s="170"/>
      <c r="H95" s="170"/>
      <c r="I95" s="170"/>
      <c r="J95" s="170"/>
      <c r="K95" s="170"/>
      <c r="L95" s="170"/>
      <c r="M95" s="170"/>
      <c r="N95" s="171"/>
    </row>
    <row r="96" spans="2:14" s="117" customFormat="1">
      <c r="B96" s="170"/>
      <c r="C96" s="170"/>
      <c r="D96" s="170"/>
      <c r="E96" s="170"/>
      <c r="F96" s="170"/>
      <c r="G96" s="170"/>
      <c r="H96" s="170"/>
      <c r="I96" s="170"/>
      <c r="J96" s="170"/>
      <c r="K96" s="170"/>
      <c r="L96" s="170"/>
      <c r="M96" s="170"/>
      <c r="N96" s="171"/>
    </row>
    <row r="97" spans="2:14" s="117" customFormat="1">
      <c r="B97" s="170"/>
      <c r="C97" s="170"/>
      <c r="D97" s="170"/>
      <c r="E97" s="170"/>
      <c r="F97" s="170"/>
      <c r="G97" s="170"/>
      <c r="H97" s="170"/>
      <c r="I97" s="170"/>
      <c r="J97" s="170"/>
      <c r="K97" s="170"/>
      <c r="L97" s="170"/>
      <c r="M97" s="170"/>
      <c r="N97" s="171"/>
    </row>
    <row r="98" spans="2:14" s="117" customFormat="1">
      <c r="B98" s="170"/>
      <c r="C98" s="170"/>
      <c r="D98" s="170"/>
      <c r="E98" s="170"/>
      <c r="F98" s="170"/>
      <c r="G98" s="170"/>
      <c r="H98" s="170"/>
      <c r="I98" s="170"/>
      <c r="J98" s="170"/>
      <c r="K98" s="170"/>
      <c r="L98" s="170"/>
      <c r="M98" s="170"/>
      <c r="N98" s="171"/>
    </row>
    <row r="99" spans="2:14" s="525" customFormat="1"/>
    <row r="100" spans="2:14" s="525" customFormat="1"/>
    <row r="101" spans="2:14" s="117" customFormat="1">
      <c r="B101" s="173"/>
      <c r="C101" s="173"/>
      <c r="D101" s="173"/>
      <c r="E101" s="173"/>
      <c r="F101" s="95"/>
      <c r="G101" s="95"/>
      <c r="H101" s="95"/>
      <c r="I101" s="95"/>
      <c r="J101" s="95"/>
      <c r="K101" s="95"/>
      <c r="L101" s="95"/>
      <c r="M101" s="95"/>
      <c r="N101" s="181"/>
    </row>
    <row r="102" spans="2:14" s="117" customFormat="1">
      <c r="B102" s="95"/>
      <c r="C102" s="95"/>
      <c r="D102" s="95"/>
      <c r="E102" s="95"/>
      <c r="F102" s="177"/>
      <c r="G102" s="177"/>
      <c r="H102" s="177"/>
      <c r="I102" s="177"/>
      <c r="J102" s="177"/>
      <c r="K102" s="177"/>
      <c r="L102" s="177"/>
      <c r="M102" s="177"/>
      <c r="N102" s="181"/>
    </row>
    <row r="103" spans="2:14" s="117" customFormat="1">
      <c r="B103" s="95"/>
      <c r="C103" s="95"/>
      <c r="D103" s="95"/>
      <c r="E103" s="95"/>
      <c r="I103" s="95"/>
      <c r="J103" s="95"/>
      <c r="K103" s="95"/>
      <c r="L103" s="95"/>
      <c r="M103" s="95"/>
      <c r="N103" s="162"/>
    </row>
    <row r="104" spans="2:14" s="117" customFormat="1">
      <c r="B104" s="179"/>
      <c r="C104" s="179"/>
      <c r="D104" s="179"/>
      <c r="E104" s="179"/>
      <c r="F104" s="163"/>
      <c r="G104" s="163"/>
      <c r="H104" s="163"/>
      <c r="I104" s="163"/>
      <c r="J104" s="163"/>
      <c r="K104" s="163"/>
      <c r="L104" s="163"/>
      <c r="M104" s="163"/>
      <c r="N104" s="164"/>
    </row>
    <row r="105" spans="2:14" s="117" customFormat="1">
      <c r="B105" s="179"/>
      <c r="C105" s="179"/>
      <c r="D105" s="179"/>
      <c r="E105" s="179"/>
      <c r="F105" s="163"/>
      <c r="G105" s="163"/>
      <c r="H105" s="163"/>
      <c r="I105" s="163"/>
      <c r="J105" s="163"/>
      <c r="K105" s="163"/>
      <c r="L105" s="163"/>
      <c r="M105" s="163"/>
      <c r="N105" s="164"/>
    </row>
    <row r="106" spans="2:14" s="117" customFormat="1">
      <c r="B106" s="179"/>
      <c r="C106" s="179"/>
      <c r="D106" s="179"/>
      <c r="E106" s="179"/>
      <c r="F106" s="163"/>
      <c r="G106" s="163"/>
      <c r="H106" s="163"/>
      <c r="I106" s="163"/>
      <c r="J106" s="163"/>
      <c r="K106" s="163"/>
      <c r="L106" s="163"/>
      <c r="M106" s="163"/>
      <c r="N106" s="164"/>
    </row>
    <row r="107" spans="2:14" s="117" customFormat="1">
      <c r="B107" s="179"/>
      <c r="C107" s="179"/>
      <c r="D107" s="179"/>
      <c r="E107" s="179"/>
      <c r="F107" s="163"/>
      <c r="G107" s="163"/>
      <c r="H107" s="163"/>
      <c r="I107" s="163"/>
      <c r="J107" s="163"/>
      <c r="K107" s="163"/>
      <c r="L107" s="163"/>
      <c r="M107" s="163"/>
      <c r="N107" s="164"/>
    </row>
    <row r="108" spans="2:14" s="117" customFormat="1">
      <c r="B108" s="179"/>
      <c r="C108" s="179"/>
      <c r="D108" s="179"/>
      <c r="E108" s="179"/>
      <c r="F108" s="163"/>
      <c r="G108" s="163"/>
      <c r="H108" s="163"/>
      <c r="I108" s="163"/>
      <c r="J108" s="163"/>
      <c r="K108" s="163"/>
      <c r="L108" s="163"/>
      <c r="M108" s="163"/>
      <c r="N108" s="164"/>
    </row>
    <row r="109" spans="2:14" s="117" customFormat="1">
      <c r="B109" s="179"/>
      <c r="C109" s="179"/>
      <c r="D109" s="179"/>
      <c r="E109" s="179"/>
      <c r="F109" s="163"/>
      <c r="G109" s="163"/>
      <c r="H109" s="163"/>
      <c r="I109" s="163"/>
      <c r="J109" s="163"/>
      <c r="K109" s="163"/>
      <c r="L109" s="163"/>
      <c r="M109" s="163"/>
      <c r="N109" s="164"/>
    </row>
    <row r="110" spans="2:14" s="117" customFormat="1">
      <c r="B110" s="179"/>
      <c r="C110" s="179"/>
      <c r="D110" s="179"/>
      <c r="E110" s="179"/>
      <c r="F110" s="163"/>
      <c r="G110" s="163"/>
      <c r="H110" s="163"/>
      <c r="I110" s="163"/>
      <c r="J110" s="163"/>
      <c r="K110" s="163"/>
      <c r="L110" s="163"/>
      <c r="M110" s="163"/>
      <c r="N110" s="164"/>
    </row>
    <row r="111" spans="2:14" s="117" customFormat="1">
      <c r="B111" s="179"/>
      <c r="C111" s="179"/>
      <c r="D111" s="179"/>
      <c r="E111" s="179"/>
      <c r="F111" s="163"/>
      <c r="G111" s="163"/>
      <c r="H111" s="163"/>
      <c r="I111" s="163"/>
      <c r="J111" s="163"/>
      <c r="K111" s="163"/>
      <c r="L111" s="163"/>
      <c r="M111" s="163"/>
      <c r="N111" s="164"/>
    </row>
    <row r="112" spans="2:14" s="117" customFormat="1">
      <c r="B112" s="179"/>
      <c r="C112" s="179"/>
      <c r="D112" s="179"/>
      <c r="E112" s="179"/>
      <c r="F112" s="163"/>
      <c r="G112" s="163"/>
      <c r="H112" s="163"/>
      <c r="I112" s="163"/>
      <c r="J112" s="163"/>
      <c r="K112" s="163"/>
      <c r="L112" s="163"/>
      <c r="M112" s="163"/>
      <c r="N112" s="164"/>
    </row>
    <row r="113" spans="1:14" s="117" customFormat="1">
      <c r="B113" s="179"/>
      <c r="C113" s="179"/>
      <c r="D113" s="179"/>
      <c r="E113" s="179"/>
      <c r="F113" s="163"/>
      <c r="G113" s="163"/>
      <c r="H113" s="163"/>
      <c r="I113" s="163"/>
      <c r="J113" s="163"/>
      <c r="K113" s="163"/>
      <c r="L113" s="163"/>
      <c r="M113" s="163"/>
      <c r="N113" s="164"/>
    </row>
    <row r="114" spans="1:14" s="117" customFormat="1" outlineLevel="1">
      <c r="B114" s="179"/>
      <c r="C114" s="179"/>
      <c r="D114" s="179"/>
      <c r="E114" s="179"/>
      <c r="F114" s="182"/>
      <c r="G114" s="182"/>
      <c r="H114" s="182"/>
      <c r="I114" s="182"/>
      <c r="J114" s="182"/>
      <c r="K114" s="182"/>
      <c r="L114" s="182"/>
      <c r="M114" s="182"/>
      <c r="N114" s="164"/>
    </row>
    <row r="115" spans="1:14" s="117" customFormat="1" outlineLevel="1">
      <c r="B115" s="166"/>
      <c r="C115" s="166"/>
      <c r="D115" s="166"/>
      <c r="E115" s="166"/>
      <c r="F115" s="166"/>
      <c r="G115" s="166"/>
      <c r="H115" s="166"/>
      <c r="I115" s="166"/>
      <c r="J115" s="166"/>
      <c r="K115" s="166"/>
      <c r="L115" s="166"/>
      <c r="M115" s="166"/>
      <c r="N115" s="164"/>
    </row>
    <row r="116" spans="1:14" s="117" customFormat="1" outlineLevel="1">
      <c r="B116" s="166"/>
      <c r="C116" s="166"/>
      <c r="D116" s="166"/>
      <c r="E116" s="166"/>
      <c r="F116" s="166"/>
      <c r="G116" s="166"/>
      <c r="H116" s="166"/>
      <c r="I116" s="166"/>
      <c r="J116" s="166"/>
      <c r="K116" s="166"/>
      <c r="L116" s="166"/>
      <c r="M116" s="166"/>
      <c r="N116" s="164"/>
    </row>
    <row r="117" spans="1:14" s="117" customFormat="1" outlineLevel="1">
      <c r="B117" s="166"/>
      <c r="C117" s="166"/>
      <c r="D117" s="166"/>
      <c r="E117" s="166"/>
      <c r="F117" s="166"/>
      <c r="G117" s="166"/>
      <c r="H117" s="166"/>
      <c r="I117" s="166"/>
      <c r="J117" s="166"/>
      <c r="K117" s="166"/>
      <c r="L117" s="166"/>
      <c r="M117" s="166"/>
      <c r="N117" s="164"/>
    </row>
    <row r="118" spans="1:14" s="117" customFormat="1" outlineLevel="1">
      <c r="B118" s="166"/>
      <c r="C118" s="166"/>
      <c r="D118" s="166"/>
      <c r="E118" s="166"/>
      <c r="F118" s="166"/>
      <c r="G118" s="166"/>
      <c r="H118" s="166"/>
      <c r="I118" s="166"/>
      <c r="J118" s="166"/>
      <c r="K118" s="166"/>
      <c r="L118" s="166"/>
      <c r="M118" s="166"/>
      <c r="N118" s="164"/>
    </row>
    <row r="119" spans="1:14" s="117" customFormat="1" outlineLevel="1">
      <c r="B119" s="166"/>
      <c r="C119" s="166"/>
      <c r="D119" s="166"/>
      <c r="E119" s="166"/>
      <c r="F119" s="166"/>
      <c r="G119" s="166"/>
      <c r="H119" s="166"/>
      <c r="I119" s="166"/>
      <c r="J119" s="166"/>
      <c r="K119" s="166"/>
      <c r="L119" s="166"/>
      <c r="M119" s="166"/>
      <c r="N119" s="164"/>
    </row>
    <row r="120" spans="1:14" s="117" customFormat="1" outlineLevel="1">
      <c r="A120" s="95"/>
      <c r="B120" s="185"/>
      <c r="C120" s="185"/>
      <c r="D120" s="185"/>
      <c r="E120" s="185"/>
      <c r="F120" s="185"/>
      <c r="G120" s="185"/>
      <c r="H120" s="185"/>
      <c r="I120" s="185"/>
      <c r="J120" s="185"/>
      <c r="K120" s="185"/>
      <c r="L120" s="185"/>
      <c r="M120" s="185"/>
      <c r="N120" s="156"/>
    </row>
    <row r="121" spans="1:14" s="117" customFormat="1" outlineLevel="1">
      <c r="B121" s="157"/>
      <c r="C121" s="157"/>
      <c r="D121" s="157"/>
      <c r="E121" s="157"/>
      <c r="F121" s="95"/>
      <c r="G121" s="95"/>
      <c r="H121" s="95"/>
      <c r="I121" s="95"/>
      <c r="J121" s="95"/>
      <c r="K121" s="95"/>
      <c r="L121" s="95"/>
      <c r="M121" s="95"/>
      <c r="N121" s="162"/>
    </row>
    <row r="122" spans="1:14" s="117" customFormat="1" outlineLevel="1">
      <c r="B122" s="95"/>
      <c r="C122" s="95"/>
      <c r="D122" s="95"/>
      <c r="E122" s="95"/>
      <c r="F122" s="159"/>
      <c r="G122" s="159"/>
      <c r="H122" s="159"/>
      <c r="I122" s="159"/>
      <c r="J122" s="159"/>
      <c r="K122" s="159"/>
      <c r="L122" s="159"/>
      <c r="M122" s="159"/>
      <c r="N122" s="162"/>
    </row>
    <row r="123" spans="1:14" s="117" customFormat="1" outlineLevel="1">
      <c r="B123" s="95"/>
      <c r="C123" s="95"/>
      <c r="D123" s="95"/>
      <c r="E123" s="95"/>
      <c r="I123" s="95"/>
      <c r="J123" s="95"/>
      <c r="K123" s="95"/>
      <c r="L123" s="95"/>
      <c r="M123" s="95"/>
      <c r="N123" s="162"/>
    </row>
    <row r="124" spans="1:14" s="117" customFormat="1">
      <c r="B124" s="179"/>
      <c r="C124" s="179"/>
      <c r="D124" s="179"/>
      <c r="E124" s="179"/>
      <c r="F124" s="163"/>
      <c r="G124" s="163"/>
      <c r="H124" s="163"/>
      <c r="I124" s="163"/>
      <c r="J124" s="163"/>
      <c r="K124" s="163"/>
      <c r="L124" s="163"/>
      <c r="M124" s="163"/>
      <c r="N124" s="162"/>
    </row>
    <row r="125" spans="1:14" s="117" customFormat="1">
      <c r="B125" s="179"/>
      <c r="C125" s="179"/>
      <c r="D125" s="179"/>
      <c r="E125" s="179"/>
      <c r="F125" s="163"/>
      <c r="G125" s="163"/>
      <c r="H125" s="163"/>
      <c r="I125" s="163"/>
      <c r="J125" s="163"/>
      <c r="K125" s="163"/>
      <c r="L125" s="163"/>
      <c r="M125" s="163"/>
      <c r="N125" s="162"/>
    </row>
    <row r="126" spans="1:14" s="117" customFormat="1">
      <c r="B126" s="179"/>
      <c r="C126" s="179"/>
      <c r="D126" s="179"/>
      <c r="E126" s="179"/>
      <c r="F126" s="163"/>
      <c r="G126" s="163"/>
      <c r="H126" s="163"/>
      <c r="I126" s="163"/>
      <c r="J126" s="163"/>
      <c r="K126" s="163"/>
      <c r="L126" s="163"/>
      <c r="M126" s="163"/>
      <c r="N126" s="162"/>
    </row>
    <row r="127" spans="1:14" s="117" customFormat="1" outlineLevel="1">
      <c r="B127" s="179"/>
      <c r="C127" s="179"/>
      <c r="D127" s="179"/>
      <c r="E127" s="179"/>
      <c r="F127" s="163"/>
      <c r="G127" s="163"/>
      <c r="H127" s="163"/>
      <c r="I127" s="163"/>
      <c r="J127" s="163"/>
      <c r="K127" s="163"/>
      <c r="L127" s="163"/>
      <c r="M127" s="163"/>
      <c r="N127" s="162"/>
    </row>
    <row r="128" spans="1:14" s="117" customFormat="1" outlineLevel="1">
      <c r="B128" s="179"/>
      <c r="C128" s="179"/>
      <c r="D128" s="179"/>
      <c r="E128" s="179"/>
      <c r="F128" s="163"/>
      <c r="G128" s="163"/>
      <c r="H128" s="163"/>
      <c r="I128" s="163"/>
      <c r="J128" s="163"/>
      <c r="K128" s="163"/>
      <c r="L128" s="163"/>
      <c r="M128" s="163"/>
      <c r="N128" s="162"/>
    </row>
    <row r="129" spans="1:14" s="117" customFormat="1" outlineLevel="1">
      <c r="B129" s="179"/>
      <c r="C129" s="179"/>
      <c r="D129" s="179"/>
      <c r="E129" s="179"/>
      <c r="F129" s="163"/>
      <c r="G129" s="163"/>
      <c r="H129" s="163"/>
      <c r="I129" s="163"/>
      <c r="J129" s="163"/>
      <c r="K129" s="163"/>
      <c r="L129" s="163"/>
      <c r="M129" s="163"/>
      <c r="N129" s="162"/>
    </row>
    <row r="130" spans="1:14" s="117" customFormat="1" outlineLevel="1">
      <c r="B130" s="179"/>
      <c r="C130" s="179"/>
      <c r="D130" s="179"/>
      <c r="E130" s="179"/>
      <c r="F130" s="163"/>
      <c r="G130" s="163"/>
      <c r="H130" s="163"/>
      <c r="I130" s="163"/>
      <c r="J130" s="163"/>
      <c r="K130" s="163"/>
      <c r="L130" s="163"/>
      <c r="M130" s="163"/>
      <c r="N130" s="162"/>
    </row>
    <row r="131" spans="1:14" s="117" customFormat="1" outlineLevel="1">
      <c r="B131" s="179"/>
      <c r="C131" s="179"/>
      <c r="D131" s="179"/>
      <c r="E131" s="179"/>
      <c r="F131" s="163"/>
      <c r="G131" s="163"/>
      <c r="H131" s="163"/>
      <c r="I131" s="163"/>
      <c r="J131" s="163"/>
      <c r="K131" s="163"/>
      <c r="L131" s="163"/>
      <c r="M131" s="163"/>
      <c r="N131" s="162"/>
    </row>
    <row r="132" spans="1:14" s="117" customFormat="1" outlineLevel="1">
      <c r="B132" s="179"/>
      <c r="C132" s="179"/>
      <c r="D132" s="179"/>
      <c r="E132" s="179"/>
      <c r="F132" s="163"/>
      <c r="G132" s="163"/>
      <c r="H132" s="163"/>
      <c r="I132" s="163"/>
      <c r="J132" s="163"/>
      <c r="K132" s="163"/>
      <c r="L132" s="163"/>
      <c r="M132" s="163"/>
      <c r="N132" s="162"/>
    </row>
    <row r="133" spans="1:14" s="117" customFormat="1" outlineLevel="1">
      <c r="B133" s="179"/>
      <c r="C133" s="179"/>
      <c r="D133" s="179"/>
      <c r="E133" s="179"/>
      <c r="F133" s="163"/>
      <c r="G133" s="163"/>
      <c r="H133" s="163"/>
      <c r="I133" s="163"/>
      <c r="J133" s="163"/>
      <c r="K133" s="163"/>
      <c r="L133" s="163"/>
      <c r="M133" s="163"/>
      <c r="N133" s="162"/>
    </row>
    <row r="134" spans="1:14" s="117" customFormat="1" outlineLevel="1">
      <c r="B134" s="179"/>
      <c r="C134" s="179"/>
      <c r="D134" s="179"/>
      <c r="E134" s="179"/>
      <c r="F134" s="182"/>
      <c r="G134" s="182"/>
      <c r="H134" s="182"/>
      <c r="I134" s="182"/>
      <c r="J134" s="182"/>
      <c r="K134" s="182"/>
      <c r="L134" s="182"/>
      <c r="M134" s="182"/>
      <c r="N134" s="164"/>
    </row>
    <row r="135" spans="1:14" s="117" customFormat="1" outlineLevel="1">
      <c r="B135" s="166"/>
      <c r="C135" s="166"/>
      <c r="D135" s="166"/>
      <c r="E135" s="166"/>
      <c r="F135" s="166"/>
      <c r="G135" s="166"/>
      <c r="H135" s="166"/>
      <c r="I135" s="166"/>
      <c r="J135" s="166"/>
      <c r="K135" s="166"/>
      <c r="L135" s="166"/>
      <c r="M135" s="166"/>
      <c r="N135" s="164"/>
    </row>
    <row r="136" spans="1:14" s="117" customFormat="1" outlineLevel="1">
      <c r="B136" s="166"/>
      <c r="C136" s="166"/>
      <c r="D136" s="166"/>
      <c r="E136" s="166"/>
      <c r="F136" s="166"/>
      <c r="G136" s="166"/>
      <c r="H136" s="166"/>
      <c r="I136" s="166"/>
      <c r="J136" s="166"/>
      <c r="K136" s="166"/>
      <c r="L136" s="166"/>
      <c r="M136" s="166"/>
      <c r="N136" s="164"/>
    </row>
    <row r="137" spans="1:14" s="117" customFormat="1" outlineLevel="1">
      <c r="B137" s="166"/>
      <c r="C137" s="166"/>
      <c r="D137" s="166"/>
      <c r="E137" s="166"/>
      <c r="F137" s="166"/>
      <c r="G137" s="166"/>
      <c r="H137" s="166"/>
      <c r="I137" s="166"/>
      <c r="J137" s="166"/>
      <c r="K137" s="166"/>
      <c r="L137" s="166"/>
      <c r="M137" s="166"/>
      <c r="N137" s="164"/>
    </row>
    <row r="138" spans="1:14" s="117" customFormat="1" outlineLevel="1">
      <c r="B138" s="166"/>
      <c r="C138" s="166"/>
      <c r="D138" s="166"/>
      <c r="E138" s="166"/>
      <c r="F138" s="166"/>
      <c r="G138" s="166"/>
      <c r="H138" s="166"/>
      <c r="I138" s="166"/>
      <c r="J138" s="166"/>
      <c r="K138" s="166"/>
      <c r="L138" s="166"/>
      <c r="M138" s="166"/>
      <c r="N138" s="164"/>
    </row>
    <row r="139" spans="1:14" s="117" customFormat="1" outlineLevel="1">
      <c r="B139" s="166"/>
      <c r="C139" s="166"/>
      <c r="D139" s="166"/>
      <c r="E139" s="166"/>
      <c r="F139" s="166"/>
      <c r="G139" s="166"/>
      <c r="H139" s="166"/>
      <c r="I139" s="166"/>
      <c r="J139" s="166"/>
      <c r="K139" s="166"/>
      <c r="L139" s="166"/>
      <c r="M139" s="166"/>
      <c r="N139" s="164"/>
    </row>
    <row r="140" spans="1:14" s="117" customFormat="1">
      <c r="A140" s="95"/>
      <c r="B140" s="187"/>
      <c r="C140" s="187"/>
      <c r="D140" s="187"/>
      <c r="E140" s="187"/>
      <c r="F140" s="116"/>
      <c r="G140" s="116"/>
      <c r="H140" s="116"/>
      <c r="I140" s="116"/>
      <c r="J140" s="116"/>
      <c r="K140" s="116"/>
      <c r="L140" s="116"/>
      <c r="M140" s="116"/>
      <c r="N140" s="156"/>
    </row>
    <row r="141" spans="1:14" s="117" customFormat="1">
      <c r="A141" s="95"/>
      <c r="B141" s="170"/>
      <c r="C141" s="170"/>
      <c r="D141" s="170"/>
      <c r="E141" s="170"/>
      <c r="F141" s="170"/>
      <c r="G141" s="170"/>
      <c r="H141" s="170"/>
      <c r="I141" s="170"/>
      <c r="J141" s="170"/>
      <c r="K141" s="170"/>
      <c r="L141" s="170"/>
      <c r="M141" s="170"/>
    </row>
    <row r="142" spans="1:14" s="117" customFormat="1">
      <c r="A142" s="95"/>
      <c r="B142" s="170"/>
      <c r="C142" s="170"/>
      <c r="D142" s="170"/>
      <c r="E142" s="170"/>
      <c r="F142" s="170"/>
      <c r="G142" s="170"/>
      <c r="H142" s="170"/>
      <c r="I142" s="170"/>
      <c r="J142" s="170"/>
      <c r="K142" s="170"/>
      <c r="L142" s="170"/>
      <c r="M142" s="170"/>
    </row>
    <row r="143" spans="1:14" s="117" customFormat="1">
      <c r="A143" s="95"/>
      <c r="B143" s="170"/>
      <c r="C143" s="170"/>
      <c r="D143" s="170"/>
      <c r="E143" s="170"/>
      <c r="F143" s="170"/>
      <c r="G143" s="170"/>
      <c r="H143" s="170"/>
      <c r="I143" s="170"/>
      <c r="J143" s="170"/>
      <c r="K143" s="170"/>
      <c r="L143" s="170"/>
      <c r="M143" s="170"/>
    </row>
    <row r="144" spans="1:14" s="117" customFormat="1">
      <c r="A144" s="95"/>
      <c r="B144" s="170"/>
      <c r="C144" s="170"/>
      <c r="D144" s="170"/>
      <c r="E144" s="170"/>
      <c r="F144" s="170"/>
      <c r="G144" s="170"/>
      <c r="H144" s="170"/>
      <c r="I144" s="170"/>
      <c r="J144" s="170"/>
      <c r="K144" s="170"/>
      <c r="L144" s="170"/>
      <c r="M144" s="170"/>
    </row>
    <row r="145" spans="1:14" s="117" customFormat="1">
      <c r="A145" s="95"/>
      <c r="B145" s="170"/>
      <c r="C145" s="170"/>
      <c r="D145" s="170"/>
      <c r="E145" s="170"/>
      <c r="F145" s="170"/>
      <c r="G145" s="170"/>
      <c r="H145" s="170"/>
      <c r="I145" s="170"/>
      <c r="J145" s="170"/>
      <c r="K145" s="170"/>
      <c r="L145" s="170"/>
      <c r="M145" s="170"/>
    </row>
    <row r="146" spans="1:14" s="525" customFormat="1"/>
    <row r="147" spans="1:14" s="117" customFormat="1">
      <c r="B147" s="188"/>
      <c r="C147" s="188"/>
      <c r="D147" s="188"/>
      <c r="E147" s="188"/>
      <c r="F147" s="116"/>
      <c r="G147" s="116"/>
      <c r="H147" s="116"/>
      <c r="I147" s="116"/>
      <c r="J147" s="116"/>
      <c r="K147" s="116"/>
      <c r="L147" s="116"/>
      <c r="M147" s="116"/>
      <c r="N147" s="189"/>
    </row>
    <row r="148" spans="1:14" s="117" customFormat="1">
      <c r="B148" s="185"/>
      <c r="C148" s="185"/>
      <c r="D148" s="185"/>
      <c r="E148" s="185"/>
      <c r="F148" s="190"/>
      <c r="G148" s="190"/>
      <c r="H148" s="190"/>
      <c r="I148" s="190"/>
      <c r="J148" s="190"/>
      <c r="K148" s="190"/>
      <c r="L148" s="190"/>
      <c r="M148" s="190"/>
      <c r="N148" s="191"/>
    </row>
    <row r="149" spans="1:14" s="117" customFormat="1">
      <c r="B149" s="192"/>
      <c r="C149" s="192"/>
      <c r="D149" s="192"/>
      <c r="E149" s="192"/>
      <c r="F149" s="192"/>
      <c r="G149" s="192"/>
      <c r="H149" s="192"/>
      <c r="I149" s="192"/>
      <c r="J149" s="192"/>
      <c r="K149" s="192"/>
      <c r="L149" s="192"/>
      <c r="M149" s="192"/>
      <c r="N149" s="192"/>
    </row>
    <row r="150" spans="1:14" s="117" customFormat="1">
      <c r="B150" s="118"/>
      <c r="C150" s="118"/>
      <c r="D150" s="118"/>
      <c r="E150" s="118"/>
      <c r="F150" s="193"/>
      <c r="G150" s="193"/>
      <c r="H150" s="193"/>
      <c r="I150" s="193"/>
      <c r="J150" s="193"/>
      <c r="K150" s="193"/>
      <c r="L150" s="193"/>
      <c r="M150" s="193"/>
      <c r="N150" s="192"/>
    </row>
    <row r="151" spans="1:14" s="117" customFormat="1">
      <c r="A151" s="95"/>
      <c r="N151" s="192"/>
    </row>
    <row r="152" spans="1:14" s="117" customFormat="1"/>
    <row r="153" spans="1:14" s="117" customFormat="1">
      <c r="B153" s="196"/>
      <c r="C153" s="196"/>
      <c r="D153" s="196"/>
      <c r="E153" s="196"/>
    </row>
    <row r="154" spans="1:14" s="117" customFormat="1">
      <c r="F154" s="197"/>
      <c r="G154" s="197"/>
      <c r="H154" s="197"/>
      <c r="I154" s="197"/>
      <c r="J154" s="197"/>
    </row>
    <row r="155" spans="1:14" s="117" customFormat="1">
      <c r="F155" s="197"/>
      <c r="G155" s="197"/>
      <c r="H155" s="197"/>
      <c r="I155" s="197"/>
      <c r="J155" s="197"/>
    </row>
    <row r="156" spans="1:14" s="117" customFormat="1">
      <c r="F156" s="197"/>
      <c r="G156" s="197"/>
      <c r="H156" s="197"/>
      <c r="I156" s="197"/>
      <c r="J156" s="197"/>
    </row>
    <row r="157" spans="1:14" s="117" customFormat="1">
      <c r="F157" s="197"/>
      <c r="G157" s="197"/>
      <c r="H157" s="197"/>
      <c r="I157" s="197"/>
      <c r="J157" s="197"/>
    </row>
    <row r="158" spans="1:14" s="117" customFormat="1">
      <c r="F158" s="197"/>
      <c r="G158" s="197"/>
      <c r="H158" s="197"/>
      <c r="I158" s="197"/>
      <c r="J158" s="197"/>
    </row>
    <row r="159" spans="1:14" s="117" customFormat="1">
      <c r="F159" s="197"/>
      <c r="G159" s="197"/>
      <c r="H159" s="197"/>
      <c r="I159" s="197"/>
      <c r="J159" s="197"/>
    </row>
    <row r="160" spans="1:14" s="117" customFormat="1">
      <c r="B160" s="185"/>
      <c r="C160" s="185"/>
      <c r="D160" s="185"/>
      <c r="E160" s="185"/>
    </row>
    <row r="161" spans="2:14" s="117" customFormat="1">
      <c r="B161" s="185"/>
      <c r="C161" s="185"/>
      <c r="D161" s="185"/>
      <c r="E161" s="185"/>
    </row>
    <row r="162" spans="2:14" s="117" customFormat="1"/>
    <row r="163" spans="2:14" s="117" customFormat="1"/>
    <row r="164" spans="2:14" s="117" customFormat="1"/>
    <row r="165" spans="2:14" s="117" customFormat="1"/>
    <row r="166" spans="2:14" ht="15">
      <c r="B166" s="198"/>
      <c r="C166" s="198"/>
      <c r="D166" s="198"/>
      <c r="E166" s="198"/>
      <c r="F166" s="198"/>
      <c r="G166" s="198"/>
      <c r="H166" s="198"/>
      <c r="I166" s="198"/>
      <c r="J166" s="198"/>
      <c r="K166" s="198"/>
      <c r="L166" s="198"/>
      <c r="M166" s="198"/>
      <c r="N166" s="198"/>
    </row>
    <row r="167" spans="2:14" ht="15">
      <c r="B167" s="198"/>
      <c r="C167" s="198"/>
      <c r="D167" s="198"/>
      <c r="E167" s="198"/>
      <c r="F167" s="198"/>
      <c r="G167" s="198"/>
      <c r="H167" s="198"/>
      <c r="I167" s="198"/>
      <c r="J167" s="198"/>
      <c r="K167" s="198"/>
      <c r="L167" s="198"/>
      <c r="M167" s="198"/>
      <c r="N167" s="198"/>
    </row>
    <row r="168" spans="2:14" ht="15">
      <c r="B168" s="198"/>
      <c r="C168" s="198"/>
      <c r="D168" s="198"/>
      <c r="E168" s="198"/>
      <c r="F168" s="198"/>
      <c r="G168" s="198"/>
      <c r="H168" s="198"/>
      <c r="I168" s="198"/>
      <c r="J168" s="198"/>
      <c r="K168" s="198"/>
      <c r="L168" s="198"/>
      <c r="M168" s="198"/>
      <c r="N168" s="198"/>
    </row>
  </sheetData>
  <mergeCells count="2">
    <mergeCell ref="D33:J33"/>
    <mergeCell ref="D32:K32"/>
  </mergeCells>
  <conditionalFormatting sqref="F4 B148:M148 F2:M3 H4:M4">
    <cfRule type="cellIs" dxfId="197" priority="9" stopIfTrue="1" operator="equal">
      <formula>"input"</formula>
    </cfRule>
  </conditionalFormatting>
  <conditionalFormatting sqref="D4:E4">
    <cfRule type="cellIs" dxfId="196" priority="8" stopIfTrue="1" operator="equal">
      <formula>"input"</formula>
    </cfRule>
  </conditionalFormatting>
  <conditionalFormatting sqref="C4">
    <cfRule type="cellIs" dxfId="195" priority="5" stopIfTrue="1" operator="equal">
      <formula>"input"</formula>
    </cfRule>
  </conditionalFormatting>
  <conditionalFormatting sqref="B4">
    <cfRule type="cellIs" dxfId="194" priority="4" stopIfTrue="1" operator="equal">
      <formula>"input"</formula>
    </cfRule>
  </conditionalFormatting>
  <conditionalFormatting sqref="G4">
    <cfRule type="cellIs" dxfId="193" priority="1" stopIfTrue="1" operator="equal">
      <formula>"input"</formula>
    </cfRule>
  </conditionalFormatting>
  <pageMargins left="0.5" right="0.5" top="0.5" bottom="0.5" header="0.3" footer="0.3"/>
  <pageSetup scale="108" fitToWidth="0" fitToHeight="0" orientation="landscape" r:id="rId1"/>
  <rowBreaks count="2" manualBreakCount="2">
    <brk id="52" max="15" man="1"/>
    <brk id="99" max="15"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39"/>
  <sheetViews>
    <sheetView showGridLines="0" view="pageBreakPreview" zoomScale="70" zoomScaleNormal="100" zoomScaleSheetLayoutView="70" workbookViewId="0">
      <selection activeCell="D19" sqref="D19"/>
    </sheetView>
  </sheetViews>
  <sheetFormatPr defaultColWidth="8" defaultRowHeight="12.75" outlineLevelRow="1"/>
  <cols>
    <col min="1" max="1" width="1.5703125" style="200" customWidth="1"/>
    <col min="2" max="2" width="20.5703125" style="200" customWidth="1"/>
    <col min="3" max="3" width="14.7109375" style="200" customWidth="1"/>
    <col min="4" max="8" width="18.7109375" style="200" customWidth="1"/>
    <col min="9" max="9" width="2" style="200" customWidth="1"/>
    <col min="10" max="16384" width="8" style="200"/>
  </cols>
  <sheetData>
    <row r="1" spans="1:10" s="78" customFormat="1" ht="11.25" customHeight="1" thickBot="1">
      <c r="A1" s="77"/>
      <c r="B1" s="79"/>
      <c r="C1" s="79"/>
      <c r="D1" s="79"/>
      <c r="E1" s="79"/>
      <c r="F1" s="79"/>
      <c r="G1" s="79"/>
      <c r="H1" s="79"/>
    </row>
    <row r="2" spans="1:10" s="81" customFormat="1" ht="15.75" customHeight="1" thickTop="1">
      <c r="A2" s="400"/>
      <c r="B2" s="82" t="str">
        <f>Outline!B2</f>
        <v>Satellite Healthcare WB Santa Cruz Valuation</v>
      </c>
      <c r="C2" s="82"/>
      <c r="D2" s="82"/>
      <c r="E2" s="82"/>
      <c r="F2" s="82"/>
      <c r="G2" s="82"/>
      <c r="H2" s="401"/>
    </row>
    <row r="3" spans="1:10" s="81" customFormat="1" ht="15.75" customHeight="1">
      <c r="A3" s="402"/>
      <c r="B3" s="89" t="str">
        <f>Outline!C24</f>
        <v>Exhibit C3</v>
      </c>
      <c r="C3" s="89"/>
      <c r="D3" s="89"/>
      <c r="E3" s="89"/>
      <c r="F3" s="89"/>
      <c r="G3" s="89"/>
      <c r="H3" s="89"/>
    </row>
    <row r="4" spans="1:10" s="81" customFormat="1" ht="15.75" customHeight="1" thickBot="1">
      <c r="A4" s="400"/>
      <c r="B4" s="91" t="s">
        <v>234</v>
      </c>
      <c r="C4" s="91"/>
      <c r="D4" s="91"/>
      <c r="E4" s="91"/>
      <c r="F4" s="91"/>
      <c r="G4" s="91"/>
      <c r="H4" s="91"/>
    </row>
    <row r="5" spans="1:10" s="81" customFormat="1" ht="15.75" customHeight="1" thickTop="1">
      <c r="A5" s="400"/>
      <c r="B5" s="97"/>
      <c r="C5" s="97"/>
      <c r="D5" s="97"/>
      <c r="E5" s="97"/>
      <c r="F5" s="97"/>
      <c r="G5" s="97"/>
      <c r="H5" s="97"/>
      <c r="I5" s="97"/>
      <c r="J5" s="97"/>
    </row>
    <row r="6" spans="1:10" s="310" customFormat="1" ht="29.25" customHeight="1">
      <c r="B6" s="533" t="s">
        <v>350</v>
      </c>
      <c r="C6" s="533" t="s">
        <v>154</v>
      </c>
      <c r="D6" s="1285" t="s">
        <v>233</v>
      </c>
      <c r="E6" s="1285"/>
      <c r="F6" s="1285"/>
      <c r="G6" s="1285"/>
      <c r="H6" s="1285"/>
    </row>
    <row r="7" spans="1:10" s="117" customFormat="1" ht="15.75" customHeight="1">
      <c r="A7" s="116"/>
      <c r="B7" s="313"/>
      <c r="C7" s="313"/>
      <c r="D7" s="313"/>
      <c r="E7" s="313"/>
      <c r="F7" s="313"/>
      <c r="G7" s="313"/>
      <c r="H7" s="313"/>
    </row>
    <row r="8" spans="1:10" s="117" customFormat="1" ht="215.1" customHeight="1">
      <c r="B8" s="121" t="str">
        <f>_xll.ciqfunctions.udf.CIQ($C8,"IQ_COMPANY_NAME")</f>
        <v>Fresenius Medical Care AG &amp; Co. KGaA</v>
      </c>
      <c r="C8" s="315" t="str">
        <f>'E1'!AZ10</f>
        <v>XTRA:FME</v>
      </c>
      <c r="D8" s="1286" t="str">
        <f>_xll.ciqfunctions.udf.CIQ(C8, "IQ_BUSINESS_DESCRIPTION")</f>
        <v>Fresenius Medical Care AG &amp; Co. KGaA, a kidney dialysis company, provides dialysis care and related services, and other health care services in Germany, the United States, and internationally. It offers dialysis treatment and related laboratory and diagnostic services through a network of outpatient dialysis clinics; materials, training, and patient support services comprising clinical monitoring, follow-up assistance, and arranging for delivery of the supplies to the patient’s residence; and dialysis services under contract to hospitals in the United States for the hospitalized end-stage renal disease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and non-dialysis products, such as acute cardiopulmonary and apheresis products. In addition, it develops, acquires, and in-licenses renal pharmaceuticals; offers renal medications and supplies to patients at homes or to dialysis clinics; and provides vascular, cardiovascular, endovascular specialty, hospitalist, emergency, intensivist, medical cost management, ambulatory surgery center, health plan, urgent care, physician nephrology and cardiology, and ambulant treatment services. The company sells its products to clinics, hospitals, and specialized treatment clinics directly, as well as through local sales forces, independent distributors, dealers, and sales agents. As of December 31, 2018, it operated 3,928 outpatient dialysis clinics in approximately 150 countries. Fresenius Medical Care AG &amp; Co. KGaA was incorporated in 1996 and is headquartered in Bad Homburg, Germany.</v>
      </c>
      <c r="E8" s="1287"/>
      <c r="F8" s="1287"/>
      <c r="G8" s="1287"/>
      <c r="H8" s="1287"/>
    </row>
    <row r="9" spans="1:10" s="117" customFormat="1" ht="215.1" customHeight="1">
      <c r="B9" s="121" t="str">
        <f>_xll.ciqfunctions.udf.CIQ($C9,"IQ_COMPANY_NAME")</f>
        <v>Fresenius SE &amp; Co. KGaA</v>
      </c>
      <c r="C9" s="315" t="str">
        <f>'E1'!AZ11</f>
        <v>DB:FRE</v>
      </c>
      <c r="D9" s="1286" t="str">
        <f>_xll.ciqfunctions.udf.CIQ(C9, "IQ_BUSINESS_DESCRIPTION")</f>
        <v>Fresenius SE &amp; Co. KGaA, a health care group, provides products and services for dialysis, hospitals, and outpatient medical care worldwide. The company operates through four segments: Fresenius Medical Care, Fresenius Kabi, Fresenius Helios, and Fresenius Vamed. The Fresenius Medical Care segment offers products and services for patients with chronic kidney failure. This segment offers dialyzers, hemodialysis machines, and related disposable products, as well as dialysis-related services. The Fresenius Kabi segment specializes in the therapy and care of chronically and critically ill patients. This segment offers IV drugs, including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and products used in the collection and processing of blood components, as well as in transfusion medicine. The Fresenius Helios segment operates 86 hospitals, 124 outpatient clinics, and 10 prevention centers. The Fresenius Vamed segment manages projects and provides services for hospitals and other health care facilities. This segment offers project development, planning, and turnkey construction services, as well as maintenance, technical management, and operational management services. The company was formerly known as Fresenius SE and changed its name to Fresenius SE &amp; Co. KGaA in January 2011. Fresenius SE &amp; Co. KGaA was founded in 1912 and is headquartered in Bad Homburg vor der Höhe, Germany.</v>
      </c>
      <c r="E9" s="1287"/>
      <c r="F9" s="1287"/>
      <c r="G9" s="1287"/>
      <c r="H9" s="1287"/>
    </row>
    <row r="10" spans="1:10" s="117" customFormat="1" ht="174.95" customHeight="1">
      <c r="B10" s="315" t="str">
        <f>_xll.ciqfunctions.udf.CIQ($C10,"IQ_COMPANY_NAME")</f>
        <v>DaVita Inc.</v>
      </c>
      <c r="C10" s="315" t="str">
        <f>'E1'!AZ12</f>
        <v>NYSE:DVA</v>
      </c>
      <c r="D10" s="1286" t="str">
        <f>_xll.ciqfunctions.udf.CIQ(C10, "IQ_BUSINESS_DESCRIPTION")</f>
        <v>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2018, it provided dialysis and administrative services in the United States through a network of 2,664 outpatient dialysis centers serving approximately 202,700 patients; and operated 241 outpatient dialysis centers located in 9 countries outside of the United States serving approximately 25,000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v>
      </c>
      <c r="E10" s="1287"/>
      <c r="F10" s="1287"/>
      <c r="G10" s="1287"/>
      <c r="H10" s="1287"/>
    </row>
    <row r="11" spans="1:10" s="117" customFormat="1" ht="155.1" customHeight="1">
      <c r="B11" s="315" t="str">
        <f>_xll.ciqfunctions.udf.CIQ($C11,"IQ_COMPANY_NAME")</f>
        <v>NxStage Medical, Inc.</v>
      </c>
      <c r="C11" s="315" t="str">
        <f>'E1'!AZ13</f>
        <v>IQ115544</v>
      </c>
      <c r="D11" s="1286" t="str">
        <f>_xll.ciqfunctions.udf.CIQ(C11, "IQ_BUSINESS_DESCRIPTION")</f>
        <v>NxStage Medical, Inc., a medical technology company, develops, manufactures and markets products for the treatment of end-stage renal disease (ESRD) and acute kidney failure. It offers System One Cycle, a portable hemodialysis system, which is used primarily for home hemodialysis; PureFlow SL, offers water purification and dialysate production in one integrated unit, designed for use at home or in-center; chronic cartridges provides patient flexibility for more frequent, nocturnal, or intermittent renal replacement therapy at home; and Nx2me Connected Health, a telehealth platform for the collection and delivery of home hemodialysis treatment and patient medical information. It also offers bloodlines, needles, and dialysis fluids. The company provides dialysis services. It operates dialysis centers. NxStage Medical, Inc. was formerly known as QB Medical, Inc. The company was founded in 1998 and is based in Lawrence, Massachusetts. As of February 21, 2019, NxStage Medical, Inc. operates as a subsidiary of Fresenius Medical Care Holdings, Inc.</v>
      </c>
      <c r="E11" s="1287"/>
      <c r="F11" s="1287"/>
      <c r="G11" s="1287"/>
      <c r="H11" s="1287"/>
    </row>
    <row r="12" spans="1:10" s="117" customFormat="1" ht="90" customHeight="1">
      <c r="B12" s="315" t="str">
        <f>_xll.ciqfunctions.udf.CIQ($C12,"IQ_COMPANY_NAME")</f>
        <v>American Renal Associates Holdings, Inc.</v>
      </c>
      <c r="C12" s="315" t="str">
        <f>'E1'!AZ14</f>
        <v>NYSE:ARA</v>
      </c>
      <c r="D12" s="1286" t="str">
        <f>_xll.ciqfunctions.udf.CIQ(C12, "IQ_BUSINESS_DESCRIPTION")</f>
        <v>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June 30, 2018, it owned and operated 233 dialysis clinics in partnership with 400 nephrologist partners treating approximately 16,000 patients in 26 states and the District of Columbia. The company was founded in 1999 and is headquartered in Beverly, Massachusetts.</v>
      </c>
      <c r="E12" s="1287"/>
      <c r="F12" s="1287"/>
      <c r="G12" s="1287"/>
      <c r="H12" s="1287"/>
    </row>
    <row r="13" spans="1:10" s="117" customFormat="1">
      <c r="B13" s="315"/>
      <c r="C13" s="315"/>
      <c r="D13" s="408"/>
      <c r="E13" s="409"/>
      <c r="F13" s="409"/>
      <c r="G13" s="409"/>
      <c r="H13" s="409"/>
    </row>
    <row r="14" spans="1:10" s="403" customFormat="1" ht="15.75" customHeight="1">
      <c r="B14" s="170"/>
      <c r="C14" s="170"/>
      <c r="D14" s="170"/>
      <c r="E14" s="170"/>
      <c r="F14" s="170"/>
      <c r="G14" s="170"/>
      <c r="H14" s="170"/>
    </row>
    <row r="15" spans="1:10" s="403" customFormat="1" ht="15.75" customHeight="1">
      <c r="B15" s="170"/>
      <c r="C15" s="170"/>
      <c r="D15" s="170"/>
      <c r="E15" s="170"/>
      <c r="F15" s="170"/>
      <c r="G15" s="170"/>
      <c r="H15" s="170"/>
    </row>
    <row r="16" spans="1:10" s="403" customFormat="1" ht="15.75" customHeight="1">
      <c r="B16" s="170"/>
      <c r="C16" s="170"/>
      <c r="D16" s="170"/>
      <c r="E16" s="170"/>
      <c r="F16" s="170"/>
      <c r="G16" s="170"/>
      <c r="H16" s="170"/>
    </row>
    <row r="17" spans="1:9" s="117" customFormat="1" ht="15.75" customHeight="1">
      <c r="A17" s="95"/>
      <c r="B17" s="116"/>
      <c r="C17" s="116"/>
      <c r="D17" s="116"/>
      <c r="E17" s="116"/>
      <c r="F17" s="116"/>
      <c r="G17" s="116"/>
      <c r="H17" s="116"/>
    </row>
    <row r="18" spans="1:9" s="117" customFormat="1" ht="15.75" customHeight="1">
      <c r="A18" s="95"/>
      <c r="B18" s="116"/>
      <c r="C18" s="116"/>
      <c r="D18" s="116"/>
      <c r="E18" s="116"/>
      <c r="F18" s="116"/>
      <c r="G18" s="116"/>
      <c r="H18" s="116"/>
    </row>
    <row r="19" spans="1:9" s="117" customFormat="1" ht="15.75" customHeight="1">
      <c r="B19" s="173"/>
      <c r="C19" s="173"/>
      <c r="D19" s="173"/>
      <c r="E19" s="173"/>
      <c r="F19" s="173"/>
      <c r="G19" s="173"/>
      <c r="H19" s="173"/>
      <c r="I19" s="176"/>
    </row>
    <row r="20" spans="1:9" s="117" customFormat="1" ht="15.75" customHeight="1">
      <c r="B20" s="95"/>
      <c r="C20" s="95"/>
      <c r="D20" s="95"/>
      <c r="E20" s="95"/>
      <c r="F20" s="95"/>
      <c r="G20" s="95"/>
      <c r="H20" s="95"/>
      <c r="I20" s="176"/>
    </row>
    <row r="21" spans="1:9" s="117" customFormat="1" ht="15.75" customHeight="1">
      <c r="B21" s="95"/>
      <c r="C21" s="95"/>
      <c r="D21" s="95"/>
      <c r="E21" s="95"/>
      <c r="F21" s="95"/>
      <c r="G21" s="95"/>
      <c r="H21" s="95"/>
      <c r="I21" s="176"/>
    </row>
    <row r="22" spans="1:9" s="117" customFormat="1" ht="15.75" customHeight="1">
      <c r="B22" s="179"/>
      <c r="C22" s="179"/>
      <c r="D22" s="179"/>
      <c r="E22" s="179"/>
      <c r="F22" s="179"/>
      <c r="G22" s="179"/>
      <c r="H22" s="179"/>
      <c r="I22" s="176"/>
    </row>
    <row r="23" spans="1:9" s="117" customFormat="1" ht="15.75" customHeight="1">
      <c r="B23" s="179"/>
      <c r="C23" s="179"/>
      <c r="D23" s="179"/>
      <c r="E23" s="179"/>
      <c r="F23" s="179"/>
      <c r="G23" s="179"/>
      <c r="H23" s="179"/>
      <c r="I23" s="176"/>
    </row>
    <row r="24" spans="1:9" s="117" customFormat="1" ht="15.75" customHeight="1">
      <c r="B24" s="179"/>
      <c r="C24" s="179"/>
      <c r="D24" s="179"/>
      <c r="E24" s="179"/>
      <c r="F24" s="179"/>
      <c r="G24" s="179"/>
      <c r="H24" s="179"/>
      <c r="I24" s="176"/>
    </row>
    <row r="25" spans="1:9" s="117" customFormat="1" ht="15.75" customHeight="1">
      <c r="B25" s="179"/>
      <c r="C25" s="179"/>
      <c r="D25" s="179"/>
      <c r="E25" s="179"/>
      <c r="F25" s="179"/>
      <c r="G25" s="179"/>
      <c r="H25" s="179"/>
      <c r="I25" s="176"/>
    </row>
    <row r="26" spans="1:9" s="117" customFormat="1" ht="15.75" customHeight="1">
      <c r="B26" s="179"/>
      <c r="C26" s="179"/>
      <c r="D26" s="179"/>
      <c r="E26" s="179"/>
      <c r="F26" s="179"/>
      <c r="G26" s="179"/>
      <c r="H26" s="179"/>
      <c r="I26" s="176"/>
    </row>
    <row r="27" spans="1:9" s="117" customFormat="1" ht="15.75" customHeight="1">
      <c r="B27" s="179"/>
      <c r="C27" s="179"/>
      <c r="D27" s="179"/>
      <c r="E27" s="179"/>
      <c r="F27" s="179"/>
      <c r="G27" s="179"/>
      <c r="H27" s="179"/>
      <c r="I27" s="176"/>
    </row>
    <row r="28" spans="1:9" s="117" customFormat="1" ht="15.75" customHeight="1">
      <c r="B28" s="179"/>
      <c r="C28" s="179"/>
      <c r="D28" s="179"/>
      <c r="E28" s="179"/>
      <c r="F28" s="179"/>
      <c r="G28" s="179"/>
      <c r="H28" s="179"/>
      <c r="I28" s="176"/>
    </row>
    <row r="29" spans="1:9" s="117" customFormat="1" ht="15.75" customHeight="1">
      <c r="B29" s="179"/>
      <c r="C29" s="179"/>
      <c r="D29" s="179"/>
      <c r="E29" s="179"/>
      <c r="F29" s="179"/>
      <c r="G29" s="179"/>
      <c r="H29" s="179"/>
      <c r="I29" s="176"/>
    </row>
    <row r="30" spans="1:9" s="117" customFormat="1" ht="15.75" customHeight="1">
      <c r="B30" s="179"/>
      <c r="C30" s="179"/>
      <c r="D30" s="179"/>
      <c r="E30" s="179"/>
      <c r="F30" s="179"/>
      <c r="G30" s="179"/>
      <c r="H30" s="179"/>
      <c r="I30" s="176"/>
    </row>
    <row r="31" spans="1:9" s="117" customFormat="1" ht="15.75" customHeight="1">
      <c r="B31" s="179"/>
      <c r="C31" s="179"/>
      <c r="D31" s="179"/>
      <c r="E31" s="179"/>
      <c r="F31" s="179"/>
      <c r="G31" s="179"/>
      <c r="H31" s="179"/>
      <c r="I31" s="176"/>
    </row>
    <row r="32" spans="1:9" s="117" customFormat="1" ht="15.75" hidden="1" customHeight="1" outlineLevel="1">
      <c r="B32" s="95"/>
      <c r="C32" s="95"/>
      <c r="D32" s="95"/>
      <c r="E32" s="95"/>
      <c r="F32" s="95"/>
      <c r="G32" s="95"/>
      <c r="H32" s="95"/>
      <c r="I32" s="176"/>
    </row>
    <row r="33" spans="2:9" s="117" customFormat="1" ht="15.75" hidden="1" customHeight="1" outlineLevel="1">
      <c r="B33" s="166"/>
      <c r="C33" s="166"/>
      <c r="D33" s="166"/>
      <c r="E33" s="166"/>
      <c r="F33" s="166"/>
      <c r="G33" s="166"/>
      <c r="H33" s="166"/>
      <c r="I33" s="176"/>
    </row>
    <row r="34" spans="2:9" s="117" customFormat="1" ht="15.75" hidden="1" customHeight="1" outlineLevel="1">
      <c r="B34" s="166"/>
      <c r="C34" s="166"/>
      <c r="D34" s="166"/>
      <c r="E34" s="166"/>
      <c r="F34" s="166"/>
      <c r="G34" s="166"/>
      <c r="H34" s="166"/>
      <c r="I34" s="176"/>
    </row>
    <row r="35" spans="2:9" s="117" customFormat="1" ht="15.75" hidden="1" customHeight="1" outlineLevel="1">
      <c r="B35" s="166"/>
      <c r="C35" s="166"/>
      <c r="D35" s="166"/>
      <c r="E35" s="166"/>
      <c r="F35" s="166"/>
      <c r="G35" s="166"/>
      <c r="H35" s="166"/>
      <c r="I35" s="176"/>
    </row>
    <row r="36" spans="2:9" s="117" customFormat="1" ht="15.75" hidden="1" customHeight="1" outlineLevel="1">
      <c r="B36" s="166"/>
      <c r="C36" s="166"/>
      <c r="D36" s="166"/>
      <c r="E36" s="166"/>
      <c r="F36" s="166"/>
      <c r="G36" s="166"/>
      <c r="H36" s="166"/>
      <c r="I36" s="176"/>
    </row>
    <row r="37" spans="2:9" s="117" customFormat="1" ht="15.75" hidden="1" customHeight="1" outlineLevel="1">
      <c r="B37" s="166"/>
      <c r="C37" s="166"/>
      <c r="D37" s="166"/>
      <c r="E37" s="166"/>
      <c r="F37" s="166"/>
      <c r="G37" s="166"/>
      <c r="H37" s="166"/>
      <c r="I37" s="176"/>
    </row>
    <row r="38" spans="2:9" s="117" customFormat="1" ht="15.75" hidden="1" customHeight="1" outlineLevel="1">
      <c r="B38" s="116"/>
      <c r="C38" s="116"/>
      <c r="D38" s="116"/>
      <c r="E38" s="116"/>
      <c r="F38" s="116"/>
      <c r="G38" s="116"/>
      <c r="H38" s="116"/>
      <c r="I38" s="176"/>
    </row>
    <row r="39" spans="2:9" s="117" customFormat="1" ht="15.75" hidden="1" customHeight="1" outlineLevel="1">
      <c r="B39" s="157"/>
      <c r="C39" s="157"/>
      <c r="D39" s="157"/>
      <c r="E39" s="157"/>
      <c r="F39" s="157"/>
      <c r="G39" s="157"/>
      <c r="H39" s="157"/>
      <c r="I39" s="176"/>
    </row>
    <row r="40" spans="2:9" s="117" customFormat="1" ht="15.75" hidden="1" customHeight="1" outlineLevel="1">
      <c r="B40" s="95"/>
      <c r="C40" s="95"/>
      <c r="D40" s="95"/>
      <c r="E40" s="95"/>
      <c r="F40" s="95"/>
      <c r="G40" s="95"/>
      <c r="H40" s="95"/>
      <c r="I40" s="176"/>
    </row>
    <row r="41" spans="2:9" s="117" customFormat="1" ht="15.75" hidden="1" customHeight="1" outlineLevel="1">
      <c r="B41" s="95"/>
      <c r="C41" s="95"/>
      <c r="D41" s="95"/>
      <c r="E41" s="95"/>
      <c r="F41" s="95"/>
      <c r="G41" s="95"/>
      <c r="H41" s="95"/>
      <c r="I41" s="176"/>
    </row>
    <row r="42" spans="2:9" s="117" customFormat="1" ht="15.75" customHeight="1" collapsed="1">
      <c r="B42" s="179"/>
      <c r="C42" s="179"/>
      <c r="D42" s="179"/>
      <c r="E42" s="179"/>
      <c r="F42" s="179"/>
      <c r="G42" s="179"/>
      <c r="H42" s="179"/>
      <c r="I42" s="176"/>
    </row>
    <row r="43" spans="2:9" s="117" customFormat="1" ht="15.75" customHeight="1">
      <c r="B43" s="179"/>
      <c r="C43" s="179"/>
      <c r="D43" s="179"/>
      <c r="E43" s="179"/>
      <c r="F43" s="179"/>
      <c r="G43" s="179"/>
      <c r="H43" s="179"/>
      <c r="I43" s="176"/>
    </row>
    <row r="44" spans="2:9" s="117" customFormat="1" ht="15.75" customHeight="1">
      <c r="B44" s="179"/>
      <c r="C44" s="179"/>
      <c r="D44" s="179"/>
      <c r="E44" s="179"/>
      <c r="F44" s="179"/>
      <c r="G44" s="179"/>
      <c r="H44" s="179"/>
      <c r="I44" s="176"/>
    </row>
    <row r="45" spans="2:9" s="117" customFormat="1" ht="15.75" hidden="1" customHeight="1" outlineLevel="1">
      <c r="B45" s="179"/>
      <c r="C45" s="179"/>
      <c r="D45" s="179"/>
      <c r="E45" s="179"/>
      <c r="F45" s="179"/>
      <c r="G45" s="179"/>
      <c r="H45" s="179"/>
      <c r="I45" s="176"/>
    </row>
    <row r="46" spans="2:9" s="117" customFormat="1" ht="15.75" hidden="1" customHeight="1" outlineLevel="1">
      <c r="B46" s="179"/>
      <c r="C46" s="179"/>
      <c r="D46" s="179"/>
      <c r="E46" s="179"/>
      <c r="F46" s="179"/>
      <c r="G46" s="179"/>
      <c r="H46" s="179"/>
      <c r="I46" s="176"/>
    </row>
    <row r="47" spans="2:9" s="117" customFormat="1" ht="15.75" hidden="1" customHeight="1" outlineLevel="1">
      <c r="B47" s="179"/>
      <c r="C47" s="179"/>
      <c r="D47" s="179"/>
      <c r="E47" s="179"/>
      <c r="F47" s="179"/>
      <c r="G47" s="179"/>
      <c r="H47" s="179"/>
      <c r="I47" s="176"/>
    </row>
    <row r="48" spans="2:9" s="117" customFormat="1" ht="15.75" hidden="1" customHeight="1" outlineLevel="1">
      <c r="B48" s="179"/>
      <c r="C48" s="179"/>
      <c r="D48" s="179"/>
      <c r="E48" s="179"/>
      <c r="F48" s="179"/>
      <c r="G48" s="179"/>
      <c r="H48" s="179"/>
      <c r="I48" s="176"/>
    </row>
    <row r="49" spans="2:9" s="117" customFormat="1" ht="15.75" hidden="1" customHeight="1" outlineLevel="1">
      <c r="B49" s="179"/>
      <c r="C49" s="179"/>
      <c r="D49" s="179"/>
      <c r="E49" s="179"/>
      <c r="F49" s="179"/>
      <c r="G49" s="179"/>
      <c r="H49" s="179"/>
      <c r="I49" s="176"/>
    </row>
    <row r="50" spans="2:9" s="117" customFormat="1" ht="15.75" hidden="1" customHeight="1" outlineLevel="1">
      <c r="B50" s="179"/>
      <c r="C50" s="179"/>
      <c r="D50" s="179"/>
      <c r="E50" s="179"/>
      <c r="F50" s="179"/>
      <c r="G50" s="179"/>
      <c r="H50" s="179"/>
      <c r="I50" s="176"/>
    </row>
    <row r="51" spans="2:9" s="117" customFormat="1" ht="15.75" hidden="1" customHeight="1" outlineLevel="1">
      <c r="B51" s="179"/>
      <c r="C51" s="179"/>
      <c r="D51" s="179"/>
      <c r="E51" s="179"/>
      <c r="F51" s="179"/>
      <c r="G51" s="179"/>
      <c r="H51" s="179"/>
      <c r="I51" s="176"/>
    </row>
    <row r="52" spans="2:9" s="117" customFormat="1" ht="15.75" hidden="1" customHeight="1" outlineLevel="1">
      <c r="B52" s="95"/>
      <c r="C52" s="95"/>
      <c r="D52" s="95"/>
      <c r="E52" s="95"/>
      <c r="F52" s="95"/>
      <c r="G52" s="95"/>
      <c r="H52" s="95"/>
      <c r="I52" s="176"/>
    </row>
    <row r="53" spans="2:9" s="117" customFormat="1" ht="15.75" hidden="1" customHeight="1" outlineLevel="1">
      <c r="B53" s="166"/>
      <c r="C53" s="166"/>
      <c r="D53" s="166"/>
      <c r="E53" s="166"/>
      <c r="F53" s="166"/>
      <c r="G53" s="166"/>
      <c r="H53" s="166"/>
      <c r="I53" s="176"/>
    </row>
    <row r="54" spans="2:9" s="117" customFormat="1" ht="15.75" hidden="1" customHeight="1" outlineLevel="1">
      <c r="B54" s="166"/>
      <c r="C54" s="166"/>
      <c r="D54" s="166"/>
      <c r="E54" s="166"/>
      <c r="F54" s="166"/>
      <c r="G54" s="166"/>
      <c r="H54" s="166"/>
      <c r="I54" s="176"/>
    </row>
    <row r="55" spans="2:9" s="117" customFormat="1" ht="15.75" hidden="1" customHeight="1" outlineLevel="1">
      <c r="B55" s="166"/>
      <c r="C55" s="166"/>
      <c r="D55" s="166"/>
      <c r="E55" s="166"/>
      <c r="F55" s="166"/>
      <c r="G55" s="166"/>
      <c r="H55" s="166"/>
      <c r="I55" s="176"/>
    </row>
    <row r="56" spans="2:9" s="117" customFormat="1" ht="15.75" hidden="1" customHeight="1" outlineLevel="1">
      <c r="B56" s="166"/>
      <c r="C56" s="166"/>
      <c r="D56" s="166"/>
      <c r="E56" s="166"/>
      <c r="F56" s="166"/>
      <c r="G56" s="166"/>
      <c r="H56" s="166"/>
      <c r="I56" s="176"/>
    </row>
    <row r="57" spans="2:9" s="117" customFormat="1" ht="15.75" hidden="1" customHeight="1" outlineLevel="1">
      <c r="B57" s="166"/>
      <c r="C57" s="166"/>
      <c r="D57" s="166"/>
      <c r="E57" s="166"/>
      <c r="F57" s="166"/>
      <c r="G57" s="166"/>
      <c r="H57" s="166"/>
      <c r="I57" s="176"/>
    </row>
    <row r="58" spans="2:9" s="117" customFormat="1" ht="15.75" customHeight="1" collapsed="1">
      <c r="B58" s="403"/>
      <c r="C58" s="403"/>
      <c r="D58" s="403"/>
      <c r="E58" s="403"/>
      <c r="F58" s="403"/>
      <c r="G58" s="403"/>
      <c r="H58" s="403"/>
      <c r="I58" s="176"/>
    </row>
    <row r="59" spans="2:9" s="117" customFormat="1" ht="15.75" customHeight="1">
      <c r="B59" s="170"/>
      <c r="C59" s="170"/>
      <c r="D59" s="170"/>
      <c r="E59" s="170"/>
      <c r="F59" s="170"/>
      <c r="G59" s="170"/>
      <c r="H59" s="170"/>
      <c r="I59" s="176"/>
    </row>
    <row r="60" spans="2:9" s="117" customFormat="1" ht="15.75" customHeight="1">
      <c r="B60" s="170"/>
      <c r="C60" s="170"/>
      <c r="D60" s="170"/>
      <c r="E60" s="170"/>
      <c r="F60" s="170"/>
      <c r="G60" s="170"/>
      <c r="H60" s="170"/>
      <c r="I60" s="176"/>
    </row>
    <row r="61" spans="2:9" s="117" customFormat="1" ht="15.75" customHeight="1">
      <c r="B61" s="170"/>
      <c r="C61" s="170"/>
      <c r="D61" s="170"/>
      <c r="E61" s="170"/>
      <c r="F61" s="170"/>
      <c r="G61" s="170"/>
      <c r="H61" s="170"/>
      <c r="I61" s="176"/>
    </row>
    <row r="62" spans="2:9" s="117" customFormat="1" ht="15.75" customHeight="1">
      <c r="B62" s="170"/>
      <c r="C62" s="170"/>
      <c r="D62" s="170"/>
      <c r="E62" s="170"/>
      <c r="F62" s="170"/>
      <c r="G62" s="170"/>
      <c r="H62" s="170"/>
      <c r="I62" s="176"/>
    </row>
    <row r="63" spans="2:9" s="117" customFormat="1" ht="15.75" customHeight="1">
      <c r="B63" s="170"/>
      <c r="C63" s="170"/>
      <c r="D63" s="170"/>
      <c r="E63" s="170"/>
      <c r="F63" s="170"/>
      <c r="G63" s="170"/>
      <c r="H63" s="170"/>
      <c r="I63" s="176"/>
    </row>
    <row r="64" spans="2:9" s="403" customFormat="1" ht="15.75" customHeight="1"/>
    <row r="65" spans="2:9" s="403" customFormat="1" ht="15.75" customHeight="1"/>
    <row r="66" spans="2:9" s="117" customFormat="1" ht="15.75" customHeight="1">
      <c r="B66" s="173"/>
      <c r="C66" s="173"/>
      <c r="D66" s="173"/>
      <c r="E66" s="173"/>
      <c r="F66" s="173"/>
      <c r="G66" s="173"/>
      <c r="H66" s="173"/>
      <c r="I66" s="176"/>
    </row>
    <row r="67" spans="2:9" s="117" customFormat="1" ht="15.75" customHeight="1">
      <c r="B67" s="95"/>
      <c r="C67" s="95"/>
      <c r="D67" s="95"/>
      <c r="E67" s="95"/>
      <c r="F67" s="95"/>
      <c r="G67" s="95"/>
      <c r="H67" s="95"/>
      <c r="I67" s="176"/>
    </row>
    <row r="68" spans="2:9" s="117" customFormat="1" ht="15.75" customHeight="1">
      <c r="B68" s="95"/>
      <c r="C68" s="95"/>
      <c r="D68" s="95"/>
      <c r="E68" s="95"/>
      <c r="F68" s="95"/>
      <c r="G68" s="95"/>
      <c r="H68" s="95"/>
      <c r="I68" s="176"/>
    </row>
    <row r="69" spans="2:9" s="117" customFormat="1" ht="15.75" customHeight="1">
      <c r="B69" s="179"/>
      <c r="C69" s="179"/>
      <c r="D69" s="179"/>
      <c r="E69" s="179"/>
      <c r="F69" s="179"/>
      <c r="G69" s="179"/>
      <c r="H69" s="179"/>
      <c r="I69" s="176"/>
    </row>
    <row r="70" spans="2:9" s="117" customFormat="1" ht="15.75" customHeight="1">
      <c r="B70" s="179"/>
      <c r="C70" s="179"/>
      <c r="D70" s="179"/>
      <c r="E70" s="179"/>
      <c r="F70" s="179"/>
      <c r="G70" s="179"/>
      <c r="H70" s="179"/>
      <c r="I70" s="176"/>
    </row>
    <row r="71" spans="2:9" s="117" customFormat="1" ht="15.75" customHeight="1">
      <c r="B71" s="179"/>
      <c r="C71" s="179"/>
      <c r="D71" s="179"/>
      <c r="E71" s="179"/>
      <c r="F71" s="179"/>
      <c r="G71" s="179"/>
      <c r="H71" s="179"/>
      <c r="I71" s="176"/>
    </row>
    <row r="72" spans="2:9" s="117" customFormat="1" ht="15.75" customHeight="1">
      <c r="B72" s="179"/>
      <c r="C72" s="179"/>
      <c r="D72" s="179"/>
      <c r="E72" s="179"/>
      <c r="F72" s="179"/>
      <c r="G72" s="179"/>
      <c r="H72" s="179"/>
      <c r="I72" s="176"/>
    </row>
    <row r="73" spans="2:9" s="117" customFormat="1" ht="15.75" customHeight="1">
      <c r="B73" s="179"/>
      <c r="C73" s="179"/>
      <c r="D73" s="179"/>
      <c r="E73" s="179"/>
      <c r="F73" s="179"/>
      <c r="G73" s="179"/>
      <c r="H73" s="179"/>
      <c r="I73" s="176"/>
    </row>
    <row r="74" spans="2:9" s="117" customFormat="1" ht="15.75" customHeight="1">
      <c r="B74" s="179"/>
      <c r="C74" s="179"/>
      <c r="D74" s="179"/>
      <c r="E74" s="179"/>
      <c r="F74" s="179"/>
      <c r="G74" s="179"/>
      <c r="H74" s="179"/>
      <c r="I74" s="176"/>
    </row>
    <row r="75" spans="2:9" s="117" customFormat="1" ht="15.75" customHeight="1">
      <c r="B75" s="179"/>
      <c r="C75" s="179"/>
      <c r="D75" s="179"/>
      <c r="E75" s="179"/>
      <c r="F75" s="179"/>
      <c r="G75" s="179"/>
      <c r="H75" s="179"/>
      <c r="I75" s="176"/>
    </row>
    <row r="76" spans="2:9" s="117" customFormat="1" ht="15.75" customHeight="1">
      <c r="B76" s="179"/>
      <c r="C76" s="179"/>
      <c r="D76" s="179"/>
      <c r="E76" s="179"/>
      <c r="F76" s="179"/>
      <c r="G76" s="179"/>
      <c r="H76" s="179"/>
      <c r="I76" s="176"/>
    </row>
    <row r="77" spans="2:9" s="117" customFormat="1" ht="15.75" customHeight="1">
      <c r="B77" s="179"/>
      <c r="C77" s="179"/>
      <c r="D77" s="179"/>
      <c r="E77" s="179"/>
      <c r="F77" s="179"/>
      <c r="G77" s="179"/>
      <c r="H77" s="179"/>
      <c r="I77" s="176"/>
    </row>
    <row r="78" spans="2:9" s="117" customFormat="1" ht="15.75" customHeight="1">
      <c r="B78" s="179"/>
      <c r="C78" s="179"/>
      <c r="D78" s="179"/>
      <c r="E78" s="179"/>
      <c r="F78" s="179"/>
      <c r="G78" s="179"/>
      <c r="H78" s="179"/>
      <c r="I78" s="176"/>
    </row>
    <row r="79" spans="2:9" s="117" customFormat="1" ht="15.75" hidden="1" customHeight="1" outlineLevel="1">
      <c r="B79" s="179"/>
      <c r="C79" s="179"/>
      <c r="D79" s="179"/>
      <c r="E79" s="179"/>
      <c r="F79" s="179"/>
      <c r="G79" s="179"/>
      <c r="H79" s="179"/>
      <c r="I79" s="176"/>
    </row>
    <row r="80" spans="2:9" s="117" customFormat="1" ht="15.75" hidden="1" customHeight="1" outlineLevel="1">
      <c r="B80" s="166"/>
      <c r="C80" s="166"/>
      <c r="D80" s="166"/>
      <c r="E80" s="166"/>
      <c r="F80" s="166"/>
      <c r="G80" s="166"/>
      <c r="H80" s="166"/>
      <c r="I80" s="184"/>
    </row>
    <row r="81" spans="1:9" s="117" customFormat="1" ht="15.75" hidden="1" customHeight="1" outlineLevel="1">
      <c r="B81" s="166"/>
      <c r="C81" s="166"/>
      <c r="D81" s="166"/>
      <c r="E81" s="166"/>
      <c r="F81" s="166"/>
      <c r="G81" s="166"/>
      <c r="H81" s="166"/>
      <c r="I81" s="184"/>
    </row>
    <row r="82" spans="1:9" s="117" customFormat="1" ht="15.75" hidden="1" customHeight="1" outlineLevel="1">
      <c r="B82" s="166"/>
      <c r="C82" s="166"/>
      <c r="D82" s="166"/>
      <c r="E82" s="166"/>
      <c r="F82" s="166"/>
      <c r="G82" s="166"/>
      <c r="H82" s="166"/>
      <c r="I82" s="184"/>
    </row>
    <row r="83" spans="1:9" s="117" customFormat="1" ht="15.75" hidden="1" customHeight="1" outlineLevel="1">
      <c r="B83" s="166"/>
      <c r="C83" s="166"/>
      <c r="D83" s="166"/>
      <c r="E83" s="166"/>
      <c r="F83" s="166"/>
      <c r="G83" s="166"/>
      <c r="H83" s="166"/>
      <c r="I83" s="184"/>
    </row>
    <row r="84" spans="1:9" s="117" customFormat="1" ht="15.75" hidden="1" customHeight="1" outlineLevel="1">
      <c r="B84" s="166"/>
      <c r="C84" s="166"/>
      <c r="D84" s="166"/>
      <c r="E84" s="166"/>
      <c r="F84" s="166"/>
      <c r="G84" s="166"/>
      <c r="H84" s="166"/>
      <c r="I84" s="184"/>
    </row>
    <row r="85" spans="1:9" s="117" customFormat="1" ht="15.75" hidden="1" customHeight="1" outlineLevel="1">
      <c r="A85" s="95"/>
      <c r="B85" s="185"/>
      <c r="C85" s="185"/>
      <c r="D85" s="185"/>
      <c r="E85" s="185"/>
      <c r="F85" s="185"/>
      <c r="G85" s="185"/>
      <c r="H85" s="185"/>
      <c r="I85" s="156"/>
    </row>
    <row r="86" spans="1:9" s="117" customFormat="1" ht="15.75" hidden="1" customHeight="1" outlineLevel="1">
      <c r="B86" s="157"/>
      <c r="C86" s="157"/>
      <c r="D86" s="157"/>
      <c r="E86" s="157"/>
      <c r="F86" s="157"/>
      <c r="G86" s="157"/>
      <c r="H86" s="157"/>
      <c r="I86" s="176"/>
    </row>
    <row r="87" spans="1:9" s="117" customFormat="1" ht="15.75" hidden="1" customHeight="1" outlineLevel="1">
      <c r="B87" s="95"/>
      <c r="C87" s="95"/>
      <c r="D87" s="95"/>
      <c r="E87" s="95"/>
      <c r="F87" s="95"/>
      <c r="G87" s="95"/>
      <c r="H87" s="95"/>
      <c r="I87" s="176"/>
    </row>
    <row r="88" spans="1:9" s="117" customFormat="1" ht="15.75" hidden="1" customHeight="1" outlineLevel="1">
      <c r="B88" s="95"/>
      <c r="C88" s="95"/>
      <c r="D88" s="95"/>
      <c r="E88" s="95"/>
      <c r="F88" s="95"/>
      <c r="G88" s="95"/>
      <c r="H88" s="95"/>
      <c r="I88" s="176"/>
    </row>
    <row r="89" spans="1:9" s="117" customFormat="1" ht="15.75" customHeight="1" collapsed="1">
      <c r="B89" s="179"/>
      <c r="C89" s="179"/>
      <c r="D89" s="179"/>
      <c r="E89" s="179"/>
      <c r="F89" s="179"/>
      <c r="G89" s="179"/>
      <c r="H89" s="179"/>
      <c r="I89" s="176"/>
    </row>
    <row r="90" spans="1:9" s="117" customFormat="1" ht="15.75" customHeight="1">
      <c r="B90" s="179"/>
      <c r="C90" s="179"/>
      <c r="D90" s="179"/>
      <c r="E90" s="179"/>
      <c r="F90" s="179"/>
      <c r="G90" s="179"/>
      <c r="H90" s="179"/>
      <c r="I90" s="176"/>
    </row>
    <row r="91" spans="1:9" s="117" customFormat="1" ht="15.75" customHeight="1">
      <c r="B91" s="179"/>
      <c r="C91" s="179"/>
      <c r="D91" s="179"/>
      <c r="E91" s="179"/>
      <c r="F91" s="179"/>
      <c r="G91" s="179"/>
      <c r="H91" s="179"/>
      <c r="I91" s="176"/>
    </row>
    <row r="92" spans="1:9" s="117" customFormat="1" ht="15.75" customHeight="1" outlineLevel="1">
      <c r="B92" s="179"/>
      <c r="C92" s="179"/>
      <c r="D92" s="179"/>
      <c r="E92" s="179"/>
      <c r="F92" s="179"/>
      <c r="G92" s="179"/>
      <c r="H92" s="179"/>
      <c r="I92" s="176"/>
    </row>
    <row r="93" spans="1:9" s="117" customFormat="1" ht="15.75" customHeight="1" outlineLevel="1">
      <c r="B93" s="179"/>
      <c r="C93" s="179"/>
      <c r="D93" s="179"/>
      <c r="E93" s="179"/>
      <c r="F93" s="179"/>
      <c r="G93" s="179"/>
      <c r="H93" s="179"/>
      <c r="I93" s="176"/>
    </row>
    <row r="94" spans="1:9" s="117" customFormat="1" ht="15.75" customHeight="1" outlineLevel="1">
      <c r="B94" s="179"/>
      <c r="C94" s="179"/>
      <c r="D94" s="179"/>
      <c r="E94" s="179"/>
      <c r="F94" s="179"/>
      <c r="G94" s="179"/>
      <c r="H94" s="179"/>
      <c r="I94" s="176"/>
    </row>
    <row r="95" spans="1:9" s="117" customFormat="1" ht="15.75" customHeight="1" outlineLevel="1">
      <c r="B95" s="179"/>
      <c r="C95" s="179"/>
      <c r="D95" s="179"/>
      <c r="E95" s="179"/>
      <c r="F95" s="179"/>
      <c r="G95" s="179"/>
      <c r="H95" s="179"/>
      <c r="I95" s="176"/>
    </row>
    <row r="96" spans="1:9" s="117" customFormat="1" ht="15.75" customHeight="1" outlineLevel="1">
      <c r="B96" s="179"/>
      <c r="C96" s="179"/>
      <c r="D96" s="179"/>
      <c r="E96" s="179"/>
      <c r="F96" s="179"/>
      <c r="G96" s="179"/>
      <c r="H96" s="179"/>
      <c r="I96" s="176"/>
    </row>
    <row r="97" spans="1:9" s="117" customFormat="1" ht="15.75" customHeight="1" outlineLevel="1">
      <c r="B97" s="179"/>
      <c r="C97" s="179"/>
      <c r="D97" s="179"/>
      <c r="E97" s="179"/>
      <c r="F97" s="179"/>
      <c r="G97" s="179"/>
      <c r="H97" s="179"/>
      <c r="I97" s="176"/>
    </row>
    <row r="98" spans="1:9" s="117" customFormat="1" ht="15.75" customHeight="1" outlineLevel="1">
      <c r="B98" s="179"/>
      <c r="C98" s="179"/>
      <c r="D98" s="179"/>
      <c r="E98" s="179"/>
      <c r="F98" s="179"/>
      <c r="G98" s="179"/>
      <c r="H98" s="179"/>
      <c r="I98" s="176"/>
    </row>
    <row r="99" spans="1:9" s="117" customFormat="1" ht="15.75" customHeight="1" outlineLevel="1">
      <c r="B99" s="179"/>
      <c r="C99" s="179"/>
      <c r="D99" s="179"/>
      <c r="E99" s="179"/>
      <c r="F99" s="179"/>
      <c r="G99" s="179"/>
      <c r="H99" s="179"/>
      <c r="I99" s="176"/>
    </row>
    <row r="100" spans="1:9" s="117" customFormat="1" ht="15.75" customHeight="1" outlineLevel="1">
      <c r="B100" s="166"/>
      <c r="C100" s="166"/>
      <c r="D100" s="166"/>
      <c r="E100" s="166"/>
      <c r="F100" s="166"/>
      <c r="G100" s="166"/>
      <c r="H100" s="166"/>
      <c r="I100" s="184"/>
    </row>
    <row r="101" spans="1:9" s="117" customFormat="1" ht="15.75" customHeight="1" outlineLevel="1">
      <c r="B101" s="166"/>
      <c r="C101" s="166"/>
      <c r="D101" s="166"/>
      <c r="E101" s="166"/>
      <c r="F101" s="166"/>
      <c r="G101" s="166"/>
      <c r="H101" s="166"/>
      <c r="I101" s="184"/>
    </row>
    <row r="102" spans="1:9" s="117" customFormat="1" ht="15.75" customHeight="1" outlineLevel="1">
      <c r="B102" s="166"/>
      <c r="C102" s="166"/>
      <c r="D102" s="166"/>
      <c r="E102" s="166"/>
      <c r="F102" s="166"/>
      <c r="G102" s="166"/>
      <c r="H102" s="166"/>
      <c r="I102" s="184"/>
    </row>
    <row r="103" spans="1:9" s="117" customFormat="1" ht="15.75" customHeight="1" outlineLevel="1">
      <c r="B103" s="166"/>
      <c r="C103" s="166"/>
      <c r="D103" s="166"/>
      <c r="E103" s="166"/>
      <c r="F103" s="166"/>
      <c r="G103" s="166"/>
      <c r="H103" s="166"/>
      <c r="I103" s="184"/>
    </row>
    <row r="104" spans="1:9" s="117" customFormat="1" ht="15.75" customHeight="1" outlineLevel="1">
      <c r="B104" s="166"/>
      <c r="C104" s="166"/>
      <c r="D104" s="166"/>
      <c r="E104" s="166"/>
      <c r="F104" s="166"/>
      <c r="G104" s="166"/>
      <c r="H104" s="166"/>
      <c r="I104" s="184"/>
    </row>
    <row r="105" spans="1:9" s="117" customFormat="1" ht="15.75" customHeight="1">
      <c r="A105" s="95"/>
      <c r="B105" s="187"/>
      <c r="C105" s="187"/>
      <c r="D105" s="187"/>
      <c r="E105" s="187"/>
      <c r="F105" s="187"/>
      <c r="G105" s="187"/>
      <c r="H105" s="187"/>
    </row>
    <row r="106" spans="1:9" s="117" customFormat="1" ht="15.75" customHeight="1">
      <c r="A106" s="95"/>
      <c r="B106" s="170"/>
      <c r="C106" s="170"/>
      <c r="D106" s="170"/>
      <c r="E106" s="170"/>
      <c r="F106" s="170"/>
      <c r="G106" s="170"/>
      <c r="H106" s="170"/>
    </row>
    <row r="107" spans="1:9" s="117" customFormat="1" ht="15.75" customHeight="1">
      <c r="A107" s="95"/>
      <c r="B107" s="170"/>
      <c r="C107" s="170"/>
      <c r="D107" s="170"/>
      <c r="E107" s="170"/>
      <c r="F107" s="170"/>
      <c r="G107" s="170"/>
      <c r="H107" s="170"/>
    </row>
    <row r="108" spans="1:9" s="117" customFormat="1" ht="15.75" customHeight="1">
      <c r="A108" s="95"/>
      <c r="B108" s="170"/>
      <c r="C108" s="170"/>
      <c r="D108" s="170"/>
      <c r="E108" s="170"/>
      <c r="F108" s="170"/>
      <c r="G108" s="170"/>
      <c r="H108" s="170"/>
    </row>
    <row r="109" spans="1:9" s="117" customFormat="1" ht="15.75" customHeight="1">
      <c r="A109" s="95"/>
      <c r="B109" s="170"/>
      <c r="C109" s="170"/>
      <c r="D109" s="170"/>
      <c r="E109" s="170"/>
      <c r="F109" s="170"/>
      <c r="G109" s="170"/>
      <c r="H109" s="170"/>
    </row>
    <row r="110" spans="1:9" s="117" customFormat="1" ht="15.75" customHeight="1">
      <c r="A110" s="95"/>
      <c r="B110" s="170"/>
      <c r="C110" s="170"/>
      <c r="D110" s="170"/>
      <c r="E110" s="170"/>
      <c r="F110" s="170"/>
      <c r="G110" s="170"/>
      <c r="H110" s="170"/>
    </row>
    <row r="111" spans="1:9" s="403" customFormat="1" ht="15.75" customHeight="1"/>
    <row r="112" spans="1:9" s="117" customFormat="1" ht="15.75" customHeight="1">
      <c r="B112" s="188"/>
      <c r="C112" s="188"/>
      <c r="D112" s="188"/>
      <c r="E112" s="188"/>
      <c r="F112" s="188"/>
      <c r="G112" s="188"/>
      <c r="H112" s="188"/>
      <c r="I112" s="176"/>
    </row>
    <row r="113" spans="1:9" s="117" customFormat="1" ht="15.75" customHeight="1">
      <c r="B113" s="185"/>
      <c r="C113" s="185"/>
      <c r="D113" s="185"/>
      <c r="E113" s="185"/>
      <c r="F113" s="185"/>
      <c r="G113" s="185"/>
      <c r="H113" s="185"/>
      <c r="I113" s="176"/>
    </row>
    <row r="114" spans="1:9" s="117" customFormat="1" ht="15.75" customHeight="1">
      <c r="B114" s="192"/>
      <c r="C114" s="192"/>
      <c r="D114" s="192"/>
      <c r="E114" s="192"/>
      <c r="F114" s="192"/>
      <c r="G114" s="192"/>
      <c r="H114" s="192"/>
      <c r="I114" s="156"/>
    </row>
    <row r="115" spans="1:9" s="117" customFormat="1" ht="15.75" customHeight="1">
      <c r="B115" s="118"/>
      <c r="C115" s="118"/>
      <c r="D115" s="118"/>
      <c r="E115" s="118"/>
      <c r="F115" s="118"/>
      <c r="G115" s="118"/>
      <c r="H115" s="118"/>
      <c r="I115" s="156"/>
    </row>
    <row r="116" spans="1:9" s="117" customFormat="1" ht="15.75" customHeight="1">
      <c r="A116" s="95"/>
      <c r="I116" s="195"/>
    </row>
    <row r="117" spans="1:9" s="117" customFormat="1" ht="15.75" customHeight="1"/>
    <row r="118" spans="1:9" s="117" customFormat="1" ht="15.75" customHeight="1">
      <c r="B118" s="196"/>
      <c r="C118" s="196"/>
      <c r="D118" s="196"/>
      <c r="E118" s="196"/>
      <c r="F118" s="196"/>
      <c r="G118" s="196"/>
      <c r="H118" s="196"/>
    </row>
    <row r="119" spans="1:9" s="117" customFormat="1" ht="15.75" customHeight="1"/>
    <row r="120" spans="1:9" s="117" customFormat="1" ht="15.75" customHeight="1"/>
    <row r="121" spans="1:9" s="117" customFormat="1" ht="15.75" customHeight="1"/>
    <row r="122" spans="1:9" s="117" customFormat="1" ht="15.75" customHeight="1"/>
    <row r="123" spans="1:9" s="117" customFormat="1" ht="15.75" customHeight="1"/>
    <row r="124" spans="1:9" s="117" customFormat="1" ht="15.75" customHeight="1"/>
    <row r="125" spans="1:9" s="117" customFormat="1" ht="15.75" customHeight="1">
      <c r="B125" s="185"/>
      <c r="C125" s="185"/>
      <c r="D125" s="185"/>
      <c r="E125" s="185"/>
      <c r="F125" s="185"/>
      <c r="G125" s="185"/>
      <c r="H125" s="185"/>
    </row>
    <row r="126" spans="1:9" s="117" customFormat="1" ht="15.75" customHeight="1">
      <c r="B126" s="185"/>
      <c r="C126" s="185"/>
      <c r="D126" s="185"/>
      <c r="E126" s="185"/>
      <c r="F126" s="185"/>
      <c r="G126" s="185"/>
      <c r="H126" s="185"/>
    </row>
    <row r="127" spans="1:9" s="117" customFormat="1" ht="15.75" customHeight="1"/>
    <row r="128" spans="1:9" s="117" customFormat="1" ht="15.75" customHeight="1"/>
    <row r="129" spans="2:10" s="117" customFormat="1" ht="15.75" customHeight="1"/>
    <row r="130" spans="2:10" s="117" customFormat="1" ht="15.75" customHeight="1"/>
    <row r="131" spans="2:10" ht="15.75" customHeight="1">
      <c r="B131" s="117"/>
      <c r="C131" s="117"/>
      <c r="D131" s="117"/>
      <c r="E131" s="117"/>
      <c r="F131" s="117"/>
      <c r="G131" s="117"/>
      <c r="H131" s="117"/>
      <c r="I131" s="117"/>
      <c r="J131" s="117"/>
    </row>
    <row r="132" spans="2:10" ht="15.75" customHeight="1">
      <c r="B132" s="198"/>
      <c r="C132" s="198"/>
      <c r="D132" s="198"/>
      <c r="E132" s="198"/>
      <c r="F132" s="198"/>
      <c r="G132" s="198"/>
      <c r="H132" s="198"/>
    </row>
    <row r="133" spans="2:10" ht="15.75" customHeight="1">
      <c r="B133" s="198"/>
      <c r="C133" s="198"/>
      <c r="D133" s="198"/>
      <c r="E133" s="198"/>
      <c r="F133" s="198"/>
      <c r="G133" s="198"/>
      <c r="H133" s="198"/>
    </row>
    <row r="134" spans="2:10" ht="15.75" customHeight="1"/>
    <row r="135" spans="2:10" ht="15.75" customHeight="1"/>
    <row r="136" spans="2:10" ht="15.75" customHeight="1"/>
    <row r="137" spans="2:10" ht="15.75" customHeight="1"/>
    <row r="138" spans="2:10" ht="15.75" customHeight="1"/>
    <row r="139" spans="2:10" ht="15.75" customHeight="1"/>
  </sheetData>
  <mergeCells count="6">
    <mergeCell ref="D6:H6"/>
    <mergeCell ref="D9:H9"/>
    <mergeCell ref="D11:H11"/>
    <mergeCell ref="D10:H10"/>
    <mergeCell ref="D12:H12"/>
    <mergeCell ref="D8:H8"/>
  </mergeCells>
  <conditionalFormatting sqref="B113:H113 B4:H4">
    <cfRule type="cellIs" dxfId="192" priority="2" stopIfTrue="1" operator="equal">
      <formula>"input"</formula>
    </cfRule>
  </conditionalFormatting>
  <conditionalFormatting sqref="I112:I113 I66:I79 I19:I63 I86:I99">
    <cfRule type="cellIs" dxfId="191" priority="3" stopIfTrue="1" operator="equal">
      <formula>"Input"</formula>
    </cfRule>
  </conditionalFormatting>
  <conditionalFormatting sqref="H2">
    <cfRule type="cellIs" dxfId="190" priority="1" stopIfTrue="1" operator="equal">
      <formula>"input"</formula>
    </cfRule>
  </conditionalFormatting>
  <pageMargins left="0.5" right="0.5" top="0.5" bottom="0.5" header="0.3" footer="0.3"/>
  <pageSetup scale="96" orientation="landscape" r:id="rId1"/>
  <rowBreaks count="2" manualBreakCount="2">
    <brk id="17" max="15" man="1"/>
    <brk id="64" max="15"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160"/>
  <sheetViews>
    <sheetView showGridLines="0" view="pageBreakPreview" zoomScale="85" zoomScaleNormal="100" zoomScaleSheetLayoutView="85" workbookViewId="0">
      <selection activeCell="D19" sqref="D19"/>
    </sheetView>
  </sheetViews>
  <sheetFormatPr defaultColWidth="8" defaultRowHeight="12.75" outlineLevelRow="1" outlineLevelCol="1"/>
  <cols>
    <col min="1" max="1" width="2.42578125" style="200" customWidth="1"/>
    <col min="2" max="2" width="16.42578125" style="200" hidden="1" customWidth="1" outlineLevel="1"/>
    <col min="3" max="3" width="27.5703125" style="200" customWidth="1" collapsed="1"/>
    <col min="4" max="4" width="26.5703125" style="200" customWidth="1"/>
    <col min="5" max="5" width="13.5703125" style="200" customWidth="1"/>
    <col min="6" max="6" width="12.7109375" style="200" bestFit="1" customWidth="1"/>
    <col min="7" max="7" width="2.85546875" style="200" customWidth="1"/>
    <col min="8" max="10" width="11.5703125" style="200" customWidth="1"/>
    <col min="11" max="11" width="2.85546875" style="199" customWidth="1"/>
    <col min="12" max="14" width="11.5703125" style="200" customWidth="1"/>
    <col min="15" max="15" width="4.7109375" style="200" customWidth="1"/>
    <col min="16" max="16" width="11.5703125" style="200" customWidth="1"/>
    <col min="17" max="19" width="10.5703125" style="200" customWidth="1"/>
    <col min="20" max="20" width="8" style="200" customWidth="1"/>
    <col min="21" max="21" width="2.42578125" style="200" customWidth="1"/>
    <col min="22" max="24" width="8" style="200"/>
    <col min="25" max="25" width="2.42578125" style="200" customWidth="1"/>
    <col min="26" max="29" width="8" style="200"/>
    <col min="30" max="30" width="10.42578125" style="200" customWidth="1"/>
    <col min="31" max="16384" width="8" style="200"/>
  </cols>
  <sheetData>
    <row r="1" spans="1:34" s="78" customFormat="1" ht="11.25" customHeight="1" thickBot="1">
      <c r="C1" s="79"/>
      <c r="D1" s="79"/>
      <c r="E1" s="79"/>
      <c r="F1" s="79"/>
      <c r="G1" s="79"/>
      <c r="H1" s="79"/>
      <c r="I1" s="79"/>
      <c r="J1" s="79"/>
      <c r="K1" s="79"/>
      <c r="L1" s="79"/>
      <c r="M1" s="79"/>
      <c r="O1" s="81"/>
      <c r="P1" s="79"/>
      <c r="Q1" s="79"/>
      <c r="R1" s="79"/>
      <c r="S1" s="79"/>
    </row>
    <row r="2" spans="1:34" s="81" customFormat="1" ht="16.5" thickTop="1">
      <c r="C2" s="82" t="str">
        <f>Outline!B2</f>
        <v>Satellite Healthcare WB Santa Cruz Valuation</v>
      </c>
      <c r="D2" s="82"/>
      <c r="E2" s="83"/>
      <c r="F2" s="83"/>
      <c r="G2" s="83"/>
      <c r="H2" s="83"/>
      <c r="I2" s="83"/>
      <c r="J2" s="83"/>
      <c r="K2" s="83"/>
      <c r="L2" s="84"/>
      <c r="M2" s="84"/>
      <c r="N2" s="85"/>
      <c r="P2" s="83"/>
      <c r="Q2" s="86"/>
      <c r="R2" s="86"/>
      <c r="S2" s="87"/>
    </row>
    <row r="3" spans="1:34" s="81" customFormat="1" ht="15.75">
      <c r="C3" s="89" t="str">
        <f>Outline!C27</f>
        <v>Exhibit D1</v>
      </c>
      <c r="D3" s="89"/>
      <c r="E3" s="86"/>
      <c r="F3" s="86"/>
      <c r="G3" s="86"/>
      <c r="H3" s="86"/>
      <c r="I3" s="86"/>
      <c r="J3" s="86"/>
      <c r="K3" s="86"/>
      <c r="L3" s="90"/>
      <c r="M3" s="90"/>
      <c r="N3" s="90"/>
      <c r="P3" s="86"/>
      <c r="Q3" s="86"/>
      <c r="R3" s="86"/>
      <c r="S3" s="86"/>
    </row>
    <row r="4" spans="1:34" s="81" customFormat="1" ht="16.5" thickBot="1">
      <c r="C4" s="91" t="s">
        <v>65</v>
      </c>
      <c r="D4" s="91"/>
      <c r="E4" s="92"/>
      <c r="F4" s="92"/>
      <c r="G4" s="92"/>
      <c r="H4" s="92"/>
      <c r="I4" s="92"/>
      <c r="J4" s="92"/>
      <c r="K4" s="92"/>
      <c r="L4" s="93"/>
      <c r="M4" s="93"/>
      <c r="N4" s="94" t="str">
        <f>'A1'!L4</f>
        <v>Values in $ Millions</v>
      </c>
      <c r="P4" s="92"/>
      <c r="Q4" s="86"/>
      <c r="R4" s="86"/>
      <c r="S4" s="86"/>
    </row>
    <row r="5" spans="1:34" s="81" customFormat="1" ht="16.5" thickTop="1">
      <c r="C5" s="97"/>
      <c r="D5" s="97"/>
      <c r="E5" s="97"/>
      <c r="F5" s="97"/>
      <c r="G5" s="97"/>
      <c r="H5" s="97"/>
      <c r="I5" s="97"/>
      <c r="J5" s="97"/>
      <c r="K5" s="98"/>
      <c r="L5" s="97"/>
      <c r="M5" s="97"/>
      <c r="N5" s="97"/>
      <c r="O5" s="97"/>
      <c r="P5" s="97"/>
      <c r="Q5" s="97"/>
      <c r="R5" s="97"/>
      <c r="S5" s="97"/>
      <c r="T5" s="97"/>
      <c r="U5" s="97"/>
      <c r="V5" s="97"/>
      <c r="W5" s="97"/>
      <c r="X5" s="97"/>
      <c r="Y5" s="97"/>
      <c r="Z5" s="97"/>
      <c r="AA5" s="97"/>
      <c r="AB5" s="97"/>
      <c r="AC5" s="97"/>
    </row>
    <row r="6" spans="1:34" s="97" customFormat="1" ht="15">
      <c r="K6" s="98"/>
      <c r="L6" s="95"/>
      <c r="M6" s="95"/>
      <c r="N6" s="95"/>
      <c r="P6" s="99" t="s">
        <v>67</v>
      </c>
    </row>
    <row r="7" spans="1:34" s="101" customFormat="1">
      <c r="A7" s="397"/>
      <c r="C7" s="102" t="s">
        <v>68</v>
      </c>
      <c r="D7" s="103"/>
      <c r="E7" s="104"/>
      <c r="F7" s="105"/>
      <c r="G7" s="106"/>
      <c r="H7" s="107" t="s">
        <v>69</v>
      </c>
      <c r="I7" s="104"/>
      <c r="J7" s="105"/>
      <c r="K7" s="108"/>
      <c r="L7" s="723" t="s">
        <v>70</v>
      </c>
      <c r="M7" s="724"/>
      <c r="N7" s="725"/>
      <c r="O7" s="97"/>
      <c r="P7" s="109"/>
      <c r="Q7" s="110"/>
      <c r="R7" s="110"/>
      <c r="S7" s="110"/>
      <c r="AC7" s="597"/>
      <c r="AF7" s="108"/>
    </row>
    <row r="8" spans="1:34" s="111" customFormat="1" ht="34.5" customHeight="1">
      <c r="A8" s="398"/>
      <c r="B8" s="112" t="s">
        <v>71</v>
      </c>
      <c r="C8" s="768" t="s">
        <v>72</v>
      </c>
      <c r="D8" s="768" t="s">
        <v>73</v>
      </c>
      <c r="E8" s="113" t="s">
        <v>74</v>
      </c>
      <c r="F8" s="891" t="s">
        <v>75</v>
      </c>
      <c r="G8" s="892"/>
      <c r="H8" s="891" t="s">
        <v>76</v>
      </c>
      <c r="I8" s="891" t="s">
        <v>77</v>
      </c>
      <c r="J8" s="891" t="s">
        <v>78</v>
      </c>
      <c r="K8" s="891"/>
      <c r="L8" s="891" t="str">
        <f>"X - " &amp;H8</f>
        <v>X - LTM REVENUE</v>
      </c>
      <c r="M8" s="891" t="str">
        <f>"X - " &amp;I8</f>
        <v>X - LTM EBITDA</v>
      </c>
      <c r="N8" s="891" t="str">
        <f>"X - " &amp;J8</f>
        <v>X - LTM EBIT</v>
      </c>
      <c r="O8" s="722"/>
      <c r="P8" s="115" t="s">
        <v>80</v>
      </c>
      <c r="R8" s="113">
        <v>1</v>
      </c>
      <c r="S8" s="113">
        <f>R8</f>
        <v>1</v>
      </c>
      <c r="T8" s="113">
        <f>S8</f>
        <v>1</v>
      </c>
      <c r="V8" s="113">
        <v>2</v>
      </c>
      <c r="W8" s="113">
        <f>V8</f>
        <v>2</v>
      </c>
      <c r="X8" s="113">
        <f>W8</f>
        <v>2</v>
      </c>
      <c r="Z8" s="113">
        <v>3</v>
      </c>
      <c r="AA8" s="113">
        <f>Z8</f>
        <v>3</v>
      </c>
      <c r="AB8" s="113">
        <f>AA8</f>
        <v>3</v>
      </c>
      <c r="AD8" s="111" t="s">
        <v>452</v>
      </c>
      <c r="AF8" s="113" t="s">
        <v>79</v>
      </c>
    </row>
    <row r="9" spans="1:34" s="111" customFormat="1" ht="34.5" customHeight="1">
      <c r="A9" s="398"/>
      <c r="B9" s="121" t="s">
        <v>649</v>
      </c>
      <c r="C9" s="122" t="str">
        <f>_xll.ciqfunctions.udf.CIQ(B9, "IQ_TR_BUYERNAME")</f>
        <v>American Finance Trust, Inc.</v>
      </c>
      <c r="D9" s="123" t="str">
        <f>_xll.ciqfunctions.udf.CIQ(B9, "IQ_TR_TARGETNAME")</f>
        <v>DaVita Dialysis Property in Texas</v>
      </c>
      <c r="E9" s="975">
        <f>IF(_xll.ciqfunctions.udf.CIQ(B9, "IQ_TR_CLOSED_DATE")=0, "n/a", _xll.ciqfunctions.udf.CIQ(B9, "IQ_TR_CLOSED_DATE"))</f>
        <v>43465</v>
      </c>
      <c r="F9" s="905">
        <f>_xll.ciqfunctions.udf.CIQ(B9, "IQ_TR_TOTAL_GROSS_TV_FINAL")</f>
        <v>2.6</v>
      </c>
      <c r="G9" s="906"/>
      <c r="H9" s="905" t="str">
        <f>IF(_xll.ciqfunctions.udf.CIQ(B9, "IQ_TR_TARGET_TOTAL_REV")=0, "n/a", _xll.ciqfunctions.udf.CIQ(B9, "IQ_TR_TARGET_TOTAL_REV"))</f>
        <v>n/a</v>
      </c>
      <c r="I9" s="905" t="str">
        <f>IF(_xll.ciqfunctions.udf.CIQ(B9, "IQ_TR_TARGET_EBITDA_EQ_INC")=0,"n/a",_xll.ciqfunctions.udf.CIQ(B9, "IQ_TR_TARGET_EBITDA_EQ_INC"))</f>
        <v>n/a</v>
      </c>
      <c r="J9" s="905" t="str">
        <f>IF(_xll.ciqfunctions.udf.CIQ(B9, "IQ_TR_TARGET_EBIT_EQ_INC")=0,"n/a",_xll.ciqfunctions.udf.CIQ(B9, "IQ_TR_TARGET_EBIT_EQ_INC"))</f>
        <v>n/a</v>
      </c>
      <c r="K9" s="893"/>
      <c r="L9" s="894" t="str">
        <f t="shared" ref="L9:N10" si="0">IFERROR(IF(H9&lt;0,"nmf",$F9/H9),"nmf")</f>
        <v>nmf</v>
      </c>
      <c r="M9" s="894" t="str">
        <f t="shared" si="0"/>
        <v>nmf</v>
      </c>
      <c r="N9" s="894" t="str">
        <f t="shared" si="0"/>
        <v>nmf</v>
      </c>
      <c r="O9" s="126"/>
      <c r="P9" s="146">
        <f>_xll.ciqfunctions.udf.CIQ(B9, "IQ_TR_IMPLIED_EV_FINAL")</f>
        <v>2.6</v>
      </c>
      <c r="Q9" s="125"/>
      <c r="R9" s="126" t="str">
        <f t="shared" ref="R9:R24" si="1">IF(R$8=$AF9,$L9,"nmf")</f>
        <v>nmf</v>
      </c>
      <c r="S9" s="126" t="str">
        <f t="shared" ref="S9:S24" si="2">IF(S$8=$AF9,$M9,"nmf")</f>
        <v>nmf</v>
      </c>
      <c r="T9" s="126" t="str">
        <f t="shared" ref="T9:T24" si="3">IF(T$8=$AF9,$N9,"nmf")</f>
        <v>nmf</v>
      </c>
      <c r="U9" s="126"/>
      <c r="V9" s="126" t="str">
        <f t="shared" ref="V9:V24" si="4">IF(V$8=$AF9,$L9,"nmf")</f>
        <v>nmf</v>
      </c>
      <c r="W9" s="126" t="str">
        <f t="shared" ref="W9:W24" si="5">IF(W$8=$AF9,$M9,"nmf")</f>
        <v>nmf</v>
      </c>
      <c r="X9" s="126" t="str">
        <f t="shared" ref="X9:X24" si="6">IF(X$8=$AF9,$N9,"nmf")</f>
        <v>nmf</v>
      </c>
      <c r="Y9" s="126"/>
      <c r="Z9" s="126" t="str">
        <f t="shared" ref="Z9:Z24" si="7">IF(Z$8=$AF9,$L9,"nmf")</f>
        <v>nmf</v>
      </c>
      <c r="AA9" s="126" t="str">
        <f t="shared" ref="AA9:AA24" si="8">IF(AA$8=$AF9,$M9,"nmf")</f>
        <v>nmf</v>
      </c>
      <c r="AB9" s="126" t="str">
        <f t="shared" ref="AB9:AB24" si="9">IF(AB$8=$AF9,$N9,"nmf")</f>
        <v>nmf</v>
      </c>
      <c r="AD9" s="974">
        <f>_xll.ciqfunctions.udf.CIQ(B9, "IQ_TR_ANN_DATE")</f>
        <v>43472</v>
      </c>
      <c r="AF9" s="466">
        <v>1</v>
      </c>
    </row>
    <row r="10" spans="1:34" s="111" customFormat="1" ht="34.5" customHeight="1">
      <c r="A10" s="398"/>
      <c r="B10" s="121" t="s">
        <v>507</v>
      </c>
      <c r="C10" s="122" t="str">
        <f>_xll.ciqfunctions.udf.CIQ(B10, "IQ_TR_BUYERNAME")</f>
        <v>DaVita Inc.</v>
      </c>
      <c r="D10" s="123" t="str">
        <f>_xll.ciqfunctions.udf.CIQ(B10, "IQ_TR_TARGETNAME")</f>
        <v>One Dialysis Center in United States</v>
      </c>
      <c r="E10" s="975">
        <f>IF(_xll.ciqfunctions.udf.CIQ(B10, "IQ_TR_CLOSED_DATE")=0, "n/a", _xll.ciqfunctions.udf.CIQ(B10, "IQ_TR_CLOSED_DATE"))</f>
        <v>43190</v>
      </c>
      <c r="F10" s="905">
        <f>_xll.ciqfunctions.udf.CIQ(B10, "IQ_TR_TOTAL_GROSS_TV_FINAL")</f>
        <v>0</v>
      </c>
      <c r="G10" s="906"/>
      <c r="H10" s="905" t="str">
        <f>IF(_xll.ciqfunctions.udf.CIQ(B10, "IQ_TR_TARGET_TOTAL_REV")=0, "n/a", _xll.ciqfunctions.udf.CIQ(B10, "IQ_TR_TARGET_TOTAL_REV"))</f>
        <v>n/a</v>
      </c>
      <c r="I10" s="905" t="str">
        <f>IF(_xll.ciqfunctions.udf.CIQ(B10, "IQ_TR_TARGET_EBITDA_EQ_INC")=0,"n/a",_xll.ciqfunctions.udf.CIQ(B10, "IQ_TR_TARGET_EBITDA_EQ_INC"))</f>
        <v>n/a</v>
      </c>
      <c r="J10" s="905" t="str">
        <f>IF(_xll.ciqfunctions.udf.CIQ(B10, "IQ_TR_TARGET_EBIT_EQ_INC")=0,"n/a",_xll.ciqfunctions.udf.CIQ(B10, "IQ_TR_TARGET_EBIT_EQ_INC"))</f>
        <v>n/a</v>
      </c>
      <c r="K10" s="893"/>
      <c r="L10" s="894" t="str">
        <f t="shared" si="0"/>
        <v>nmf</v>
      </c>
      <c r="M10" s="894" t="str">
        <f t="shared" si="0"/>
        <v>nmf</v>
      </c>
      <c r="N10" s="894" t="str">
        <f t="shared" si="0"/>
        <v>nmf</v>
      </c>
      <c r="O10" s="126"/>
      <c r="P10" s="146">
        <f>_xll.ciqfunctions.udf.CIQ(B10, "IQ_TR_IMPLIED_EV_FINAL")</f>
        <v>0</v>
      </c>
      <c r="Q10" s="125"/>
      <c r="R10" s="126" t="str">
        <f t="shared" si="1"/>
        <v>nmf</v>
      </c>
      <c r="S10" s="126" t="str">
        <f t="shared" si="2"/>
        <v>nmf</v>
      </c>
      <c r="T10" s="126" t="str">
        <f t="shared" si="3"/>
        <v>nmf</v>
      </c>
      <c r="U10" s="126"/>
      <c r="V10" s="126" t="str">
        <f t="shared" si="4"/>
        <v>nmf</v>
      </c>
      <c r="W10" s="126" t="str">
        <f t="shared" si="5"/>
        <v>nmf</v>
      </c>
      <c r="X10" s="126" t="str">
        <f t="shared" si="6"/>
        <v>nmf</v>
      </c>
      <c r="Y10" s="126"/>
      <c r="Z10" s="126" t="str">
        <f t="shared" si="7"/>
        <v>nmf</v>
      </c>
      <c r="AA10" s="126" t="str">
        <f t="shared" si="8"/>
        <v>nmf</v>
      </c>
      <c r="AB10" s="126" t="str">
        <f t="shared" si="9"/>
        <v>nmf</v>
      </c>
      <c r="AD10" s="974">
        <f>_xll.ciqfunctions.udf.CIQ(B10, "IQ_TR_ANN_DATE")</f>
        <v>43223</v>
      </c>
      <c r="AF10" s="466">
        <v>1</v>
      </c>
    </row>
    <row r="11" spans="1:34" s="111" customFormat="1" ht="25.5">
      <c r="A11" s="398"/>
      <c r="B11" s="121" t="s">
        <v>451</v>
      </c>
      <c r="C11" s="122" t="str">
        <f>_xll.ciqfunctions.udf.CIQ(B11, "IQ_TR_BUYERNAME")</f>
        <v>DaVita HealthCare Partners Inc. (nka:DaVita Inc.)</v>
      </c>
      <c r="D11" s="123" t="str">
        <f>_xll.ciqfunctions.udf.CIQ(B11, "IQ_TR_TARGETNAME")</f>
        <v>Renal Ventures Management, LLC</v>
      </c>
      <c r="E11" s="975">
        <f>IF(_xll.ciqfunctions.udf.CIQ(B11, "IQ_TR_CLOSED_DATE")=0, "n/a", _xll.ciqfunctions.udf.CIQ(B11, "IQ_TR_CLOSED_DATE"))</f>
        <v>42856</v>
      </c>
      <c r="F11" s="905">
        <f>_xll.ciqfunctions.udf.CIQ(B11, "IQ_TR_TOTAL_GROSS_TV_FINAL")</f>
        <v>360</v>
      </c>
      <c r="G11" s="906"/>
      <c r="H11" s="905" t="str">
        <f>IF(_xll.ciqfunctions.udf.CIQ(B11, "IQ_TR_TARGET_TOTAL_REV")=0, "n/a", _xll.ciqfunctions.udf.CIQ(B11, "IQ_TR_TARGET_TOTAL_REV"))</f>
        <v>n/a</v>
      </c>
      <c r="I11" s="905" t="str">
        <f>IF(_xll.ciqfunctions.udf.CIQ(B11, "IQ_TR_TARGET_EBITDA_EQ_INC")=0,"n/a",_xll.ciqfunctions.udf.CIQ(B11, "IQ_TR_TARGET_EBITDA_EQ_INC"))</f>
        <v>n/a</v>
      </c>
      <c r="J11" s="905" t="str">
        <f>IF(_xll.ciqfunctions.udf.CIQ(B11, "IQ_TR_TARGET_EBIT_EQ_INC")=0,"n/a",_xll.ciqfunctions.udf.CIQ(B11, "IQ_TR_TARGET_EBIT_EQ_INC"))</f>
        <v>n/a</v>
      </c>
      <c r="K11" s="893"/>
      <c r="L11" s="894" t="str">
        <f t="shared" ref="L11:N14" si="10">IFERROR(IF(H11&lt;0,"nmf",$F11/H11),"nmf")</f>
        <v>nmf</v>
      </c>
      <c r="M11" s="894" t="str">
        <f t="shared" si="10"/>
        <v>nmf</v>
      </c>
      <c r="N11" s="894" t="str">
        <f t="shared" si="10"/>
        <v>nmf</v>
      </c>
      <c r="O11" s="126"/>
      <c r="P11" s="146">
        <f>_xll.ciqfunctions.udf.CIQ(B11, "IQ_TR_IMPLIED_EV_FINAL")</f>
        <v>360</v>
      </c>
      <c r="Q11" s="125"/>
      <c r="R11" s="126" t="str">
        <f t="shared" si="1"/>
        <v>nmf</v>
      </c>
      <c r="S11" s="126" t="str">
        <f t="shared" si="2"/>
        <v>nmf</v>
      </c>
      <c r="T11" s="126" t="str">
        <f t="shared" si="3"/>
        <v>nmf</v>
      </c>
      <c r="U11" s="126"/>
      <c r="V11" s="126" t="str">
        <f t="shared" si="4"/>
        <v>nmf</v>
      </c>
      <c r="W11" s="126" t="str">
        <f t="shared" si="5"/>
        <v>nmf</v>
      </c>
      <c r="X11" s="126" t="str">
        <f t="shared" si="6"/>
        <v>nmf</v>
      </c>
      <c r="Y11" s="126"/>
      <c r="Z11" s="126" t="str">
        <f t="shared" si="7"/>
        <v>nmf</v>
      </c>
      <c r="AA11" s="126" t="str">
        <f t="shared" si="8"/>
        <v>nmf</v>
      </c>
      <c r="AB11" s="126" t="str">
        <f t="shared" si="9"/>
        <v>nmf</v>
      </c>
      <c r="AD11" s="974">
        <f>_xll.ciqfunctions.udf.CIQ(B11, "IQ_TR_ANN_DATE")</f>
        <v>42240</v>
      </c>
      <c r="AF11" s="466">
        <v>1</v>
      </c>
      <c r="AH11" s="951"/>
    </row>
    <row r="12" spans="1:34" s="120" customFormat="1" ht="38.25">
      <c r="A12" s="399"/>
      <c r="B12" s="121" t="s">
        <v>468</v>
      </c>
      <c r="C12" s="122" t="str">
        <f>_xll.ciqfunctions.udf.CIQ(B12, "IQ_TR_BUYERNAME")</f>
        <v>American Renal Associates LLC</v>
      </c>
      <c r="D12" s="123" t="str">
        <f>_xll.ciqfunctions.udf.CIQ(B12, "IQ_TR_TARGETNAME")</f>
        <v>Majority stakes in Clarion Dialysis Center And Oil City Dialysis Center LLC</v>
      </c>
      <c r="E12" s="976">
        <f>_xll.ciqfunctions.udf.CIQ(B12, "IQ_TR_CLOSED_DATE")</f>
        <v>42628</v>
      </c>
      <c r="F12" s="905">
        <f>_xll.ciqfunctions.udf.CIQ(B12, "IQ_TR_TOTAL_GROSS_TV_FINAL")</f>
        <v>0</v>
      </c>
      <c r="G12" s="906"/>
      <c r="H12" s="905" t="str">
        <f>IF(_xll.ciqfunctions.udf.CIQ(B12, "IQ_TR_TARGET_TOTAL_REV")=0, "n/a", _xll.ciqfunctions.udf.CIQ(B12, "IQ_TR_TARGET_TOTAL_REV"))</f>
        <v>n/a</v>
      </c>
      <c r="I12" s="905" t="str">
        <f>IF(_xll.ciqfunctions.udf.CIQ(B12, "IQ_TR_TARGET_EBITDA_EQ_INC")=0,"n/a",_xll.ciqfunctions.udf.CIQ(B12, "IQ_TR_TARGET_EBITDA_EQ_INC"))</f>
        <v>n/a</v>
      </c>
      <c r="J12" s="905" t="str">
        <f>IF(_xll.ciqfunctions.udf.CIQ(B12, "IQ_TR_TARGET_EBIT_EQ_INC")=0,"n/a",_xll.ciqfunctions.udf.CIQ(B12, "IQ_TR_TARGET_EBIT_EQ_INC"))</f>
        <v>n/a</v>
      </c>
      <c r="K12" s="893"/>
      <c r="L12" s="894" t="str">
        <f>IFERROR(IF(H12&lt;0,"nmf",$F12/H12),"nmf")</f>
        <v>nmf</v>
      </c>
      <c r="M12" s="894" t="str">
        <f>IFERROR(IF(I12&lt;0,"nmf",$F12/I12),"nmf")</f>
        <v>nmf</v>
      </c>
      <c r="N12" s="894" t="str">
        <f>IFERROR(IF(J12&lt;0,"nmf",$F12/J12),"nmf")</f>
        <v>nmf</v>
      </c>
      <c r="O12" s="126"/>
      <c r="P12" s="146">
        <f>_xll.ciqfunctions.udf.CIQ(B12, "IQ_TR_IMPLIED_EV_FINAL")</f>
        <v>0</v>
      </c>
      <c r="Q12" s="125"/>
      <c r="R12" s="126" t="str">
        <f t="shared" si="1"/>
        <v>nmf</v>
      </c>
      <c r="S12" s="126" t="str">
        <f t="shared" si="2"/>
        <v>nmf</v>
      </c>
      <c r="T12" s="126" t="str">
        <f t="shared" si="3"/>
        <v>nmf</v>
      </c>
      <c r="U12" s="126"/>
      <c r="V12" s="126" t="str">
        <f t="shared" si="4"/>
        <v>nmf</v>
      </c>
      <c r="W12" s="126" t="str">
        <f t="shared" si="5"/>
        <v>nmf</v>
      </c>
      <c r="X12" s="126" t="str">
        <f t="shared" si="6"/>
        <v>nmf</v>
      </c>
      <c r="Y12" s="126"/>
      <c r="Z12" s="126" t="str">
        <f t="shared" si="7"/>
        <v>nmf</v>
      </c>
      <c r="AA12" s="126" t="str">
        <f t="shared" si="8"/>
        <v>nmf</v>
      </c>
      <c r="AB12" s="126" t="str">
        <f t="shared" si="9"/>
        <v>nmf</v>
      </c>
      <c r="AD12" s="974">
        <f>_xll.ciqfunctions.udf.CIQ(B12, "IQ_TR_ANN_DATE")</f>
        <v>42656</v>
      </c>
      <c r="AF12" s="466">
        <v>1</v>
      </c>
      <c r="AH12" s="951"/>
    </row>
    <row r="13" spans="1:34" s="120" customFormat="1">
      <c r="A13" s="399"/>
      <c r="B13" s="121" t="s">
        <v>338</v>
      </c>
      <c r="C13" s="122" t="str">
        <f>_xll.ciqfunctions.udf.CIQ(B13, "IQ_TR_BUYERNAME")</f>
        <v>U.S. Renal Care, Inc.</v>
      </c>
      <c r="D13" s="123" t="str">
        <f>_xll.ciqfunctions.udf.CIQ(B13, "IQ_TR_TARGETNAME")</f>
        <v>Dialysis Newco, Inc.</v>
      </c>
      <c r="E13" s="976">
        <f>_xll.ciqfunctions.udf.CIQ(B13, "IQ_TR_CLOSED_DATE")</f>
        <v>42369</v>
      </c>
      <c r="F13" s="905">
        <f>_xll.ciqfunctions.udf.CIQ(B13, "IQ_TR_TOTAL_GROSS_TV_FINAL")</f>
        <v>640</v>
      </c>
      <c r="G13" s="906"/>
      <c r="H13" s="905" t="str">
        <f>IF(_xll.ciqfunctions.udf.CIQ(B13, "IQ_TR_TARGET_TOTAL_REV")=0, "n/a", _xll.ciqfunctions.udf.CIQ(B13, "IQ_TR_TARGET_TOTAL_REV"))</f>
        <v>n/a</v>
      </c>
      <c r="I13" s="905" t="str">
        <f>IF(_xll.ciqfunctions.udf.CIQ(B13, "IQ_TR_TARGET_EBITDA_EQ_INC")=0,"n/a",_xll.ciqfunctions.udf.CIQ(B13, "IQ_TR_TARGET_EBITDA_EQ_INC"))</f>
        <v>n/a</v>
      </c>
      <c r="J13" s="905" t="str">
        <f>IF(_xll.ciqfunctions.udf.CIQ(B13, "IQ_TR_TARGET_EBIT_EQ_INC")=0,"n/a",_xll.ciqfunctions.udf.CIQ(B13, "IQ_TR_TARGET_EBIT_EQ_INC"))</f>
        <v>n/a</v>
      </c>
      <c r="K13" s="893"/>
      <c r="L13" s="894" t="str">
        <f t="shared" si="10"/>
        <v>nmf</v>
      </c>
      <c r="M13" s="894" t="str">
        <f t="shared" si="10"/>
        <v>nmf</v>
      </c>
      <c r="N13" s="894" t="str">
        <f t="shared" si="10"/>
        <v>nmf</v>
      </c>
      <c r="O13" s="126"/>
      <c r="P13" s="146">
        <f>_xll.ciqfunctions.udf.CIQ(B13, "IQ_TR_IMPLIED_EV_FINAL")</f>
        <v>640</v>
      </c>
      <c r="Q13" s="125"/>
      <c r="R13" s="126" t="str">
        <f t="shared" si="1"/>
        <v>nmf</v>
      </c>
      <c r="S13" s="126" t="str">
        <f t="shared" si="2"/>
        <v>nmf</v>
      </c>
      <c r="T13" s="126" t="str">
        <f t="shared" si="3"/>
        <v>nmf</v>
      </c>
      <c r="U13" s="126"/>
      <c r="V13" s="126" t="str">
        <f t="shared" si="4"/>
        <v>nmf</v>
      </c>
      <c r="W13" s="126" t="str">
        <f t="shared" si="5"/>
        <v>nmf</v>
      </c>
      <c r="X13" s="126" t="str">
        <f t="shared" si="6"/>
        <v>nmf</v>
      </c>
      <c r="Y13" s="126"/>
      <c r="Z13" s="126" t="str">
        <f t="shared" si="7"/>
        <v>nmf</v>
      </c>
      <c r="AA13" s="126" t="str">
        <f t="shared" si="8"/>
        <v>nmf</v>
      </c>
      <c r="AB13" s="126" t="str">
        <f t="shared" si="9"/>
        <v>nmf</v>
      </c>
      <c r="AD13" s="974">
        <f>_xll.ciqfunctions.udf.CIQ(B13, "IQ_TR_ANN_DATE")</f>
        <v>42238</v>
      </c>
      <c r="AF13" s="466">
        <v>1</v>
      </c>
      <c r="AH13" s="951"/>
    </row>
    <row r="14" spans="1:34" s="120" customFormat="1" ht="25.5">
      <c r="A14" s="399"/>
      <c r="B14" s="121" t="s">
        <v>339</v>
      </c>
      <c r="C14" s="122" t="str">
        <f>_xll.ciqfunctions.udf.CIQ(B14, "IQ_TR_BUYERNAME")</f>
        <v>Pure Life Renal, LLC</v>
      </c>
      <c r="D14" s="123" t="str">
        <f>_xll.ciqfunctions.udf.CIQ(B14, "IQ_TR_TARGETNAME")</f>
        <v>Comprehensive Dialysis Center of WNY Inc.</v>
      </c>
      <c r="E14" s="976">
        <f>_xll.ciqfunctions.udf.CIQ(B14, "IQ_TR_CLOSED_DATE")</f>
        <v>42264</v>
      </c>
      <c r="F14" s="905">
        <f>_xll.ciqfunctions.udf.CIQ(B14, "IQ_TR_TOTAL_GROSS_TV_FINAL")</f>
        <v>12</v>
      </c>
      <c r="G14" s="906"/>
      <c r="H14" s="905" t="str">
        <f>IF(_xll.ciqfunctions.udf.CIQ(B14, "IQ_TR_TARGET_TOTAL_REV")=0, "n/a", _xll.ciqfunctions.udf.CIQ(B14, "IQ_TR_TARGET_TOTAL_REV"))</f>
        <v>n/a</v>
      </c>
      <c r="I14" s="905" t="str">
        <f>IF(_xll.ciqfunctions.udf.CIQ(B14, "IQ_TR_TARGET_EBITDA_EQ_INC")=0,"n/a",_xll.ciqfunctions.udf.CIQ(B14, "IQ_TR_TARGET_EBITDA_EQ_INC"))</f>
        <v>n/a</v>
      </c>
      <c r="J14" s="905" t="str">
        <f>IF(_xll.ciqfunctions.udf.CIQ(B14, "IQ_TR_TARGET_EBIT_EQ_INC")=0,"n/a",_xll.ciqfunctions.udf.CIQ(B14, "IQ_TR_TARGET_EBIT_EQ_INC"))</f>
        <v>n/a</v>
      </c>
      <c r="K14" s="893"/>
      <c r="L14" s="894" t="str">
        <f t="shared" si="10"/>
        <v>nmf</v>
      </c>
      <c r="M14" s="894" t="str">
        <f t="shared" si="10"/>
        <v>nmf</v>
      </c>
      <c r="N14" s="894" t="str">
        <f t="shared" si="10"/>
        <v>nmf</v>
      </c>
      <c r="O14" s="126"/>
      <c r="P14" s="146">
        <f>_xll.ciqfunctions.udf.CIQ(B14, "IQ_TR_IMPLIED_EV_FINAL")</f>
        <v>12</v>
      </c>
      <c r="Q14" s="125"/>
      <c r="R14" s="126" t="str">
        <f t="shared" si="1"/>
        <v>nmf</v>
      </c>
      <c r="S14" s="126" t="str">
        <f t="shared" si="2"/>
        <v>nmf</v>
      </c>
      <c r="T14" s="126" t="str">
        <f t="shared" si="3"/>
        <v>nmf</v>
      </c>
      <c r="U14" s="126"/>
      <c r="V14" s="126" t="str">
        <f t="shared" si="4"/>
        <v>nmf</v>
      </c>
      <c r="W14" s="126" t="str">
        <f t="shared" si="5"/>
        <v>nmf</v>
      </c>
      <c r="X14" s="126" t="str">
        <f t="shared" si="6"/>
        <v>nmf</v>
      </c>
      <c r="Y14" s="126"/>
      <c r="Z14" s="126" t="str">
        <f t="shared" si="7"/>
        <v>nmf</v>
      </c>
      <c r="AA14" s="126" t="str">
        <f t="shared" si="8"/>
        <v>nmf</v>
      </c>
      <c r="AB14" s="126" t="str">
        <f t="shared" si="9"/>
        <v>nmf</v>
      </c>
      <c r="AD14" s="974">
        <f>_xll.ciqfunctions.udf.CIQ(B14, "IQ_TR_ANN_DATE")</f>
        <v>41907</v>
      </c>
      <c r="AF14" s="466">
        <v>1</v>
      </c>
      <c r="AH14" s="951"/>
    </row>
    <row r="15" spans="1:34" s="120" customFormat="1" ht="25.5">
      <c r="A15" s="399"/>
      <c r="B15" s="121" t="s">
        <v>340</v>
      </c>
      <c r="C15" s="122" t="str">
        <f>_xll.ciqfunctions.udf.CIQ(B15, "IQ_TR_BUYERNAME")</f>
        <v>Carter/Validus Operating Partnership, LP</v>
      </c>
      <c r="D15" s="123" t="str">
        <f>_xll.ciqfunctions.udf.CIQ(B15, "IQ_TR_TARGETNAME")</f>
        <v>Dialysis Center Property in Indiana</v>
      </c>
      <c r="E15" s="976">
        <f>_xll.ciqfunctions.udf.CIQ(B15, "IQ_TR_CLOSED_DATE")</f>
        <v>41436</v>
      </c>
      <c r="F15" s="905">
        <f>_xll.ciqfunctions.udf.CIQ(B15, "IQ_TR_TOTAL_GROSS_TV_FINAL")</f>
        <v>4.6399999999999997</v>
      </c>
      <c r="G15" s="906"/>
      <c r="H15" s="905">
        <f>IF(_xll.ciqfunctions.udf.CIQ(B15, "IQ_TR_TARGET_TOTAL_REV")=0, "n/a", _xll.ciqfunctions.udf.CIQ(B15, "IQ_TR_TARGET_TOTAL_REV"))</f>
        <v>0.35</v>
      </c>
      <c r="I15" s="905" t="str">
        <f>IF(_xll.ciqfunctions.udf.CIQ(B15, "IQ_TR_TARGET_EBITDA_EQ_INC")=0,"n/a",_xll.ciqfunctions.udf.CIQ(B15, "IQ_TR_TARGET_EBITDA_EQ_INC"))</f>
        <v>n/a</v>
      </c>
      <c r="J15" s="905" t="str">
        <f>IF(_xll.ciqfunctions.udf.CIQ(B15, "IQ_TR_TARGET_EBIT_EQ_INC")=0,"n/a",_xll.ciqfunctions.udf.CIQ(B15, "IQ_TR_TARGET_EBIT_EQ_INC"))</f>
        <v>n/a</v>
      </c>
      <c r="K15" s="895"/>
      <c r="L15" s="894">
        <f t="shared" ref="L15:L21" si="11">IF(H15&lt;0,"nmf",$F15/H15)</f>
        <v>13.257142857142856</v>
      </c>
      <c r="M15" s="894" t="str">
        <f t="shared" ref="M15:M24" si="12">IFERROR(IF(I15&lt;0,"nmf",$F15/I15),"nmf")</f>
        <v>nmf</v>
      </c>
      <c r="N15" s="894" t="str">
        <f t="shared" ref="N15:N24" si="13">IFERROR(IF(J15&lt;0,"nmf",$F15/J15),"nmf")</f>
        <v>nmf</v>
      </c>
      <c r="O15" s="467"/>
      <c r="P15" s="146">
        <f>_xll.ciqfunctions.udf.CIQ(B15, "IQ_TR_IMPLIED_EV_FINAL")</f>
        <v>4.6399999999999997</v>
      </c>
      <c r="Q15" s="125"/>
      <c r="R15" s="127" t="str">
        <f t="shared" si="1"/>
        <v>nmf</v>
      </c>
      <c r="S15" s="126" t="str">
        <f t="shared" si="2"/>
        <v>nmf</v>
      </c>
      <c r="T15" s="126" t="str">
        <f t="shared" si="3"/>
        <v>nmf</v>
      </c>
      <c r="U15" s="126"/>
      <c r="V15" s="126" t="str">
        <f t="shared" si="4"/>
        <v>nmf</v>
      </c>
      <c r="W15" s="126" t="str">
        <f t="shared" si="5"/>
        <v>nmf</v>
      </c>
      <c r="X15" s="126" t="str">
        <f t="shared" si="6"/>
        <v>nmf</v>
      </c>
      <c r="Y15" s="126"/>
      <c r="Z15" s="126">
        <f t="shared" si="7"/>
        <v>13.257142857142856</v>
      </c>
      <c r="AA15" s="126" t="str">
        <f t="shared" si="8"/>
        <v>nmf</v>
      </c>
      <c r="AB15" s="126" t="str">
        <f t="shared" si="9"/>
        <v>nmf</v>
      </c>
      <c r="AD15" s="974">
        <f>_xll.ciqfunctions.udf.CIQ(B15, "IQ_TR_ANN_DATE")</f>
        <v>41439</v>
      </c>
      <c r="AF15" s="466">
        <v>3</v>
      </c>
      <c r="AH15" s="951"/>
    </row>
    <row r="16" spans="1:34" s="120" customFormat="1">
      <c r="A16" s="399"/>
      <c r="B16" s="121" t="s">
        <v>341</v>
      </c>
      <c r="C16" s="122" t="str">
        <f>_xll.ciqfunctions.udf.CIQ(B16, "IQ_TR_BUYERNAME")</f>
        <v>Merit Medical Systems, Inc.</v>
      </c>
      <c r="D16" s="123" t="str">
        <f>_xll.ciqfunctions.udf.CIQ(B16, "IQ_TR_TARGETNAME")</f>
        <v>Medigroup Inc.</v>
      </c>
      <c r="E16" s="976">
        <f>_xll.ciqfunctions.udf.CIQ(B16, "IQ_TR_CLOSED_DATE")</f>
        <v>41242</v>
      </c>
      <c r="F16" s="905">
        <f>_xll.ciqfunctions.udf.CIQ(B16, "IQ_TR_TOTAL_GROSS_TV_FINAL")</f>
        <v>5.5</v>
      </c>
      <c r="G16" s="906"/>
      <c r="H16" s="905">
        <f>IF(_xll.ciqfunctions.udf.CIQ(B16, "IQ_TR_TARGET_TOTAL_REV")=0, "n/a", _xll.ciqfunctions.udf.CIQ(B16, "IQ_TR_TARGET_TOTAL_REV"))</f>
        <v>2</v>
      </c>
      <c r="I16" s="905" t="str">
        <f>IF(_xll.ciqfunctions.udf.CIQ(B16, "IQ_TR_TARGET_EBITDA_EQ_INC")=0,"n/a",_xll.ciqfunctions.udf.CIQ(B16, "IQ_TR_TARGET_EBITDA_EQ_INC"))</f>
        <v>n/a</v>
      </c>
      <c r="J16" s="905" t="str">
        <f>IF(_xll.ciqfunctions.udf.CIQ(B16, "IQ_TR_TARGET_EBIT_EQ_INC")=0,"n/a",_xll.ciqfunctions.udf.CIQ(B16, "IQ_TR_TARGET_EBIT_EQ_INC"))</f>
        <v>n/a</v>
      </c>
      <c r="K16" s="893"/>
      <c r="L16" s="894">
        <f t="shared" si="11"/>
        <v>2.75</v>
      </c>
      <c r="M16" s="894" t="str">
        <f t="shared" si="12"/>
        <v>nmf</v>
      </c>
      <c r="N16" s="894" t="str">
        <f t="shared" si="13"/>
        <v>nmf</v>
      </c>
      <c r="O16" s="126"/>
      <c r="P16" s="146">
        <f>_xll.ciqfunctions.udf.CIQ(B16, "IQ_TR_IMPLIED_EV_FINAL")</f>
        <v>5.5</v>
      </c>
      <c r="Q16" s="125"/>
      <c r="R16" s="126" t="str">
        <f t="shared" si="1"/>
        <v>nmf</v>
      </c>
      <c r="S16" s="126" t="str">
        <f t="shared" si="2"/>
        <v>nmf</v>
      </c>
      <c r="T16" s="126" t="str">
        <f t="shared" si="3"/>
        <v>nmf</v>
      </c>
      <c r="U16" s="126"/>
      <c r="V16" s="126" t="str">
        <f t="shared" si="4"/>
        <v>nmf</v>
      </c>
      <c r="W16" s="126" t="str">
        <f t="shared" si="5"/>
        <v>nmf</v>
      </c>
      <c r="X16" s="126" t="str">
        <f t="shared" si="6"/>
        <v>nmf</v>
      </c>
      <c r="Y16" s="126"/>
      <c r="Z16" s="126">
        <f t="shared" si="7"/>
        <v>2.75</v>
      </c>
      <c r="AA16" s="126" t="str">
        <f t="shared" si="8"/>
        <v>nmf</v>
      </c>
      <c r="AB16" s="126" t="str">
        <f t="shared" si="9"/>
        <v>nmf</v>
      </c>
      <c r="AD16" s="974">
        <f>_xll.ciqfunctions.udf.CIQ(B16, "IQ_TR_ANN_DATE")</f>
        <v>41207</v>
      </c>
      <c r="AF16" s="466">
        <v>3</v>
      </c>
      <c r="AH16" s="951"/>
    </row>
    <row r="17" spans="1:34" s="120" customFormat="1" ht="25.5">
      <c r="A17" s="399"/>
      <c r="B17" s="121" t="s">
        <v>342</v>
      </c>
      <c r="C17" s="122" t="str">
        <f>_xll.ciqfunctions.udf.CIQ(B17, "IQ_TR_BUYERNAME")</f>
        <v>Correct Care Solutions, LLC</v>
      </c>
      <c r="D17" s="123" t="str">
        <f>_xll.ciqfunctions.udf.CIQ(B17, "IQ_TR_TARGETNAME")</f>
        <v>Conmed Healthcare Management, Inc</v>
      </c>
      <c r="E17" s="976">
        <f>_xll.ciqfunctions.udf.CIQ(B17, "IQ_TR_CLOSED_DATE")</f>
        <v>41148</v>
      </c>
      <c r="F17" s="905">
        <f>_xll.ciqfunctions.udf.CIQ(B17, "IQ_TR_TOTAL_GROSS_TV_FINAL")</f>
        <v>59.492870000000003</v>
      </c>
      <c r="G17" s="906"/>
      <c r="H17" s="905">
        <f>IF(_xll.ciqfunctions.udf.CIQ(B17, "IQ_TR_TARGET_TOTAL_REV")=0, "n/a", _xll.ciqfunctions.udf.CIQ(B17, "IQ_TR_TARGET_TOTAL_REV"))</f>
        <v>75.059340000000006</v>
      </c>
      <c r="I17" s="905">
        <f>IF(_xll.ciqfunctions.udf.CIQ(B17, "IQ_TR_TARGET_EBITDA_EQ_INC")=0,"n/a",_xll.ciqfunctions.udf.CIQ(B17, "IQ_TR_TARGET_EBITDA_EQ_INC"))</f>
        <v>4.5706300000000004</v>
      </c>
      <c r="J17" s="905">
        <f>IF(_xll.ciqfunctions.udf.CIQ(B17, "IQ_TR_TARGET_EBIT_EQ_INC")=0,"n/a",_xll.ciqfunctions.udf.CIQ(B17, "IQ_TR_TARGET_EBIT_EQ_INC"))</f>
        <v>3.8749500000000001</v>
      </c>
      <c r="K17" s="893"/>
      <c r="L17" s="894">
        <f t="shared" si="11"/>
        <v>0.79261115272263249</v>
      </c>
      <c r="M17" s="894">
        <f t="shared" si="12"/>
        <v>13.016339104237272</v>
      </c>
      <c r="N17" s="894">
        <f t="shared" si="13"/>
        <v>15.35319681544278</v>
      </c>
      <c r="O17" s="126"/>
      <c r="P17" s="146">
        <f>_xll.ciqfunctions.udf.CIQ(B17, "IQ_TR_IMPLIED_EV_FINAL")</f>
        <v>42.04081</v>
      </c>
      <c r="Q17" s="125"/>
      <c r="R17" s="126" t="str">
        <f t="shared" si="1"/>
        <v>nmf</v>
      </c>
      <c r="S17" s="126" t="str">
        <f t="shared" si="2"/>
        <v>nmf</v>
      </c>
      <c r="T17" s="126" t="str">
        <f t="shared" si="3"/>
        <v>nmf</v>
      </c>
      <c r="U17" s="126"/>
      <c r="V17" s="126" t="str">
        <f t="shared" si="4"/>
        <v>nmf</v>
      </c>
      <c r="W17" s="126" t="str">
        <f t="shared" si="5"/>
        <v>nmf</v>
      </c>
      <c r="X17" s="126" t="str">
        <f t="shared" si="6"/>
        <v>nmf</v>
      </c>
      <c r="Y17" s="126"/>
      <c r="Z17" s="126">
        <f t="shared" si="7"/>
        <v>0.79261115272263249</v>
      </c>
      <c r="AA17" s="126">
        <f t="shared" si="8"/>
        <v>13.016339104237272</v>
      </c>
      <c r="AB17" s="126">
        <f t="shared" si="9"/>
        <v>15.35319681544278</v>
      </c>
      <c r="AD17" s="974">
        <f>_xll.ciqfunctions.udf.CIQ(B17, "IQ_TR_ANN_DATE")</f>
        <v>41106</v>
      </c>
      <c r="AF17" s="466">
        <v>3</v>
      </c>
      <c r="AH17" s="951"/>
    </row>
    <row r="18" spans="1:34" s="120" customFormat="1" ht="25.5">
      <c r="A18" s="399"/>
      <c r="B18" s="121" t="s">
        <v>343</v>
      </c>
      <c r="C18" s="122" t="str">
        <f>_xll.ciqfunctions.udf.CIQ(B18, "IQ_TR_BUYERNAME")</f>
        <v>Lifepoint Hospitals Inc. (nka:LifePoint Health, Inc.)</v>
      </c>
      <c r="D18" s="123" t="str">
        <f>_xll.ciqfunctions.udf.CIQ(B18, "IQ_TR_TARGETNAME")</f>
        <v>Woods Memorial Hospital, LLC</v>
      </c>
      <c r="E18" s="976">
        <f>_xll.ciqfunctions.udf.CIQ(B18, "IQ_TR_CLOSED_DATE")</f>
        <v>41092</v>
      </c>
      <c r="F18" s="905">
        <f>_xll.ciqfunctions.udf.CIQ(B18, "IQ_TR_TOTAL_GROSS_TV_FINAL")</f>
        <v>17.7</v>
      </c>
      <c r="G18" s="906"/>
      <c r="H18" s="905">
        <f>IF(_xll.ciqfunctions.udf.CIQ(B18, "IQ_TR_TARGET_TOTAL_REV")=0, "n/a", _xll.ciqfunctions.udf.CIQ(B18, "IQ_TR_TARGET_TOTAL_REV"))</f>
        <v>74.3</v>
      </c>
      <c r="I18" s="905" t="str">
        <f>IF(_xll.ciqfunctions.udf.CIQ(B18, "IQ_TR_TARGET_EBITDA_EQ_INC")=0,"n/a",_xll.ciqfunctions.udf.CIQ(B18, "IQ_TR_TARGET_EBITDA_EQ_INC"))</f>
        <v>n/a</v>
      </c>
      <c r="J18" s="905" t="str">
        <f>IF(_xll.ciqfunctions.udf.CIQ(B18, "IQ_TR_TARGET_EBIT_EQ_INC")=0,"n/a",_xll.ciqfunctions.udf.CIQ(B18, "IQ_TR_TARGET_EBIT_EQ_INC"))</f>
        <v>n/a</v>
      </c>
      <c r="K18" s="893"/>
      <c r="L18" s="894">
        <f t="shared" si="11"/>
        <v>0.23822341857335128</v>
      </c>
      <c r="M18" s="894" t="str">
        <f t="shared" si="12"/>
        <v>nmf</v>
      </c>
      <c r="N18" s="894" t="str">
        <f t="shared" si="13"/>
        <v>nmf</v>
      </c>
      <c r="O18" s="126"/>
      <c r="P18" s="146">
        <f>_xll.ciqfunctions.udf.CIQ(B18, "IQ_TR_IMPLIED_EV_FINAL")</f>
        <v>17.7</v>
      </c>
      <c r="Q18" s="125"/>
      <c r="R18" s="126" t="str">
        <f t="shared" si="1"/>
        <v>nmf</v>
      </c>
      <c r="S18" s="126" t="str">
        <f t="shared" si="2"/>
        <v>nmf</v>
      </c>
      <c r="T18" s="126" t="str">
        <f t="shared" si="3"/>
        <v>nmf</v>
      </c>
      <c r="U18" s="126"/>
      <c r="V18" s="126" t="str">
        <f t="shared" si="4"/>
        <v>nmf</v>
      </c>
      <c r="W18" s="126" t="str">
        <f t="shared" si="5"/>
        <v>nmf</v>
      </c>
      <c r="X18" s="126" t="str">
        <f t="shared" si="6"/>
        <v>nmf</v>
      </c>
      <c r="Y18" s="126"/>
      <c r="Z18" s="126">
        <f t="shared" si="7"/>
        <v>0.23822341857335128</v>
      </c>
      <c r="AA18" s="126" t="str">
        <f t="shared" si="8"/>
        <v>nmf</v>
      </c>
      <c r="AB18" s="126" t="str">
        <f t="shared" si="9"/>
        <v>nmf</v>
      </c>
      <c r="AD18" s="974">
        <f>_xll.ciqfunctions.udf.CIQ(B18, "IQ_TR_ANN_DATE")</f>
        <v>41064</v>
      </c>
      <c r="AF18" s="466">
        <v>3</v>
      </c>
      <c r="AH18" s="951"/>
    </row>
    <row r="19" spans="1:34" s="117" customFormat="1" ht="25.5">
      <c r="B19" s="121" t="s">
        <v>344</v>
      </c>
      <c r="C19" s="122" t="str">
        <f>_xll.ciqfunctions.udf.CIQ(B19, "IQ_TR_BUYERNAME")</f>
        <v>Fresenius Medical Care AG &amp; Co. KGaA</v>
      </c>
      <c r="D19" s="123" t="str">
        <f>_xll.ciqfunctions.udf.CIQ(B19, "IQ_TR_TARGETNAME")</f>
        <v>Liberty Dialysis, LLC</v>
      </c>
      <c r="E19" s="976">
        <f>_xll.ciqfunctions.udf.CIQ(B19, "IQ_TR_CLOSED_DATE")</f>
        <v>40967</v>
      </c>
      <c r="F19" s="905">
        <f>_xll.ciqfunctions.udf.CIQ(B19, "IQ_TR_TOTAL_GROSS_TV_FINAL")</f>
        <v>1692.645</v>
      </c>
      <c r="G19" s="906"/>
      <c r="H19" s="905">
        <f>IF(_xll.ciqfunctions.udf.CIQ(B19, "IQ_TR_TARGET_TOTAL_REV")=0, "n/a", _xll.ciqfunctions.udf.CIQ(B19, "IQ_TR_TARGET_TOTAL_REV"))</f>
        <v>1000</v>
      </c>
      <c r="I19" s="905" t="str">
        <f>IF(_xll.ciqfunctions.udf.CIQ(B19, "IQ_TR_TARGET_EBITDA_EQ_INC")=0,"n/a",_xll.ciqfunctions.udf.CIQ(B19, "IQ_TR_TARGET_EBITDA_EQ_INC"))</f>
        <v>n/a</v>
      </c>
      <c r="J19" s="905" t="str">
        <f>IF(_xll.ciqfunctions.udf.CIQ(B19, "IQ_TR_TARGET_EBIT_EQ_INC")=0,"n/a",_xll.ciqfunctions.udf.CIQ(B19, "IQ_TR_TARGET_EBIT_EQ_INC"))</f>
        <v>n/a</v>
      </c>
      <c r="K19" s="893"/>
      <c r="L19" s="894">
        <f t="shared" si="11"/>
        <v>1.692645</v>
      </c>
      <c r="M19" s="894" t="str">
        <f t="shared" si="12"/>
        <v>nmf</v>
      </c>
      <c r="N19" s="894" t="str">
        <f t="shared" si="13"/>
        <v>nmf</v>
      </c>
      <c r="O19" s="126"/>
      <c r="P19" s="146">
        <f>_xll.ciqfunctions.udf.CIQ(B19, "IQ_TR_IMPLIED_EV_FINAL")</f>
        <v>1692.645</v>
      </c>
      <c r="Q19" s="128"/>
      <c r="R19" s="129">
        <f t="shared" si="1"/>
        <v>1.692645</v>
      </c>
      <c r="S19" s="126" t="str">
        <f t="shared" si="2"/>
        <v>nmf</v>
      </c>
      <c r="T19" s="126" t="str">
        <f t="shared" si="3"/>
        <v>nmf</v>
      </c>
      <c r="U19" s="126"/>
      <c r="V19" s="126" t="str">
        <f t="shared" si="4"/>
        <v>nmf</v>
      </c>
      <c r="W19" s="126" t="str">
        <f t="shared" si="5"/>
        <v>nmf</v>
      </c>
      <c r="X19" s="126" t="str">
        <f t="shared" si="6"/>
        <v>nmf</v>
      </c>
      <c r="Y19" s="126"/>
      <c r="Z19" s="126" t="str">
        <f t="shared" si="7"/>
        <v>nmf</v>
      </c>
      <c r="AA19" s="126" t="str">
        <f t="shared" si="8"/>
        <v>nmf</v>
      </c>
      <c r="AB19" s="126" t="str">
        <f t="shared" si="9"/>
        <v>nmf</v>
      </c>
      <c r="AD19" s="974">
        <f>_xll.ciqfunctions.udf.CIQ(B19, "IQ_TR_ANN_DATE")</f>
        <v>40757</v>
      </c>
      <c r="AF19" s="466">
        <v>1</v>
      </c>
      <c r="AH19" s="951"/>
    </row>
    <row r="20" spans="1:34" s="117" customFormat="1" ht="53.25" customHeight="1">
      <c r="B20" s="121" t="s">
        <v>345</v>
      </c>
      <c r="C20" s="122" t="str">
        <f>_xll.ciqfunctions.udf.CIQ(B20, "IQ_TR_BUYERNAME")</f>
        <v>Frazier Healthcare Partners; New Enterprise Associates; Frazier Healthcare VI, L.P.; New Enterprise Associates XIII, L.P.</v>
      </c>
      <c r="D20" s="123" t="str">
        <f>_xll.ciqfunctions.udf.CIQ(B20, "IQ_TR_TARGETNAME")</f>
        <v>DaVita Inc., 30 Dialysis Clinics (nka:Dialysis Newco, Inc.)</v>
      </c>
      <c r="E20" s="976">
        <f>_xll.ciqfunctions.udf.CIQ(B20, "IQ_TR_CLOSED_DATE")</f>
        <v>40847</v>
      </c>
      <c r="F20" s="905">
        <f>_xll.ciqfunctions.udf.CIQ(B20, "IQ_TR_TOTAL_GROSS_TV_FINAL")</f>
        <v>91</v>
      </c>
      <c r="G20" s="906"/>
      <c r="H20" s="905">
        <f>IF(_xll.ciqfunctions.udf.CIQ(B20, "IQ_TR_TARGET_TOTAL_REV")=0, "n/a", _xll.ciqfunctions.udf.CIQ(B20, "IQ_TR_TARGET_TOTAL_REV"))</f>
        <v>82.7</v>
      </c>
      <c r="I20" s="905" t="str">
        <f>IF(_xll.ciqfunctions.udf.CIQ(B20, "IQ_TR_TARGET_EBITDA_EQ_INC")=0,"n/a",_xll.ciqfunctions.udf.CIQ(B20, "IQ_TR_TARGET_EBITDA_EQ_INC"))</f>
        <v>n/a</v>
      </c>
      <c r="J20" s="905" t="str">
        <f>IF(_xll.ciqfunctions.udf.CIQ(B20, "IQ_TR_TARGET_EBIT_EQ_INC")=0,"n/a",_xll.ciqfunctions.udf.CIQ(B20, "IQ_TR_TARGET_EBIT_EQ_INC"))</f>
        <v>n/a</v>
      </c>
      <c r="K20" s="893"/>
      <c r="L20" s="894">
        <f t="shared" si="11"/>
        <v>1.1003627569528416</v>
      </c>
      <c r="M20" s="894" t="str">
        <f t="shared" si="12"/>
        <v>nmf</v>
      </c>
      <c r="N20" s="894" t="str">
        <f t="shared" si="13"/>
        <v>nmf</v>
      </c>
      <c r="O20" s="126"/>
      <c r="P20" s="146">
        <f>_xll.ciqfunctions.udf.CIQ(B20, "IQ_TR_IMPLIED_EV_FINAL")</f>
        <v>91</v>
      </c>
      <c r="Q20" s="128"/>
      <c r="R20" s="129">
        <f t="shared" si="1"/>
        <v>1.1003627569528416</v>
      </c>
      <c r="S20" s="126" t="str">
        <f t="shared" si="2"/>
        <v>nmf</v>
      </c>
      <c r="T20" s="126" t="str">
        <f t="shared" si="3"/>
        <v>nmf</v>
      </c>
      <c r="U20" s="126"/>
      <c r="V20" s="126" t="str">
        <f t="shared" si="4"/>
        <v>nmf</v>
      </c>
      <c r="W20" s="126" t="str">
        <f t="shared" si="5"/>
        <v>nmf</v>
      </c>
      <c r="X20" s="126" t="str">
        <f t="shared" si="6"/>
        <v>nmf</v>
      </c>
      <c r="Y20" s="126"/>
      <c r="Z20" s="126" t="str">
        <f t="shared" si="7"/>
        <v>nmf</v>
      </c>
      <c r="AA20" s="126" t="str">
        <f t="shared" si="8"/>
        <v>nmf</v>
      </c>
      <c r="AB20" s="126" t="str">
        <f t="shared" si="9"/>
        <v>nmf</v>
      </c>
      <c r="AD20" s="974">
        <f>_xll.ciqfunctions.udf.CIQ(B20, "IQ_TR_ANN_DATE")</f>
        <v>40788</v>
      </c>
      <c r="AF20" s="466">
        <v>1</v>
      </c>
      <c r="AH20" s="951"/>
    </row>
    <row r="21" spans="1:34" s="117" customFormat="1">
      <c r="A21" s="157"/>
      <c r="B21" s="121" t="s">
        <v>346</v>
      </c>
      <c r="C21" s="122" t="str">
        <f>_xll.ciqfunctions.udf.CIQ(B21, "IQ_TR_BUYERNAME")</f>
        <v>DaVita Inc. (nka:DaVita Inc.)</v>
      </c>
      <c r="D21" s="123" t="str">
        <f>_xll.ciqfunctions.udf.CIQ(B21, "IQ_TR_TARGETNAME")</f>
        <v>ISD Renal, Inc.</v>
      </c>
      <c r="E21" s="976">
        <f>_xll.ciqfunctions.udf.CIQ(B21, "IQ_TR_CLOSED_DATE")</f>
        <v>40788</v>
      </c>
      <c r="F21" s="905">
        <f>_xll.ciqfunctions.udf.CIQ(B21, "IQ_TR_TOTAL_GROSS_TV_FINAL")</f>
        <v>730.76</v>
      </c>
      <c r="G21" s="906"/>
      <c r="H21" s="905">
        <f>IF(_xll.ciqfunctions.udf.CIQ(B21, "IQ_TR_TARGET_TOTAL_REV")=0, "n/a", _xll.ciqfunctions.udf.CIQ(B21, "IQ_TR_TARGET_TOTAL_REV"))</f>
        <v>360</v>
      </c>
      <c r="I21" s="905" t="str">
        <f>IF(_xll.ciqfunctions.udf.CIQ(B21, "IQ_TR_TARGET_EBITDA_EQ_INC")=0,"n/a",_xll.ciqfunctions.udf.CIQ(B21, "IQ_TR_TARGET_EBITDA_EQ_INC"))</f>
        <v>n/a</v>
      </c>
      <c r="J21" s="905" t="str">
        <f>IF(_xll.ciqfunctions.udf.CIQ(B21, "IQ_TR_TARGET_EBIT_EQ_INC")=0,"n/a",_xll.ciqfunctions.udf.CIQ(B21, "IQ_TR_TARGET_EBIT_EQ_INC"))</f>
        <v>n/a</v>
      </c>
      <c r="K21" s="893"/>
      <c r="L21" s="894">
        <f t="shared" si="11"/>
        <v>2.0298888888888889</v>
      </c>
      <c r="M21" s="894" t="str">
        <f t="shared" si="12"/>
        <v>nmf</v>
      </c>
      <c r="N21" s="894" t="str">
        <f t="shared" si="13"/>
        <v>nmf</v>
      </c>
      <c r="O21" s="126"/>
      <c r="P21" s="146">
        <f>_xll.ciqfunctions.udf.CIQ(B21, "IQ_TR_IMPLIED_EV_FINAL")</f>
        <v>730.76</v>
      </c>
      <c r="Q21" s="128"/>
      <c r="R21" s="129">
        <f t="shared" si="1"/>
        <v>2.0298888888888889</v>
      </c>
      <c r="S21" s="126" t="str">
        <f t="shared" si="2"/>
        <v>nmf</v>
      </c>
      <c r="T21" s="126" t="str">
        <f t="shared" si="3"/>
        <v>nmf</v>
      </c>
      <c r="U21" s="126"/>
      <c r="V21" s="126" t="str">
        <f t="shared" si="4"/>
        <v>nmf</v>
      </c>
      <c r="W21" s="126" t="str">
        <f t="shared" si="5"/>
        <v>nmf</v>
      </c>
      <c r="X21" s="126" t="str">
        <f t="shared" si="6"/>
        <v>nmf</v>
      </c>
      <c r="Y21" s="126"/>
      <c r="Z21" s="126" t="str">
        <f t="shared" si="7"/>
        <v>nmf</v>
      </c>
      <c r="AA21" s="126" t="str">
        <f t="shared" si="8"/>
        <v>nmf</v>
      </c>
      <c r="AB21" s="126" t="str">
        <f t="shared" si="9"/>
        <v>nmf</v>
      </c>
      <c r="AD21" s="974">
        <f>_xll.ciqfunctions.udf.CIQ(B21, "IQ_TR_ANN_DATE")</f>
        <v>40578</v>
      </c>
      <c r="AF21" s="466">
        <v>1</v>
      </c>
      <c r="AH21" s="951"/>
    </row>
    <row r="22" spans="1:34" s="117" customFormat="1" ht="38.25">
      <c r="A22" s="95"/>
      <c r="B22" s="121" t="s">
        <v>347</v>
      </c>
      <c r="C22" s="122" t="str">
        <f>_xll.ciqfunctions.udf.CIQ(B22, "IQ_TR_BUYERNAME")</f>
        <v>American Realty Capital Trust, Inc.</v>
      </c>
      <c r="D22" s="123" t="str">
        <f>_xll.ciqfunctions.udf.CIQ(B22, "IQ_TR_TARGETNAME")</f>
        <v>Freestanding, Fee Simple DaVita Dialysis Center And Two Distribution Facilities</v>
      </c>
      <c r="E22" s="976">
        <f>_xll.ciqfunctions.udf.CIQ(B22, "IQ_TR_CLOSED_DATE")</f>
        <v>40661</v>
      </c>
      <c r="F22" s="905">
        <f>_xll.ciqfunctions.udf.CIQ(B22, "IQ_TR_TOTAL_GROSS_TV_FINAL")</f>
        <v>39.183999999999997</v>
      </c>
      <c r="G22" s="906"/>
      <c r="H22" s="905">
        <f>IF(_xll.ciqfunctions.udf.CIQ(B22, "IQ_TR_TARGET_TOTAL_REV")=0, "n/a", _xll.ciqfunctions.udf.CIQ(B22, "IQ_TR_TARGET_TOTAL_REV"))</f>
        <v>3.18</v>
      </c>
      <c r="I22" s="905" t="str">
        <f>IF(_xll.ciqfunctions.udf.CIQ(B22, "IQ_TR_TARGET_EBITDA_EQ_INC")=0,"n/a",_xll.ciqfunctions.udf.CIQ(B22, "IQ_TR_TARGET_EBITDA_EQ_INC"))</f>
        <v>n/a</v>
      </c>
      <c r="J22" s="905" t="str">
        <f>IF(_xll.ciqfunctions.udf.CIQ(B22, "IQ_TR_TARGET_EBIT_EQ_INC")=0,"n/a",_xll.ciqfunctions.udf.CIQ(B22, "IQ_TR_TARGET_EBIT_EQ_INC"))</f>
        <v>n/a</v>
      </c>
      <c r="K22" s="893"/>
      <c r="L22" s="894">
        <f>IFERROR(IF(H22&lt;0,"nmf",$F22/H22),"nmf")</f>
        <v>12.32201257861635</v>
      </c>
      <c r="M22" s="894" t="str">
        <f t="shared" si="12"/>
        <v>nmf</v>
      </c>
      <c r="N22" s="894" t="str">
        <f t="shared" si="13"/>
        <v>nmf</v>
      </c>
      <c r="O22" s="126"/>
      <c r="P22" s="146">
        <f>_xll.ciqfunctions.udf.CIQ(B22, "IQ_TR_IMPLIED_EV_FINAL")</f>
        <v>39.183999999999997</v>
      </c>
      <c r="Q22" s="128"/>
      <c r="R22" s="129" t="str">
        <f t="shared" si="1"/>
        <v>nmf</v>
      </c>
      <c r="S22" s="126" t="str">
        <f t="shared" si="2"/>
        <v>nmf</v>
      </c>
      <c r="T22" s="126" t="str">
        <f t="shared" si="3"/>
        <v>nmf</v>
      </c>
      <c r="U22" s="126"/>
      <c r="V22" s="126" t="str">
        <f t="shared" si="4"/>
        <v>nmf</v>
      </c>
      <c r="W22" s="126" t="str">
        <f t="shared" si="5"/>
        <v>nmf</v>
      </c>
      <c r="X22" s="126" t="str">
        <f t="shared" si="6"/>
        <v>nmf</v>
      </c>
      <c r="Y22" s="126"/>
      <c r="Z22" s="126">
        <f t="shared" si="7"/>
        <v>12.32201257861635</v>
      </c>
      <c r="AA22" s="126" t="str">
        <f t="shared" si="8"/>
        <v>nmf</v>
      </c>
      <c r="AB22" s="126" t="str">
        <f t="shared" si="9"/>
        <v>nmf</v>
      </c>
      <c r="AD22" s="974">
        <f>_xll.ciqfunctions.udf.CIQ(B22, "IQ_TR_ANN_DATE")</f>
        <v>40696</v>
      </c>
      <c r="AF22" s="466">
        <v>3</v>
      </c>
      <c r="AH22" s="951"/>
    </row>
    <row r="23" spans="1:34" s="117" customFormat="1" ht="25.5">
      <c r="A23" s="131"/>
      <c r="B23" s="121" t="s">
        <v>348</v>
      </c>
      <c r="C23" s="122" t="str">
        <f>_xll.ciqfunctions.udf.CIQ(B23, "IQ_TR_BUYERNAME")</f>
        <v>Kindred Healthcare, Inc. (nka:Kindred Healthcare, LLC)</v>
      </c>
      <c r="D23" s="123" t="str">
        <f>_xll.ciqfunctions.udf.CIQ(B23, "IQ_TR_TARGETNAME")</f>
        <v>Vista Healthcare, LLC</v>
      </c>
      <c r="E23" s="976">
        <f>_xll.ciqfunctions.udf.CIQ(B23, "IQ_TR_CLOSED_DATE")</f>
        <v>40483</v>
      </c>
      <c r="F23" s="905">
        <f>_xll.ciqfunctions.udf.CIQ(B23, "IQ_TR_TOTAL_GROSS_TV_FINAL")</f>
        <v>178</v>
      </c>
      <c r="G23" s="906"/>
      <c r="H23" s="905">
        <f>IF(_xll.ciqfunctions.udf.CIQ(B23, "IQ_TR_TARGET_TOTAL_REV")=0, "n/a", _xll.ciqfunctions.udf.CIQ(B23, "IQ_TR_TARGET_TOTAL_REV"))</f>
        <v>150</v>
      </c>
      <c r="I23" s="905">
        <f>IF(_xll.ciqfunctions.udf.CIQ(B23, "IQ_TR_TARGET_EBITDA_EQ_INC")=0,"n/a",_xll.ciqfunctions.udf.CIQ(B23, "IQ_TR_TARGET_EBITDA_EQ_INC"))</f>
        <v>27</v>
      </c>
      <c r="J23" s="905" t="str">
        <f>IF(_xll.ciqfunctions.udf.CIQ(B23, "IQ_TR_TARGET_EBIT_EQ_INC")=0,"n/a",_xll.ciqfunctions.udf.CIQ(B23, "IQ_TR_TARGET_EBIT_EQ_INC"))</f>
        <v>n/a</v>
      </c>
      <c r="K23" s="893"/>
      <c r="L23" s="894">
        <f>IFERROR(IF(H23&lt;0,"nmf",$F23/H23),"nmf")</f>
        <v>1.1866666666666668</v>
      </c>
      <c r="M23" s="894">
        <f t="shared" si="12"/>
        <v>6.5925925925925926</v>
      </c>
      <c r="N23" s="894" t="str">
        <f t="shared" si="13"/>
        <v>nmf</v>
      </c>
      <c r="O23" s="126"/>
      <c r="P23" s="934">
        <f>_xll.ciqfunctions.udf.CIQ(B23, "IQ_TR_IMPLIED_EV_FINAL")</f>
        <v>178</v>
      </c>
      <c r="Q23" s="128"/>
      <c r="R23" s="129" t="str">
        <f t="shared" si="1"/>
        <v>nmf</v>
      </c>
      <c r="S23" s="126" t="str">
        <f t="shared" si="2"/>
        <v>nmf</v>
      </c>
      <c r="T23" s="126" t="str">
        <f t="shared" si="3"/>
        <v>nmf</v>
      </c>
      <c r="U23" s="126"/>
      <c r="V23" s="126">
        <f t="shared" si="4"/>
        <v>1.1866666666666668</v>
      </c>
      <c r="W23" s="126">
        <f t="shared" si="5"/>
        <v>6.5925925925925926</v>
      </c>
      <c r="X23" s="126" t="str">
        <f t="shared" si="6"/>
        <v>nmf</v>
      </c>
      <c r="Y23" s="126"/>
      <c r="Z23" s="126" t="str">
        <f t="shared" si="7"/>
        <v>nmf</v>
      </c>
      <c r="AA23" s="126" t="str">
        <f t="shared" si="8"/>
        <v>nmf</v>
      </c>
      <c r="AB23" s="126" t="str">
        <f t="shared" si="9"/>
        <v>nmf</v>
      </c>
      <c r="AD23" s="974">
        <f>_xll.ciqfunctions.udf.CIQ(B23, "IQ_TR_ANN_DATE")</f>
        <v>40414</v>
      </c>
      <c r="AF23" s="466">
        <v>2</v>
      </c>
      <c r="AH23" s="951"/>
    </row>
    <row r="24" spans="1:34" s="117" customFormat="1" ht="25.5">
      <c r="A24" s="131"/>
      <c r="B24" s="121" t="s">
        <v>349</v>
      </c>
      <c r="C24" s="122" t="str">
        <f>_xll.ciqfunctions.udf.CIQ(B24, "IQ_TR_BUYERNAME")</f>
        <v>U.S. Renal Care, Inc.</v>
      </c>
      <c r="D24" s="123" t="str">
        <f>_xll.ciqfunctions.udf.CIQ(B24, "IQ_TR_TARGETNAME")</f>
        <v>Dialysis Corporation of America, Inc.</v>
      </c>
      <c r="E24" s="976">
        <f>_xll.ciqfunctions.udf.CIQ(B24, "IQ_TR_CLOSED_DATE")</f>
        <v>40330</v>
      </c>
      <c r="F24" s="905">
        <f>_xll.ciqfunctions.udf.CIQ(B24, "IQ_TR_TOTAL_GROSS_TV_FINAL")</f>
        <v>124.03463000000001</v>
      </c>
      <c r="G24" s="906"/>
      <c r="H24" s="905">
        <f>IF(_xll.ciqfunctions.udf.CIQ(B24, "IQ_TR_TARGET_TOTAL_REV")=0, "n/a", _xll.ciqfunctions.udf.CIQ(B24, "IQ_TR_TARGET_TOTAL_REV"))</f>
        <v>96.77</v>
      </c>
      <c r="I24" s="905">
        <f>IF(_xll.ciqfunctions.udf.CIQ(B24, "IQ_TR_TARGET_EBITDA_EQ_INC")=0,"n/a",_xll.ciqfunctions.udf.CIQ(B24, "IQ_TR_TARGET_EBITDA_EQ_INC"))</f>
        <v>9.6029999999999998</v>
      </c>
      <c r="J24" s="905">
        <f>IF(_xll.ciqfunctions.udf.CIQ(B24, "IQ_TR_TARGET_EBIT_EQ_INC")=0,"n/a",_xll.ciqfunctions.udf.CIQ(B24, "IQ_TR_TARGET_EBIT_EQ_INC"))</f>
        <v>6.532</v>
      </c>
      <c r="K24" s="893"/>
      <c r="L24" s="894">
        <f>IFERROR(IF(H24&lt;0,"nmf",$F24/H24),"nmf")</f>
        <v>1.2817467190244911</v>
      </c>
      <c r="M24" s="894">
        <f t="shared" si="12"/>
        <v>12.916237634072687</v>
      </c>
      <c r="N24" s="894">
        <f t="shared" si="13"/>
        <v>18.988767605633804</v>
      </c>
      <c r="O24" s="126"/>
      <c r="P24" s="146">
        <f>_xll.ciqfunctions.udf.CIQ(B24, "IQ_TR_IMPLIED_EV_FINAL")</f>
        <v>121.07263</v>
      </c>
      <c r="Q24" s="128"/>
      <c r="R24" s="129">
        <f t="shared" si="1"/>
        <v>1.2817467190244911</v>
      </c>
      <c r="S24" s="126">
        <f t="shared" si="2"/>
        <v>12.916237634072687</v>
      </c>
      <c r="T24" s="126">
        <f t="shared" si="3"/>
        <v>18.988767605633804</v>
      </c>
      <c r="U24" s="126"/>
      <c r="V24" s="126" t="str">
        <f t="shared" si="4"/>
        <v>nmf</v>
      </c>
      <c r="W24" s="126" t="str">
        <f t="shared" si="5"/>
        <v>nmf</v>
      </c>
      <c r="X24" s="126" t="str">
        <f t="shared" si="6"/>
        <v>nmf</v>
      </c>
      <c r="Y24" s="126"/>
      <c r="Z24" s="126" t="str">
        <f t="shared" si="7"/>
        <v>nmf</v>
      </c>
      <c r="AA24" s="126" t="str">
        <f t="shared" si="8"/>
        <v>nmf</v>
      </c>
      <c r="AB24" s="126" t="str">
        <f t="shared" si="9"/>
        <v>nmf</v>
      </c>
      <c r="AD24" s="974">
        <f>_xll.ciqfunctions.udf.CIQ(B24, "IQ_TR_ANN_DATE")</f>
        <v>40282</v>
      </c>
      <c r="AF24" s="466">
        <v>1</v>
      </c>
    </row>
    <row r="25" spans="1:34" s="117" customFormat="1">
      <c r="A25" s="131"/>
      <c r="B25" s="130"/>
      <c r="C25" s="131"/>
      <c r="D25" s="131"/>
      <c r="E25" s="132"/>
      <c r="F25" s="907"/>
      <c r="G25" s="907"/>
      <c r="H25" s="907"/>
      <c r="I25" s="907"/>
      <c r="J25" s="907"/>
      <c r="K25" s="896"/>
      <c r="L25" s="894"/>
      <c r="M25" s="894"/>
      <c r="N25" s="894"/>
      <c r="O25" s="133"/>
      <c r="P25" s="132"/>
      <c r="Q25" s="132"/>
      <c r="R25" s="132"/>
      <c r="S25" s="132"/>
    </row>
    <row r="26" spans="1:34" s="117" customFormat="1">
      <c r="A26" s="131"/>
      <c r="B26" s="134"/>
      <c r="C26" s="726" t="s">
        <v>81</v>
      </c>
      <c r="D26" s="727"/>
      <c r="E26" s="728"/>
      <c r="F26" s="908" t="str">
        <f>IF(IF(ISERROR(MIN(F9:F24)),"n/a",MIN(F9:F24))&lt;=0,"n/a",MIN(F9:F24))</f>
        <v>n/a</v>
      </c>
      <c r="G26" s="908"/>
      <c r="H26" s="908">
        <f>IF(IF(ISERROR(MIN(H9:H24)),"n/a",MIN(H9:H24))&lt;=0,"n/a",MIN(H9:H24))</f>
        <v>0.35</v>
      </c>
      <c r="I26" s="908">
        <f>IF(IF(ISERROR(MIN(I9:I24)),"n/a",MIN(I9:I24))&lt;=0,"n/a",MIN(I9:I24))</f>
        <v>4.5706300000000004</v>
      </c>
      <c r="J26" s="908">
        <f>IF(IF(ISERROR(MIN(J9:J24)),"n/a",MIN(J9:J24))&lt;=0,"n/a",MIN(J9:J24))</f>
        <v>3.8749500000000001</v>
      </c>
      <c r="K26" s="897"/>
      <c r="L26" s="898">
        <f>IF(IF(ISERROR(MIN(L9:L24)),"n/a",MIN(L9:L24))&lt;=0,"n/a",MIN(L9:L24))</f>
        <v>0.23822341857335128</v>
      </c>
      <c r="M26" s="898">
        <f>IF(IF(ISERROR(MIN(M9:M24)),"n/a",MIN(M9:M24))&lt;=0,"n/a",MIN(M9:M24))</f>
        <v>6.5925925925925926</v>
      </c>
      <c r="N26" s="899">
        <f>IF(IF(ISERROR(MIN(N9:N24)),"n/a",MIN(N9:N24))&lt;=0,"n/a",MIN(N9:N24))</f>
        <v>15.35319681544278</v>
      </c>
      <c r="O26" s="142"/>
      <c r="P26" s="142" t="str">
        <f>IF(IF(ISERROR(MIN(P11:P24)),"n/a",MIN(P11:P24))&lt;=0,"n/a",MIN(P11:P24))</f>
        <v>n/a</v>
      </c>
      <c r="Q26" s="138"/>
      <c r="R26" s="139">
        <f>IF(IF(ISERROR(MIN(R11:R24)),"n/a",MIN(R11:R24))&lt;=0,"n/a",MIN(R11:R24))</f>
        <v>1.1003627569528416</v>
      </c>
      <c r="S26" s="136">
        <f>IF(IF(ISERROR(MIN(S11:S24)),"n/a",MIN(S11:S24))&lt;=0,"n/a",MIN(S11:S24))</f>
        <v>12.916237634072687</v>
      </c>
      <c r="T26" s="137">
        <f>IF(IF(ISERROR(MIN(T11:T24)),"n/a",MIN(T11:T24))&lt;=0,"n/a",MIN(T11:T24))</f>
        <v>18.988767605633804</v>
      </c>
      <c r="V26" s="139">
        <f>IF(IF(ISERROR(MIN(V11:V24)),"n/a",MIN(V11:V24))&lt;=0,"n/a",MIN(V11:V24))</f>
        <v>1.1866666666666668</v>
      </c>
      <c r="W26" s="136">
        <f>IF(IF(ISERROR(MIN(W11:W24)),"n/a",MIN(W11:W24))&lt;=0,"n/a",MIN(W11:W24))</f>
        <v>6.5925925925925926</v>
      </c>
      <c r="X26" s="137" t="str">
        <f>IF(IF(ISERROR(MIN(X11:X24)),"n/a",MIN(X11:X24))&lt;=0,"n/a",MIN(X11:X24))</f>
        <v>n/a</v>
      </c>
      <c r="Z26" s="139">
        <f>IF(IF(ISERROR(MIN(Z11:Z24)),"n/a",MIN(Z11:Z24))&lt;=0,"n/a",MIN(Z11:Z24))</f>
        <v>0.23822341857335128</v>
      </c>
      <c r="AA26" s="136">
        <f>IF(IF(ISERROR(MIN(AA11:AA24)),"n/a",MIN(AA11:AA24))&lt;=0,"n/a",MIN(AA11:AA24))</f>
        <v>13.016339104237272</v>
      </c>
      <c r="AB26" s="137">
        <f>IF(IF(ISERROR(MIN(AB11:AB24)),"n/a",MIN(AB11:AB24))&lt;=0,"n/a",MIN(AB11:AB24))</f>
        <v>15.35319681544278</v>
      </c>
    </row>
    <row r="27" spans="1:34" s="117" customFormat="1">
      <c r="A27" s="131"/>
      <c r="B27" s="140"/>
      <c r="C27" s="729" t="s">
        <v>82</v>
      </c>
      <c r="D27" s="141"/>
      <c r="E27" s="142"/>
      <c r="F27" s="909">
        <f>IF(IF(ISERROR(MAX(F9:F24)),"n/a",MAX(F9:F24))&lt;=0,"n/a",MAX(F9:F24))</f>
        <v>1692.645</v>
      </c>
      <c r="G27" s="909"/>
      <c r="H27" s="909">
        <f>IF(IF(ISERROR(MAX(H9:H24)),"n/a",MAX(H9:H24))&lt;=0,"n/a",MAX(H9:H24))</f>
        <v>1000</v>
      </c>
      <c r="I27" s="909">
        <f>IF(IF(ISERROR(MAX(I9:I24)),"n/a",MAX(I9:I24))&lt;=0,"n/a",MAX(I9:I24))</f>
        <v>27</v>
      </c>
      <c r="J27" s="909">
        <f>IF(IF(ISERROR(MAX(J9:J24)),"n/a",MAX(J9:J24))&lt;=0,"n/a",MAX(J9:J24))</f>
        <v>6.532</v>
      </c>
      <c r="K27" s="900"/>
      <c r="L27" s="894">
        <f>IF(IF(ISERROR(MAX(L9:L24)),"n/a",MAX(L9:L24))&lt;=0,"n/a",MAX(L9:L24))</f>
        <v>13.257142857142856</v>
      </c>
      <c r="M27" s="894">
        <f>IF(IF(ISERROR(MAX(M9:M24)),"n/a",MAX(M9:M24))&lt;=0,"n/a",MAX(M9:M24))</f>
        <v>13.016339104237272</v>
      </c>
      <c r="N27" s="901">
        <f>IF(IF(ISERROR(MAX(N9:N24)),"n/a",MAX(N9:N24))&lt;=0,"n/a",MAX(N9:N24))</f>
        <v>18.988767605633804</v>
      </c>
      <c r="O27" s="142"/>
      <c r="P27" s="142">
        <f>IF(IF(ISERROR(MAX(P11:P24)),"n/a",MAX(P11:P24))&lt;=0,"n/a",MAX(P11:P24))</f>
        <v>1692.645</v>
      </c>
      <c r="Q27" s="138"/>
      <c r="R27" s="147">
        <f>IF(IF(ISERROR(MAX(R11:R24)),"n/a",MAX(R11:R24))&lt;=0,"n/a",MAX(R11:R24))</f>
        <v>2.0298888888888889</v>
      </c>
      <c r="S27" s="144">
        <f>IF(IF(ISERROR(MAX(S11:S24)),"n/a",MAX(S11:S24))&lt;=0,"n/a",MAX(S11:S24))</f>
        <v>12.916237634072687</v>
      </c>
      <c r="T27" s="145">
        <f>IF(IF(ISERROR(MAX(T11:T24)),"n/a",MAX(T11:T24))&lt;=0,"n/a",MAX(T11:T24))</f>
        <v>18.988767605633804</v>
      </c>
      <c r="V27" s="147">
        <f>IF(IF(ISERROR(MAX(V11:V24)),"n/a",MAX(V11:V24))&lt;=0,"n/a",MAX(V11:V24))</f>
        <v>1.1866666666666668</v>
      </c>
      <c r="W27" s="144">
        <f>IF(IF(ISERROR(MAX(W11:W24)),"n/a",MAX(W11:W24))&lt;=0,"n/a",MAX(W11:W24))</f>
        <v>6.5925925925925926</v>
      </c>
      <c r="X27" s="145" t="str">
        <f>IF(IF(ISERROR(MAX(X11:X24)),"n/a",MAX(X11:X24))&lt;=0,"n/a",MAX(X11:X24))</f>
        <v>n/a</v>
      </c>
      <c r="Z27" s="147">
        <f>IF(IF(ISERROR(MAX(Z11:Z24)),"n/a",MAX(Z11:Z24))&lt;=0,"n/a",MAX(Z11:Z24))</f>
        <v>13.257142857142856</v>
      </c>
      <c r="AA27" s="144">
        <f>IF(IF(ISERROR(MAX(AA11:AA24)),"n/a",MAX(AA11:AA24))&lt;=0,"n/a",MAX(AA11:AA24))</f>
        <v>13.016339104237272</v>
      </c>
      <c r="AB27" s="145">
        <f>IF(IF(ISERROR(MAX(AB11:AB24)),"n/a",MAX(AB11:AB24))&lt;=0,"n/a",MAX(AB11:AB24))</f>
        <v>15.35319681544278</v>
      </c>
    </row>
    <row r="28" spans="1:34" s="117" customFormat="1">
      <c r="A28" s="131"/>
      <c r="B28" s="140"/>
      <c r="C28" s="140" t="s">
        <v>83</v>
      </c>
      <c r="D28" s="141"/>
      <c r="E28" s="142"/>
      <c r="F28" s="909">
        <f>IF(ISERROR(MEDIAN(F9:F24)),"n/a",MEDIAN(F9:F24))</f>
        <v>49.338435000000004</v>
      </c>
      <c r="G28" s="909"/>
      <c r="H28" s="909">
        <f>IF(ISERROR(MEDIAN(H9:H24)),"n/a",MEDIAN(H9:H24))</f>
        <v>78.879670000000004</v>
      </c>
      <c r="I28" s="909">
        <f>IF(ISERROR(MEDIAN(I9:I24)),"n/a",MEDIAN(I9:I24))</f>
        <v>9.6029999999999998</v>
      </c>
      <c r="J28" s="909">
        <f>IF(ISERROR(MEDIAN(J9:J24)),"n/a",MEDIAN(J9:J24))</f>
        <v>5.2034750000000001</v>
      </c>
      <c r="K28" s="900"/>
      <c r="L28" s="894">
        <f>IF(ISERROR(MEDIAN(L9:L24)),"n/a",MEDIAN(L9:L24))</f>
        <v>1.4871958595122456</v>
      </c>
      <c r="M28" s="894">
        <f>IF(ISERROR(MEDIAN(M9:M24)),"n/a",MEDIAN(M9:M24))</f>
        <v>12.916237634072687</v>
      </c>
      <c r="N28" s="901">
        <f>IF(ISERROR(MEDIAN(N9:N24)),"n/a",MEDIAN(N9:N24))</f>
        <v>17.170982210538291</v>
      </c>
      <c r="O28" s="142"/>
      <c r="P28" s="142">
        <f>IF(ISERROR(MEDIAN(P11:P24)),"n/a",MEDIAN(P11:P24))</f>
        <v>66.520404999999997</v>
      </c>
      <c r="Q28" s="138"/>
      <c r="R28" s="148">
        <f>IF(ISERROR(MEDIAN(R11:R24)),"n/a",MEDIAN(R11:R24))</f>
        <v>1.4871958595122456</v>
      </c>
      <c r="S28" s="149">
        <f>IF(ISERROR(MEDIAN(S11:S24)),"n/a",MEDIAN(S11:S24))</f>
        <v>12.916237634072687</v>
      </c>
      <c r="T28" s="150">
        <f>IF(ISERROR(MEDIAN(T11:T24)),"n/a",MEDIAN(T11:T24))</f>
        <v>18.988767605633804</v>
      </c>
      <c r="V28" s="147">
        <f>IF(ISERROR(MEDIAN(V11:V24)),"n/a",MEDIAN(V11:V24))</f>
        <v>1.1866666666666668</v>
      </c>
      <c r="W28" s="144">
        <f>IF(ISERROR(MEDIAN(W11:W24)),"n/a",MEDIAN(W11:W24))</f>
        <v>6.5925925925925926</v>
      </c>
      <c r="X28" s="145" t="str">
        <f>IF(ISERROR(MEDIAN(X11:X24)),"n/a",MEDIAN(X11:X24))</f>
        <v>n/a</v>
      </c>
      <c r="Z28" s="147">
        <f>IF(ISERROR(MEDIAN(Z11:Z24)),"n/a",MEDIAN(Z11:Z24))</f>
        <v>2.75</v>
      </c>
      <c r="AA28" s="144">
        <f>IF(ISERROR(MEDIAN(AA11:AA24)),"n/a",MEDIAN(AA11:AA24))</f>
        <v>13.016339104237272</v>
      </c>
      <c r="AB28" s="145">
        <f>IF(ISERROR(MEDIAN(AB11:AB24)),"n/a",MEDIAN(AB11:AB24))</f>
        <v>15.35319681544278</v>
      </c>
    </row>
    <row r="29" spans="1:34" s="117" customFormat="1">
      <c r="A29" s="131"/>
      <c r="B29" s="140"/>
      <c r="C29" s="140" t="s">
        <v>84</v>
      </c>
      <c r="D29" s="141"/>
      <c r="E29" s="142"/>
      <c r="F29" s="909">
        <f>IF(ISERROR(AVERAGE(F9:F24)),"n/a",AVERAGE(F9:F24))</f>
        <v>247.34728125000004</v>
      </c>
      <c r="G29" s="909"/>
      <c r="H29" s="909">
        <f>IF(ISERROR(AVERAGE(H9:H24)),"n/a",AVERAGE(H9:H24))</f>
        <v>184.435934</v>
      </c>
      <c r="I29" s="909">
        <f>IF(ISERROR(AVERAGE(I9:I24)),"n/a",AVERAGE(I9:I24))</f>
        <v>13.724543333333335</v>
      </c>
      <c r="J29" s="909">
        <f>IF(ISERROR(AVERAGE(J9:J24)),"n/a",AVERAGE(J9:J24))</f>
        <v>5.2034750000000001</v>
      </c>
      <c r="K29" s="900"/>
      <c r="L29" s="894">
        <f>IF(ISERROR(AVERAGE(L9:L24)),"n/a",AVERAGE(L9:L24))</f>
        <v>3.6651300038588075</v>
      </c>
      <c r="M29" s="894">
        <f>IF(ISERROR(AVERAGE(M9:M24)),"n/a",AVERAGE(M9:M24))</f>
        <v>10.841723110300849</v>
      </c>
      <c r="N29" s="901">
        <f>IF(ISERROR(AVERAGE(N9:N24)),"n/a",AVERAGE(N9:N24))</f>
        <v>17.170982210538291</v>
      </c>
      <c r="O29" s="142"/>
      <c r="P29" s="142">
        <f>IF(ISERROR(AVERAGE(P11:P24)),"n/a",AVERAGE(P11:P24))</f>
        <v>281.03874571428577</v>
      </c>
      <c r="Q29" s="138"/>
      <c r="R29" s="147">
        <f>IF(ISERROR(AVERAGE(R11:R24)),"n/a",AVERAGE(R11:R24))</f>
        <v>1.5261608412165555</v>
      </c>
      <c r="S29" s="144">
        <f>IF(ISERROR(AVERAGE(S11:S24)),"n/a",AVERAGE(S11:S24))</f>
        <v>12.916237634072687</v>
      </c>
      <c r="T29" s="145">
        <f>IF(ISERROR(AVERAGE(T11:T24)),"n/a",AVERAGE(T11:T24))</f>
        <v>18.988767605633804</v>
      </c>
      <c r="V29" s="147">
        <f>IF(ISERROR(AVERAGE(V11:V24)),"n/a",AVERAGE(V11:V24))</f>
        <v>1.1866666666666668</v>
      </c>
      <c r="W29" s="144">
        <f>IF(ISERROR(AVERAGE(W11:W24)),"n/a",AVERAGE(W11:W24))</f>
        <v>6.5925925925925926</v>
      </c>
      <c r="X29" s="145" t="str">
        <f>IF(ISERROR(AVERAGE(X11:X24)),"n/a",AVERAGE(X11:X24))</f>
        <v>n/a</v>
      </c>
      <c r="Z29" s="147">
        <f>IF(ISERROR(AVERAGE(Z11:Z24)),"n/a",AVERAGE(Z11:Z24))</f>
        <v>5.871998001411038</v>
      </c>
      <c r="AA29" s="144">
        <f>IF(ISERROR(AVERAGE(AA11:AA24)),"n/a",AVERAGE(AA11:AA24))</f>
        <v>13.016339104237272</v>
      </c>
      <c r="AB29" s="145">
        <f>IF(ISERROR(AVERAGE(AB11:AB24)),"n/a",AVERAGE(AB11:AB24))</f>
        <v>15.35319681544278</v>
      </c>
    </row>
    <row r="30" spans="1:34" s="117" customFormat="1">
      <c r="A30" s="131"/>
      <c r="B30" s="140"/>
      <c r="C30" s="140" t="s">
        <v>364</v>
      </c>
      <c r="D30" s="141"/>
      <c r="E30" s="142"/>
      <c r="F30" s="909">
        <f>IFERROR(QUARTILE(F9:F24,3),"n/a")</f>
        <v>223.5</v>
      </c>
      <c r="G30" s="909"/>
      <c r="H30" s="909">
        <f>IFERROR(QUARTILE(H9:H24,3),"n/a")</f>
        <v>136.6925</v>
      </c>
      <c r="I30" s="909">
        <f>IFERROR(QUARTILE(I9:I24,3),"n/a")</f>
        <v>18.301499999999997</v>
      </c>
      <c r="J30" s="909">
        <f>IFERROR(QUARTILE(J9:J24,3),"n/a")</f>
        <v>5.8677375000000005</v>
      </c>
      <c r="K30" s="900"/>
      <c r="L30" s="894">
        <f>IFERROR(QUARTILE(L9:L24,3),"n/a")</f>
        <v>2.5699722222222223</v>
      </c>
      <c r="M30" s="894">
        <f>IFERROR(QUARTILE(M9:M24,3),"n/a")</f>
        <v>12.966288369154979</v>
      </c>
      <c r="N30" s="901">
        <f>IFERROR(QUARTILE(N9:N24,3),"n/a")</f>
        <v>18.079874908086047</v>
      </c>
      <c r="O30" s="142"/>
      <c r="P30" s="142">
        <f>IFERROR(QUARTILE(P11:P24,3),"n/a")</f>
        <v>314.5</v>
      </c>
      <c r="Q30" s="138"/>
      <c r="R30" s="147">
        <f>IFERROR(QUARTILE(R11:R24,3),"n/a")</f>
        <v>1.7769559722222221</v>
      </c>
      <c r="S30" s="144">
        <f>IFERROR(QUARTILE(S11:S24,3),"n/a")</f>
        <v>12.916237634072687</v>
      </c>
      <c r="T30" s="145">
        <f>IFERROR(QUARTILE(T11:T24,3),"n/a")</f>
        <v>18.988767605633804</v>
      </c>
      <c r="V30" s="147">
        <f>IFERROR(QUARTILE(V11:V24,3),"n/a")</f>
        <v>1.1866666666666668</v>
      </c>
      <c r="W30" s="144">
        <f>IFERROR(QUARTILE(W11:W24,3),"n/a")</f>
        <v>6.5925925925925926</v>
      </c>
      <c r="X30" s="145" t="str">
        <f>IFERROR(QUARTILE(X11:X24,3),"n/a")</f>
        <v>n/a</v>
      </c>
      <c r="Z30" s="147">
        <f>IFERROR(QUARTILE(Z11:Z24,3),"n/a")</f>
        <v>12.32201257861635</v>
      </c>
      <c r="AA30" s="144">
        <f>IFERROR(QUARTILE(AA11:AA24,3),"n/a")</f>
        <v>13.016339104237272</v>
      </c>
      <c r="AB30" s="145">
        <f>IFERROR(QUARTILE(AB11:AB24,3),"n/a")</f>
        <v>15.35319681544278</v>
      </c>
    </row>
    <row r="31" spans="1:34" s="117" customFormat="1">
      <c r="A31" s="131"/>
      <c r="B31" s="530"/>
      <c r="C31" s="730" t="s">
        <v>337</v>
      </c>
      <c r="D31" s="731"/>
      <c r="E31" s="731"/>
      <c r="F31" s="910">
        <f>IFERROR(QUARTILE(F9:F24,1),"n/a")</f>
        <v>5.2850000000000001</v>
      </c>
      <c r="G31" s="910"/>
      <c r="H31" s="910">
        <f>IFERROR(QUARTILE(H9:H24,1),"n/a")</f>
        <v>20.959999999999997</v>
      </c>
      <c r="I31" s="910">
        <f>IFERROR(QUARTILE(I9:I24,1),"n/a")</f>
        <v>7.0868149999999996</v>
      </c>
      <c r="J31" s="910">
        <f>IFERROR(QUARTILE(J9:J24,1),"n/a")</f>
        <v>4.5392124999999997</v>
      </c>
      <c r="K31" s="902"/>
      <c r="L31" s="903">
        <f>IFERROR(QUARTILE(L9:L24,1),"n/a")</f>
        <v>1.1219387343812979</v>
      </c>
      <c r="M31" s="903">
        <f>IFERROR(QUARTILE(M9:M24,1),"n/a")</f>
        <v>9.7544151133326391</v>
      </c>
      <c r="N31" s="904">
        <f>IFERROR(QUARTILE(N9:N24,1),"n/a")</f>
        <v>16.262089512990535</v>
      </c>
      <c r="O31" s="156"/>
      <c r="P31" s="142">
        <f>IFERROR(QUARTILE(P11:P24,1),"n/a")</f>
        <v>13.425000000000001</v>
      </c>
      <c r="Q31" s="116"/>
      <c r="R31" s="531">
        <f>IFERROR(QUARTILE(R11:R24,1),"n/a")</f>
        <v>1.2364007285065788</v>
      </c>
      <c r="S31" s="468">
        <f>IFERROR(QUARTILE(S11:S24,1),"n/a")</f>
        <v>12.916237634072687</v>
      </c>
      <c r="T31" s="469">
        <f>IFERROR(QUARTILE(T11:T24,1),"n/a")</f>
        <v>18.988767605633804</v>
      </c>
      <c r="V31" s="153">
        <f>IFERROR(QUARTILE(V11:V24,1),"n/a")</f>
        <v>1.1866666666666668</v>
      </c>
      <c r="W31" s="154">
        <f>IFERROR(QUARTILE(W11:W24,1),"n/a")</f>
        <v>6.5925925925925926</v>
      </c>
      <c r="X31" s="152" t="str">
        <f>IFERROR(QUARTILE(X11:X24,1),"n/a")</f>
        <v>n/a</v>
      </c>
      <c r="Z31" s="153">
        <f>IFERROR(QUARTILE(Z11:Z24,1),"n/a")</f>
        <v>0.79261115272263249</v>
      </c>
      <c r="AA31" s="154">
        <f>IFERROR(QUARTILE(AA11:AA24,1),"n/a")</f>
        <v>13.016339104237272</v>
      </c>
      <c r="AB31" s="152">
        <f>IFERROR(QUARTILE(AB11:AB24,1),"n/a")</f>
        <v>15.35319681544278</v>
      </c>
    </row>
    <row r="32" spans="1:34" s="117" customFormat="1">
      <c r="A32" s="131"/>
      <c r="B32" s="131"/>
      <c r="C32" s="131"/>
      <c r="D32" s="131"/>
      <c r="E32" s="132"/>
      <c r="F32" s="772"/>
      <c r="G32" s="772"/>
      <c r="H32" s="772"/>
      <c r="I32" s="772"/>
      <c r="J32" s="772"/>
      <c r="K32" s="118"/>
      <c r="L32" s="165"/>
      <c r="M32" s="165"/>
      <c r="N32" s="165"/>
      <c r="O32" s="165"/>
      <c r="P32" s="132"/>
      <c r="Q32" s="132"/>
      <c r="R32" s="132"/>
      <c r="S32" s="132"/>
    </row>
    <row r="33" spans="1:20" s="117" customFormat="1">
      <c r="A33" s="166"/>
      <c r="B33" s="166"/>
      <c r="C33" s="166"/>
      <c r="D33" s="166"/>
      <c r="E33" s="166"/>
      <c r="F33" s="166"/>
      <c r="G33" s="166"/>
      <c r="H33" s="166"/>
      <c r="I33" s="166"/>
      <c r="J33" s="166"/>
      <c r="K33" s="118"/>
      <c r="L33" s="167"/>
      <c r="M33" s="167"/>
      <c r="N33" s="167"/>
      <c r="O33" s="167"/>
      <c r="P33" s="166"/>
      <c r="Q33" s="166"/>
      <c r="R33" s="166"/>
      <c r="S33" s="166"/>
    </row>
    <row r="34" spans="1:20" s="117" customFormat="1">
      <c r="A34" s="166"/>
      <c r="B34" s="166"/>
      <c r="C34" s="166"/>
      <c r="D34" s="166"/>
      <c r="E34" s="166"/>
      <c r="F34" s="166"/>
      <c r="G34" s="166"/>
      <c r="H34" s="166"/>
      <c r="I34" s="166"/>
      <c r="J34" s="166"/>
      <c r="K34" s="118"/>
      <c r="L34" s="167"/>
      <c r="M34" s="167"/>
      <c r="N34" s="167"/>
      <c r="O34" s="167"/>
      <c r="P34" s="166"/>
      <c r="Q34" s="166"/>
      <c r="R34" s="166"/>
      <c r="S34" s="166"/>
    </row>
    <row r="35" spans="1:20" s="117" customFormat="1">
      <c r="A35" s="166"/>
      <c r="B35" s="166"/>
      <c r="C35" s="166"/>
      <c r="D35" s="166"/>
      <c r="E35" s="166"/>
      <c r="F35" s="166"/>
      <c r="G35" s="166"/>
      <c r="H35" s="166"/>
      <c r="I35" s="166"/>
      <c r="J35" s="166"/>
      <c r="K35" s="118"/>
      <c r="L35" s="167"/>
      <c r="M35" s="167"/>
      <c r="N35" s="167"/>
      <c r="O35" s="167"/>
      <c r="P35" s="166"/>
      <c r="Q35" s="166"/>
      <c r="R35" s="166"/>
      <c r="S35" s="166"/>
    </row>
    <row r="36" spans="1:20" s="117" customFormat="1">
      <c r="A36" s="166"/>
      <c r="B36" s="166"/>
      <c r="C36" s="166"/>
      <c r="D36" s="166"/>
      <c r="E36" s="166"/>
      <c r="F36" s="166"/>
      <c r="G36" s="166"/>
      <c r="H36" s="166"/>
      <c r="I36" s="166"/>
      <c r="J36" s="166"/>
      <c r="K36" s="118"/>
      <c r="L36" s="167"/>
      <c r="M36" s="167"/>
      <c r="N36" s="167"/>
      <c r="O36" s="167"/>
      <c r="P36" s="166"/>
      <c r="Q36" s="166"/>
      <c r="R36" s="166"/>
      <c r="S36" s="166"/>
    </row>
    <row r="37" spans="1:20" s="117" customFormat="1">
      <c r="A37" s="166"/>
      <c r="B37" s="166"/>
      <c r="C37" s="166"/>
      <c r="D37" s="166"/>
      <c r="E37" s="166"/>
      <c r="F37" s="166"/>
      <c r="G37" s="166"/>
      <c r="H37" s="166"/>
      <c r="I37" s="166"/>
      <c r="J37" s="166"/>
      <c r="K37" s="118"/>
      <c r="L37" s="167"/>
      <c r="M37" s="167"/>
      <c r="N37" s="167"/>
      <c r="O37" s="167"/>
      <c r="P37" s="166"/>
      <c r="Q37" s="166"/>
      <c r="R37" s="166"/>
      <c r="S37" s="166"/>
    </row>
    <row r="38" spans="1:20" s="168" customFormat="1">
      <c r="K38" s="169"/>
    </row>
    <row r="39" spans="1:20" s="168" customFormat="1">
      <c r="A39" s="170"/>
      <c r="B39" s="170"/>
      <c r="C39" s="170"/>
      <c r="D39" s="170"/>
      <c r="E39" s="170"/>
      <c r="F39" s="170"/>
      <c r="G39" s="170"/>
      <c r="H39" s="170"/>
      <c r="I39" s="170"/>
      <c r="J39" s="170"/>
      <c r="K39" s="169"/>
      <c r="L39" s="171"/>
      <c r="M39" s="171"/>
      <c r="N39" s="171"/>
      <c r="O39" s="171"/>
      <c r="P39" s="170"/>
      <c r="Q39" s="170"/>
      <c r="R39" s="170"/>
      <c r="S39" s="170"/>
    </row>
    <row r="40" spans="1:20" s="168" customFormat="1">
      <c r="A40" s="170"/>
      <c r="B40" s="170"/>
      <c r="C40" s="170"/>
      <c r="D40" s="170"/>
      <c r="E40" s="170"/>
      <c r="F40" s="170"/>
      <c r="G40" s="170"/>
      <c r="H40" s="170"/>
      <c r="I40" s="170"/>
      <c r="J40" s="170"/>
      <c r="K40" s="169"/>
      <c r="L40" s="171"/>
      <c r="M40" s="171"/>
      <c r="N40" s="171"/>
      <c r="O40" s="171"/>
      <c r="P40" s="170"/>
      <c r="Q40" s="170"/>
      <c r="R40" s="170"/>
      <c r="S40" s="170"/>
    </row>
    <row r="41" spans="1:20" s="168" customFormat="1">
      <c r="A41" s="170"/>
      <c r="B41" s="170"/>
      <c r="C41" s="170"/>
      <c r="D41" s="170"/>
      <c r="E41" s="170"/>
      <c r="F41" s="170"/>
      <c r="G41" s="170"/>
      <c r="H41" s="170"/>
      <c r="I41" s="170"/>
      <c r="J41" s="170"/>
      <c r="K41" s="169"/>
      <c r="L41" s="171"/>
      <c r="M41" s="171"/>
      <c r="N41" s="171"/>
      <c r="O41" s="171"/>
      <c r="P41" s="170"/>
      <c r="Q41" s="170"/>
      <c r="R41" s="170"/>
      <c r="S41" s="170"/>
    </row>
    <row r="42" spans="1:20" s="168" customFormat="1">
      <c r="A42" s="170"/>
      <c r="B42" s="170"/>
      <c r="C42" s="170"/>
      <c r="D42" s="170"/>
      <c r="E42" s="170"/>
      <c r="F42" s="170"/>
      <c r="G42" s="170"/>
      <c r="H42" s="170"/>
      <c r="I42" s="170"/>
      <c r="J42" s="170"/>
      <c r="K42" s="169"/>
      <c r="L42" s="171"/>
      <c r="M42" s="171"/>
      <c r="N42" s="171"/>
      <c r="O42" s="171"/>
      <c r="P42" s="170"/>
      <c r="Q42" s="170"/>
      <c r="R42" s="170"/>
      <c r="S42" s="170"/>
    </row>
    <row r="43" spans="1:20" s="168" customFormat="1">
      <c r="A43" s="170"/>
      <c r="B43" s="170"/>
      <c r="C43" s="170"/>
      <c r="D43" s="170"/>
      <c r="E43" s="170"/>
      <c r="F43" s="170"/>
      <c r="G43" s="170"/>
      <c r="H43" s="170"/>
      <c r="I43" s="170"/>
      <c r="J43" s="170"/>
      <c r="K43" s="169"/>
      <c r="L43" s="171"/>
      <c r="M43" s="171"/>
      <c r="N43" s="171"/>
      <c r="O43" s="171"/>
      <c r="P43" s="170"/>
      <c r="Q43" s="170"/>
      <c r="R43" s="170"/>
      <c r="S43" s="170"/>
    </row>
    <row r="44" spans="1:20" s="117" customFormat="1">
      <c r="A44" s="116"/>
      <c r="B44" s="116"/>
      <c r="C44" s="116"/>
      <c r="D44" s="116"/>
      <c r="E44" s="172"/>
      <c r="F44" s="172"/>
      <c r="G44" s="172"/>
      <c r="H44" s="116"/>
      <c r="I44" s="116"/>
      <c r="J44" s="116"/>
      <c r="K44" s="118"/>
      <c r="L44" s="156"/>
      <c r="M44" s="156"/>
      <c r="N44" s="156"/>
      <c r="O44" s="156"/>
      <c r="P44" s="116"/>
      <c r="Q44" s="116"/>
      <c r="R44" s="116"/>
      <c r="S44" s="116"/>
    </row>
    <row r="45" spans="1:20" s="117" customFormat="1">
      <c r="A45" s="116"/>
      <c r="B45" s="116"/>
      <c r="C45" s="116"/>
      <c r="D45" s="116"/>
      <c r="E45" s="172"/>
      <c r="F45" s="172"/>
      <c r="G45" s="172"/>
      <c r="H45" s="116"/>
      <c r="I45" s="116"/>
      <c r="J45" s="116"/>
      <c r="K45" s="118"/>
      <c r="L45" s="156"/>
      <c r="M45" s="156"/>
      <c r="N45" s="156"/>
      <c r="O45" s="156"/>
      <c r="P45" s="116"/>
      <c r="Q45" s="116"/>
      <c r="R45" s="116"/>
      <c r="S45" s="116"/>
    </row>
    <row r="46" spans="1:20" s="117" customFormat="1">
      <c r="A46" s="173"/>
      <c r="B46" s="173"/>
      <c r="C46" s="173"/>
      <c r="D46" s="173"/>
      <c r="E46" s="95"/>
      <c r="F46" s="95"/>
      <c r="G46" s="95"/>
      <c r="H46" s="95"/>
      <c r="I46" s="95"/>
      <c r="J46" s="95"/>
      <c r="K46" s="174"/>
      <c r="L46" s="175"/>
      <c r="M46" s="175"/>
      <c r="N46" s="175"/>
      <c r="O46" s="175"/>
      <c r="P46" s="95"/>
      <c r="Q46" s="95"/>
      <c r="R46" s="95"/>
      <c r="S46" s="95"/>
      <c r="T46" s="176"/>
    </row>
    <row r="47" spans="1:20" s="117" customFormat="1">
      <c r="A47" s="95"/>
      <c r="B47" s="95"/>
      <c r="C47" s="95"/>
      <c r="D47" s="95"/>
      <c r="E47" s="177"/>
      <c r="F47" s="177"/>
      <c r="G47" s="177"/>
      <c r="H47" s="177"/>
      <c r="I47" s="177"/>
      <c r="J47" s="177"/>
      <c r="K47" s="174"/>
      <c r="L47" s="178"/>
      <c r="M47" s="178"/>
      <c r="N47" s="178"/>
      <c r="O47" s="178"/>
      <c r="P47" s="177"/>
      <c r="Q47" s="177"/>
      <c r="R47" s="177"/>
      <c r="S47" s="177"/>
      <c r="T47" s="176"/>
    </row>
    <row r="48" spans="1:20" s="117" customFormat="1">
      <c r="A48" s="95"/>
      <c r="B48" s="95"/>
      <c r="C48" s="95"/>
      <c r="D48" s="95"/>
      <c r="E48" s="95"/>
      <c r="H48" s="95"/>
      <c r="I48" s="95"/>
      <c r="J48" s="95"/>
      <c r="K48" s="174"/>
      <c r="L48" s="162"/>
      <c r="M48" s="162"/>
      <c r="N48" s="162"/>
      <c r="O48" s="162"/>
      <c r="P48" s="95"/>
      <c r="Q48" s="95"/>
      <c r="R48" s="95"/>
      <c r="S48" s="95"/>
      <c r="T48" s="176"/>
    </row>
    <row r="49" spans="1:20" s="117" customFormat="1">
      <c r="A49" s="179"/>
      <c r="B49" s="179"/>
      <c r="C49" s="179"/>
      <c r="D49" s="179"/>
      <c r="E49" s="163"/>
      <c r="F49" s="163"/>
      <c r="G49" s="163"/>
      <c r="H49" s="163"/>
      <c r="I49" s="163"/>
      <c r="J49" s="163"/>
      <c r="K49" s="174"/>
      <c r="L49" s="164"/>
      <c r="M49" s="164"/>
      <c r="N49" s="164"/>
      <c r="O49" s="164"/>
      <c r="P49" s="163"/>
      <c r="Q49" s="163"/>
      <c r="R49" s="163"/>
      <c r="S49" s="163"/>
      <c r="T49" s="176"/>
    </row>
    <row r="50" spans="1:20" s="117" customFormat="1">
      <c r="A50" s="179"/>
      <c r="B50" s="179"/>
      <c r="C50" s="179"/>
      <c r="D50" s="179"/>
      <c r="E50" s="163"/>
      <c r="F50" s="163"/>
      <c r="G50" s="163"/>
      <c r="H50" s="163"/>
      <c r="I50" s="163"/>
      <c r="J50" s="163"/>
      <c r="K50" s="174"/>
      <c r="L50" s="164"/>
      <c r="M50" s="164"/>
      <c r="N50" s="164"/>
      <c r="O50" s="164"/>
      <c r="P50" s="163"/>
      <c r="Q50" s="163"/>
      <c r="R50" s="163"/>
      <c r="S50" s="163"/>
      <c r="T50" s="176"/>
    </row>
    <row r="51" spans="1:20" s="117" customFormat="1">
      <c r="A51" s="179"/>
      <c r="B51" s="179"/>
      <c r="C51" s="179"/>
      <c r="D51" s="179"/>
      <c r="E51" s="163"/>
      <c r="F51" s="163"/>
      <c r="G51" s="163"/>
      <c r="H51" s="163"/>
      <c r="I51" s="163"/>
      <c r="J51" s="163"/>
      <c r="K51" s="174"/>
      <c r="L51" s="164"/>
      <c r="M51" s="164"/>
      <c r="N51" s="164"/>
      <c r="O51" s="164"/>
      <c r="P51" s="163"/>
      <c r="Q51" s="163"/>
      <c r="R51" s="163"/>
      <c r="S51" s="163"/>
      <c r="T51" s="176"/>
    </row>
    <row r="52" spans="1:20" s="117" customFormat="1">
      <c r="A52" s="179"/>
      <c r="B52" s="179"/>
      <c r="C52" s="179"/>
      <c r="D52" s="179"/>
      <c r="E52" s="163"/>
      <c r="F52" s="163"/>
      <c r="G52" s="163"/>
      <c r="H52" s="163"/>
      <c r="I52" s="163"/>
      <c r="J52" s="163"/>
      <c r="K52" s="174"/>
      <c r="L52" s="164"/>
      <c r="M52" s="164"/>
      <c r="N52" s="164"/>
      <c r="O52" s="164"/>
      <c r="P52" s="163"/>
      <c r="Q52" s="163"/>
      <c r="R52" s="163"/>
      <c r="S52" s="163"/>
      <c r="T52" s="176"/>
    </row>
    <row r="53" spans="1:20" s="117" customFormat="1">
      <c r="A53" s="179"/>
      <c r="B53" s="179"/>
      <c r="C53" s="179"/>
      <c r="D53" s="179"/>
      <c r="E53" s="163"/>
      <c r="F53" s="163"/>
      <c r="G53" s="163"/>
      <c r="H53" s="163"/>
      <c r="I53" s="163"/>
      <c r="J53" s="163"/>
      <c r="K53" s="174"/>
      <c r="L53" s="164"/>
      <c r="M53" s="164"/>
      <c r="N53" s="164"/>
      <c r="O53" s="164"/>
      <c r="P53" s="163"/>
      <c r="Q53" s="163"/>
      <c r="R53" s="163"/>
      <c r="S53" s="163"/>
      <c r="T53" s="176"/>
    </row>
    <row r="54" spans="1:20" s="117" customFormat="1">
      <c r="A54" s="179"/>
      <c r="B54" s="179"/>
      <c r="C54" s="179"/>
      <c r="D54" s="179"/>
      <c r="E54" s="163"/>
      <c r="F54" s="163"/>
      <c r="G54" s="163"/>
      <c r="H54" s="163"/>
      <c r="I54" s="163"/>
      <c r="J54" s="163"/>
      <c r="K54" s="174"/>
      <c r="L54" s="164"/>
      <c r="M54" s="164"/>
      <c r="N54" s="164"/>
      <c r="O54" s="164"/>
      <c r="P54" s="163"/>
      <c r="Q54" s="163"/>
      <c r="R54" s="163"/>
      <c r="S54" s="163"/>
      <c r="T54" s="176"/>
    </row>
    <row r="55" spans="1:20" s="117" customFormat="1">
      <c r="A55" s="179"/>
      <c r="B55" s="179"/>
      <c r="C55" s="179"/>
      <c r="D55" s="179"/>
      <c r="E55" s="163"/>
      <c r="F55" s="163"/>
      <c r="G55" s="163"/>
      <c r="H55" s="163"/>
      <c r="I55" s="163"/>
      <c r="J55" s="163"/>
      <c r="K55" s="174"/>
      <c r="L55" s="164"/>
      <c r="M55" s="164"/>
      <c r="N55" s="164"/>
      <c r="O55" s="164"/>
      <c r="P55" s="163"/>
      <c r="Q55" s="163"/>
      <c r="R55" s="163"/>
      <c r="S55" s="163"/>
      <c r="T55" s="176"/>
    </row>
    <row r="56" spans="1:20" s="117" customFormat="1">
      <c r="A56" s="179"/>
      <c r="B56" s="179"/>
      <c r="C56" s="179"/>
      <c r="D56" s="179"/>
      <c r="E56" s="163"/>
      <c r="F56" s="163"/>
      <c r="G56" s="163"/>
      <c r="H56" s="163"/>
      <c r="I56" s="163"/>
      <c r="J56" s="163"/>
      <c r="K56" s="174"/>
      <c r="L56" s="164"/>
      <c r="M56" s="164"/>
      <c r="N56" s="164"/>
      <c r="O56" s="164"/>
      <c r="P56" s="163"/>
      <c r="Q56" s="163"/>
      <c r="R56" s="163"/>
      <c r="S56" s="163"/>
      <c r="T56" s="176"/>
    </row>
    <row r="57" spans="1:20" s="117" customFormat="1">
      <c r="A57" s="179"/>
      <c r="B57" s="179"/>
      <c r="C57" s="179"/>
      <c r="D57" s="179"/>
      <c r="E57" s="163"/>
      <c r="F57" s="163"/>
      <c r="G57" s="163"/>
      <c r="H57" s="163"/>
      <c r="I57" s="163"/>
      <c r="J57" s="163"/>
      <c r="K57" s="174"/>
      <c r="L57" s="164"/>
      <c r="M57" s="164"/>
      <c r="N57" s="164"/>
      <c r="O57" s="164"/>
      <c r="P57" s="163"/>
      <c r="Q57" s="163"/>
      <c r="R57" s="163"/>
      <c r="S57" s="163"/>
      <c r="T57" s="176"/>
    </row>
    <row r="58" spans="1:20" s="117" customFormat="1">
      <c r="A58" s="179"/>
      <c r="B58" s="179"/>
      <c r="C58" s="179"/>
      <c r="D58" s="179"/>
      <c r="E58" s="163"/>
      <c r="F58" s="163"/>
      <c r="G58" s="163"/>
      <c r="H58" s="163"/>
      <c r="I58" s="163"/>
      <c r="J58" s="163"/>
      <c r="K58" s="174"/>
      <c r="L58" s="164"/>
      <c r="M58" s="164"/>
      <c r="N58" s="164"/>
      <c r="O58" s="164"/>
      <c r="P58" s="163"/>
      <c r="Q58" s="163"/>
      <c r="R58" s="163"/>
      <c r="S58" s="163"/>
      <c r="T58" s="176"/>
    </row>
    <row r="59" spans="1:20" s="117" customFormat="1" hidden="1" outlineLevel="1">
      <c r="A59" s="95"/>
      <c r="B59" s="95"/>
      <c r="C59" s="95"/>
      <c r="D59" s="95"/>
      <c r="E59" s="95"/>
      <c r="F59" s="95"/>
      <c r="G59" s="95"/>
      <c r="H59" s="95"/>
      <c r="I59" s="95"/>
      <c r="J59" s="95"/>
      <c r="K59" s="174"/>
      <c r="L59" s="180"/>
      <c r="M59" s="180"/>
      <c r="N59" s="180"/>
      <c r="O59" s="180"/>
      <c r="P59" s="95"/>
      <c r="Q59" s="95"/>
      <c r="R59" s="95"/>
      <c r="S59" s="95"/>
      <c r="T59" s="176"/>
    </row>
    <row r="60" spans="1:20" s="117" customFormat="1" hidden="1" outlineLevel="1">
      <c r="A60" s="166"/>
      <c r="B60" s="166"/>
      <c r="C60" s="166"/>
      <c r="D60" s="166"/>
      <c r="E60" s="166"/>
      <c r="F60" s="166"/>
      <c r="G60" s="166"/>
      <c r="H60" s="166"/>
      <c r="I60" s="166"/>
      <c r="J60" s="166"/>
      <c r="K60" s="174"/>
      <c r="L60" s="167"/>
      <c r="M60" s="167"/>
      <c r="N60" s="167"/>
      <c r="O60" s="167"/>
      <c r="P60" s="166"/>
      <c r="Q60" s="166"/>
      <c r="R60" s="166"/>
      <c r="S60" s="166"/>
      <c r="T60" s="176"/>
    </row>
    <row r="61" spans="1:20" s="117" customFormat="1" hidden="1" outlineLevel="1">
      <c r="A61" s="166"/>
      <c r="B61" s="166"/>
      <c r="C61" s="166"/>
      <c r="D61" s="166"/>
      <c r="E61" s="166"/>
      <c r="F61" s="166"/>
      <c r="G61" s="166"/>
      <c r="H61" s="166"/>
      <c r="I61" s="166"/>
      <c r="J61" s="166"/>
      <c r="K61" s="174"/>
      <c r="L61" s="167"/>
      <c r="M61" s="167"/>
      <c r="N61" s="167"/>
      <c r="O61" s="167"/>
      <c r="P61" s="166"/>
      <c r="Q61" s="166"/>
      <c r="R61" s="166"/>
      <c r="S61" s="166"/>
      <c r="T61" s="176"/>
    </row>
    <row r="62" spans="1:20" s="117" customFormat="1" hidden="1" outlineLevel="1">
      <c r="A62" s="166"/>
      <c r="B62" s="166"/>
      <c r="C62" s="166"/>
      <c r="D62" s="166"/>
      <c r="E62" s="166"/>
      <c r="F62" s="166"/>
      <c r="G62" s="166"/>
      <c r="H62" s="166"/>
      <c r="I62" s="166"/>
      <c r="J62" s="166"/>
      <c r="K62" s="174"/>
      <c r="L62" s="167"/>
      <c r="M62" s="167"/>
      <c r="N62" s="167"/>
      <c r="O62" s="167"/>
      <c r="P62" s="166"/>
      <c r="Q62" s="166"/>
      <c r="R62" s="166"/>
      <c r="S62" s="166"/>
      <c r="T62" s="176"/>
    </row>
    <row r="63" spans="1:20" s="117" customFormat="1" hidden="1" outlineLevel="1">
      <c r="A63" s="166"/>
      <c r="B63" s="166"/>
      <c r="C63" s="166"/>
      <c r="D63" s="166"/>
      <c r="E63" s="166"/>
      <c r="F63" s="166"/>
      <c r="G63" s="166"/>
      <c r="H63" s="166"/>
      <c r="I63" s="166"/>
      <c r="J63" s="166"/>
      <c r="K63" s="174"/>
      <c r="L63" s="167"/>
      <c r="M63" s="167"/>
      <c r="N63" s="167"/>
      <c r="O63" s="167"/>
      <c r="P63" s="166"/>
      <c r="Q63" s="166"/>
      <c r="R63" s="166"/>
      <c r="S63" s="166"/>
      <c r="T63" s="176"/>
    </row>
    <row r="64" spans="1:20" s="117" customFormat="1" hidden="1" outlineLevel="1">
      <c r="A64" s="166"/>
      <c r="B64" s="166"/>
      <c r="C64" s="166"/>
      <c r="D64" s="166"/>
      <c r="E64" s="166"/>
      <c r="F64" s="166"/>
      <c r="G64" s="166"/>
      <c r="H64" s="166"/>
      <c r="I64" s="166"/>
      <c r="J64" s="166"/>
      <c r="K64" s="174"/>
      <c r="L64" s="167"/>
      <c r="M64" s="167"/>
      <c r="N64" s="167"/>
      <c r="O64" s="167"/>
      <c r="P64" s="166"/>
      <c r="Q64" s="166"/>
      <c r="R64" s="166"/>
      <c r="S64" s="166"/>
      <c r="T64" s="176"/>
    </row>
    <row r="65" spans="1:20" s="117" customFormat="1" hidden="1" outlineLevel="1">
      <c r="A65" s="116"/>
      <c r="B65" s="116"/>
      <c r="C65" s="116"/>
      <c r="D65" s="116"/>
      <c r="E65" s="116"/>
      <c r="F65" s="116"/>
      <c r="G65" s="116"/>
      <c r="H65" s="116"/>
      <c r="I65" s="116"/>
      <c r="J65" s="116"/>
      <c r="K65" s="174"/>
      <c r="L65" s="156"/>
      <c r="M65" s="156"/>
      <c r="N65" s="156"/>
      <c r="O65" s="156"/>
      <c r="P65" s="116"/>
      <c r="Q65" s="116"/>
      <c r="R65" s="116"/>
      <c r="S65" s="116"/>
      <c r="T65" s="176"/>
    </row>
    <row r="66" spans="1:20" s="117" customFormat="1" hidden="1" outlineLevel="1">
      <c r="A66" s="157"/>
      <c r="B66" s="157"/>
      <c r="C66" s="157"/>
      <c r="D66" s="157"/>
      <c r="E66" s="95"/>
      <c r="F66" s="95"/>
      <c r="G66" s="95"/>
      <c r="H66" s="95"/>
      <c r="I66" s="95"/>
      <c r="J66" s="95"/>
      <c r="K66" s="174"/>
      <c r="L66" s="158"/>
      <c r="M66" s="158"/>
      <c r="N66" s="158"/>
      <c r="O66" s="158"/>
      <c r="P66" s="95"/>
      <c r="Q66" s="95"/>
      <c r="R66" s="95"/>
      <c r="S66" s="95"/>
      <c r="T66" s="176"/>
    </row>
    <row r="67" spans="1:20" s="117" customFormat="1" hidden="1" outlineLevel="1">
      <c r="A67" s="95"/>
      <c r="B67" s="95"/>
      <c r="C67" s="95"/>
      <c r="D67" s="95"/>
      <c r="E67" s="159"/>
      <c r="F67" s="159"/>
      <c r="G67" s="159"/>
      <c r="H67" s="159"/>
      <c r="I67" s="159"/>
      <c r="J67" s="159"/>
      <c r="K67" s="174"/>
      <c r="L67" s="161"/>
      <c r="M67" s="161"/>
      <c r="N67" s="161"/>
      <c r="O67" s="161"/>
      <c r="P67" s="159"/>
      <c r="Q67" s="159"/>
      <c r="R67" s="159"/>
      <c r="S67" s="159"/>
      <c r="T67" s="176"/>
    </row>
    <row r="68" spans="1:20" s="117" customFormat="1" hidden="1" outlineLevel="1">
      <c r="A68" s="95"/>
      <c r="B68" s="95"/>
      <c r="C68" s="95"/>
      <c r="D68" s="95"/>
      <c r="E68" s="95"/>
      <c r="H68" s="95"/>
      <c r="I68" s="95"/>
      <c r="J68" s="95"/>
      <c r="K68" s="174"/>
      <c r="L68" s="162"/>
      <c r="M68" s="162"/>
      <c r="N68" s="162"/>
      <c r="O68" s="162"/>
      <c r="P68" s="95"/>
      <c r="Q68" s="95"/>
      <c r="R68" s="95"/>
      <c r="S68" s="95"/>
      <c r="T68" s="176"/>
    </row>
    <row r="69" spans="1:20" s="117" customFormat="1" collapsed="1">
      <c r="A69" s="179"/>
      <c r="B69" s="179"/>
      <c r="C69" s="179"/>
      <c r="D69" s="179"/>
      <c r="E69" s="163"/>
      <c r="F69" s="163"/>
      <c r="G69" s="163"/>
      <c r="H69" s="163"/>
      <c r="I69" s="163"/>
      <c r="J69" s="163"/>
      <c r="K69" s="174"/>
      <c r="L69" s="164"/>
      <c r="M69" s="164"/>
      <c r="N69" s="164"/>
      <c r="O69" s="164"/>
      <c r="P69" s="163"/>
      <c r="Q69" s="163"/>
      <c r="R69" s="163"/>
      <c r="S69" s="163"/>
      <c r="T69" s="176"/>
    </row>
    <row r="70" spans="1:20" s="117" customFormat="1">
      <c r="A70" s="179"/>
      <c r="B70" s="179"/>
      <c r="C70" s="179"/>
      <c r="D70" s="179"/>
      <c r="E70" s="163"/>
      <c r="F70" s="163"/>
      <c r="G70" s="163"/>
      <c r="H70" s="163"/>
      <c r="I70" s="163"/>
      <c r="J70" s="163"/>
      <c r="K70" s="174"/>
      <c r="L70" s="164"/>
      <c r="M70" s="164"/>
      <c r="N70" s="164"/>
      <c r="O70" s="164"/>
      <c r="P70" s="163"/>
      <c r="Q70" s="163"/>
      <c r="R70" s="163"/>
      <c r="S70" s="163"/>
      <c r="T70" s="176"/>
    </row>
    <row r="71" spans="1:20" s="117" customFormat="1">
      <c r="A71" s="179"/>
      <c r="B71" s="179"/>
      <c r="C71" s="179"/>
      <c r="D71" s="179"/>
      <c r="E71" s="163"/>
      <c r="F71" s="163"/>
      <c r="G71" s="163"/>
      <c r="H71" s="163"/>
      <c r="I71" s="163"/>
      <c r="J71" s="163"/>
      <c r="K71" s="174"/>
      <c r="L71" s="164"/>
      <c r="M71" s="164"/>
      <c r="N71" s="164"/>
      <c r="O71" s="164"/>
      <c r="P71" s="163"/>
      <c r="Q71" s="163"/>
      <c r="R71" s="163"/>
      <c r="S71" s="163"/>
      <c r="T71" s="176"/>
    </row>
    <row r="72" spans="1:20" s="117" customFormat="1" hidden="1" outlineLevel="1">
      <c r="A72" s="179"/>
      <c r="B72" s="179"/>
      <c r="C72" s="179"/>
      <c r="D72" s="179"/>
      <c r="E72" s="163"/>
      <c r="F72" s="163"/>
      <c r="G72" s="163"/>
      <c r="H72" s="163"/>
      <c r="I72" s="163"/>
      <c r="J72" s="163"/>
      <c r="K72" s="174"/>
      <c r="L72" s="164"/>
      <c r="M72" s="164"/>
      <c r="N72" s="164"/>
      <c r="O72" s="164"/>
      <c r="P72" s="163"/>
      <c r="Q72" s="163"/>
      <c r="R72" s="163"/>
      <c r="S72" s="163"/>
      <c r="T72" s="176"/>
    </row>
    <row r="73" spans="1:20" s="117" customFormat="1" hidden="1" outlineLevel="1">
      <c r="A73" s="179"/>
      <c r="B73" s="179"/>
      <c r="C73" s="179"/>
      <c r="D73" s="179"/>
      <c r="E73" s="163"/>
      <c r="F73" s="163"/>
      <c r="G73" s="163"/>
      <c r="H73" s="163"/>
      <c r="I73" s="163"/>
      <c r="J73" s="163"/>
      <c r="K73" s="174"/>
      <c r="L73" s="164"/>
      <c r="M73" s="164"/>
      <c r="N73" s="164"/>
      <c r="O73" s="164"/>
      <c r="P73" s="163"/>
      <c r="Q73" s="163"/>
      <c r="R73" s="163"/>
      <c r="S73" s="163"/>
      <c r="T73" s="176"/>
    </row>
    <row r="74" spans="1:20" s="117" customFormat="1" hidden="1" outlineLevel="1">
      <c r="A74" s="179"/>
      <c r="B74" s="179"/>
      <c r="C74" s="179"/>
      <c r="D74" s="179"/>
      <c r="E74" s="163"/>
      <c r="F74" s="163"/>
      <c r="G74" s="163"/>
      <c r="H74" s="163"/>
      <c r="I74" s="163"/>
      <c r="J74" s="163"/>
      <c r="K74" s="174"/>
      <c r="L74" s="164"/>
      <c r="M74" s="164"/>
      <c r="N74" s="164"/>
      <c r="O74" s="164"/>
      <c r="P74" s="163"/>
      <c r="Q74" s="163"/>
      <c r="R74" s="163"/>
      <c r="S74" s="163"/>
      <c r="T74" s="176"/>
    </row>
    <row r="75" spans="1:20" s="117" customFormat="1" hidden="1" outlineLevel="1">
      <c r="A75" s="179"/>
      <c r="B75" s="179"/>
      <c r="C75" s="179"/>
      <c r="D75" s="179"/>
      <c r="E75" s="163"/>
      <c r="F75" s="163"/>
      <c r="G75" s="163"/>
      <c r="H75" s="163"/>
      <c r="I75" s="163"/>
      <c r="J75" s="163"/>
      <c r="K75" s="174"/>
      <c r="L75" s="164"/>
      <c r="M75" s="164"/>
      <c r="N75" s="164"/>
      <c r="O75" s="164"/>
      <c r="P75" s="163"/>
      <c r="Q75" s="163"/>
      <c r="R75" s="163"/>
      <c r="S75" s="163"/>
      <c r="T75" s="176"/>
    </row>
    <row r="76" spans="1:20" s="117" customFormat="1" hidden="1" outlineLevel="1">
      <c r="A76" s="179"/>
      <c r="B76" s="179"/>
      <c r="C76" s="179"/>
      <c r="D76" s="179"/>
      <c r="E76" s="163"/>
      <c r="F76" s="163"/>
      <c r="G76" s="163"/>
      <c r="H76" s="163"/>
      <c r="I76" s="163"/>
      <c r="J76" s="163"/>
      <c r="K76" s="174"/>
      <c r="L76" s="164"/>
      <c r="M76" s="164"/>
      <c r="N76" s="164"/>
      <c r="O76" s="164"/>
      <c r="P76" s="163"/>
      <c r="Q76" s="163"/>
      <c r="R76" s="163"/>
      <c r="S76" s="163"/>
      <c r="T76" s="176"/>
    </row>
    <row r="77" spans="1:20" s="117" customFormat="1" hidden="1" outlineLevel="1">
      <c r="A77" s="179"/>
      <c r="B77" s="179"/>
      <c r="C77" s="179"/>
      <c r="D77" s="179"/>
      <c r="E77" s="163"/>
      <c r="F77" s="163"/>
      <c r="G77" s="163"/>
      <c r="H77" s="163"/>
      <c r="I77" s="163"/>
      <c r="J77" s="163"/>
      <c r="K77" s="174"/>
      <c r="L77" s="164"/>
      <c r="M77" s="164"/>
      <c r="N77" s="164"/>
      <c r="O77" s="164"/>
      <c r="P77" s="163"/>
      <c r="Q77" s="163"/>
      <c r="R77" s="163"/>
      <c r="S77" s="163"/>
      <c r="T77" s="176"/>
    </row>
    <row r="78" spans="1:20" s="117" customFormat="1" hidden="1" outlineLevel="1">
      <c r="A78" s="179"/>
      <c r="B78" s="179"/>
      <c r="C78" s="179"/>
      <c r="D78" s="179"/>
      <c r="E78" s="163"/>
      <c r="F78" s="163"/>
      <c r="G78" s="163"/>
      <c r="H78" s="163"/>
      <c r="I78" s="163"/>
      <c r="J78" s="163"/>
      <c r="K78" s="174"/>
      <c r="L78" s="164"/>
      <c r="M78" s="164"/>
      <c r="N78" s="164"/>
      <c r="O78" s="164"/>
      <c r="P78" s="163"/>
      <c r="Q78" s="163"/>
      <c r="R78" s="163"/>
      <c r="S78" s="163"/>
      <c r="T78" s="176"/>
    </row>
    <row r="79" spans="1:20" s="117" customFormat="1" hidden="1" outlineLevel="1">
      <c r="A79" s="95"/>
      <c r="B79" s="95"/>
      <c r="C79" s="95"/>
      <c r="D79" s="95"/>
      <c r="E79" s="95"/>
      <c r="F79" s="95"/>
      <c r="G79" s="95"/>
      <c r="H79" s="95"/>
      <c r="I79" s="95"/>
      <c r="J79" s="95"/>
      <c r="K79" s="174"/>
      <c r="L79" s="180"/>
      <c r="M79" s="180"/>
      <c r="N79" s="180"/>
      <c r="O79" s="180"/>
      <c r="P79" s="95"/>
      <c r="Q79" s="95"/>
      <c r="R79" s="95"/>
      <c r="S79" s="95"/>
      <c r="T79" s="176"/>
    </row>
    <row r="80" spans="1:20" s="117" customFormat="1" hidden="1" outlineLevel="1">
      <c r="A80" s="166"/>
      <c r="B80" s="166"/>
      <c r="C80" s="166"/>
      <c r="D80" s="166"/>
      <c r="E80" s="166"/>
      <c r="F80" s="166"/>
      <c r="G80" s="166"/>
      <c r="H80" s="166"/>
      <c r="I80" s="166"/>
      <c r="J80" s="166"/>
      <c r="K80" s="174"/>
      <c r="L80" s="167"/>
      <c r="M80" s="167"/>
      <c r="N80" s="167"/>
      <c r="O80" s="167"/>
      <c r="P80" s="166"/>
      <c r="Q80" s="166"/>
      <c r="R80" s="166"/>
      <c r="S80" s="166"/>
      <c r="T80" s="176"/>
    </row>
    <row r="81" spans="1:20" s="117" customFormat="1" hidden="1" outlineLevel="1">
      <c r="A81" s="166"/>
      <c r="B81" s="166"/>
      <c r="C81" s="166"/>
      <c r="D81" s="166"/>
      <c r="E81" s="166"/>
      <c r="F81" s="166"/>
      <c r="G81" s="166"/>
      <c r="H81" s="166"/>
      <c r="I81" s="166"/>
      <c r="J81" s="166"/>
      <c r="K81" s="174"/>
      <c r="L81" s="167"/>
      <c r="M81" s="167"/>
      <c r="N81" s="167"/>
      <c r="O81" s="167"/>
      <c r="P81" s="166"/>
      <c r="Q81" s="166"/>
      <c r="R81" s="166"/>
      <c r="S81" s="166"/>
      <c r="T81" s="176"/>
    </row>
    <row r="82" spans="1:20" s="117" customFormat="1" hidden="1" outlineLevel="1">
      <c r="A82" s="166"/>
      <c r="B82" s="166"/>
      <c r="C82" s="166"/>
      <c r="D82" s="166"/>
      <c r="E82" s="166"/>
      <c r="F82" s="166"/>
      <c r="G82" s="166"/>
      <c r="H82" s="166"/>
      <c r="I82" s="166"/>
      <c r="J82" s="166"/>
      <c r="K82" s="174"/>
      <c r="L82" s="167"/>
      <c r="M82" s="167"/>
      <c r="N82" s="167"/>
      <c r="O82" s="167"/>
      <c r="P82" s="166"/>
      <c r="Q82" s="166"/>
      <c r="R82" s="166"/>
      <c r="S82" s="166"/>
      <c r="T82" s="176"/>
    </row>
    <row r="83" spans="1:20" s="117" customFormat="1" hidden="1" outlineLevel="1">
      <c r="A83" s="166"/>
      <c r="B83" s="166"/>
      <c r="C83" s="166"/>
      <c r="D83" s="166"/>
      <c r="E83" s="166"/>
      <c r="F83" s="166"/>
      <c r="G83" s="166"/>
      <c r="H83" s="166"/>
      <c r="I83" s="166"/>
      <c r="J83" s="166"/>
      <c r="K83" s="174"/>
      <c r="L83" s="167"/>
      <c r="M83" s="167"/>
      <c r="N83" s="167"/>
      <c r="O83" s="167"/>
      <c r="P83" s="166"/>
      <c r="Q83" s="166"/>
      <c r="R83" s="166"/>
      <c r="S83" s="166"/>
      <c r="T83" s="176"/>
    </row>
    <row r="84" spans="1:20" s="117" customFormat="1" hidden="1" outlineLevel="1">
      <c r="A84" s="166"/>
      <c r="B84" s="166"/>
      <c r="C84" s="166"/>
      <c r="D84" s="166"/>
      <c r="E84" s="166"/>
      <c r="F84" s="166"/>
      <c r="G84" s="166"/>
      <c r="H84" s="166"/>
      <c r="I84" s="166"/>
      <c r="J84" s="166"/>
      <c r="K84" s="174"/>
      <c r="L84" s="167"/>
      <c r="M84" s="167"/>
      <c r="N84" s="167"/>
      <c r="O84" s="167"/>
      <c r="P84" s="166"/>
      <c r="Q84" s="166"/>
      <c r="R84" s="166"/>
      <c r="S84" s="166"/>
      <c r="T84" s="176"/>
    </row>
    <row r="85" spans="1:20" s="117" customFormat="1" collapsed="1">
      <c r="A85" s="168"/>
      <c r="B85" s="168"/>
      <c r="C85" s="168"/>
      <c r="D85" s="168"/>
      <c r="E85" s="168"/>
      <c r="F85" s="168"/>
      <c r="G85" s="168"/>
      <c r="H85" s="168"/>
      <c r="I85" s="168"/>
      <c r="J85" s="168"/>
      <c r="K85" s="174"/>
      <c r="L85" s="168"/>
      <c r="M85" s="168"/>
      <c r="N85" s="168"/>
      <c r="O85" s="168"/>
      <c r="P85" s="168"/>
      <c r="Q85" s="168"/>
      <c r="R85" s="168"/>
      <c r="S85" s="168"/>
      <c r="T85" s="176"/>
    </row>
    <row r="86" spans="1:20" s="117" customFormat="1">
      <c r="A86" s="170"/>
      <c r="B86" s="170"/>
      <c r="C86" s="170"/>
      <c r="D86" s="170"/>
      <c r="E86" s="170"/>
      <c r="F86" s="170"/>
      <c r="G86" s="170"/>
      <c r="H86" s="170"/>
      <c r="I86" s="170"/>
      <c r="J86" s="170"/>
      <c r="K86" s="174"/>
      <c r="L86" s="171"/>
      <c r="M86" s="171"/>
      <c r="N86" s="171"/>
      <c r="O86" s="171"/>
      <c r="P86" s="170"/>
      <c r="Q86" s="170"/>
      <c r="R86" s="170"/>
      <c r="S86" s="170"/>
      <c r="T86" s="176"/>
    </row>
    <row r="87" spans="1:20" s="117" customFormat="1">
      <c r="A87" s="170"/>
      <c r="B87" s="170"/>
      <c r="C87" s="170"/>
      <c r="D87" s="170"/>
      <c r="E87" s="170"/>
      <c r="F87" s="170"/>
      <c r="G87" s="170"/>
      <c r="H87" s="170"/>
      <c r="I87" s="170"/>
      <c r="J87" s="170"/>
      <c r="K87" s="174"/>
      <c r="L87" s="171"/>
      <c r="M87" s="171"/>
      <c r="N87" s="171"/>
      <c r="O87" s="171"/>
      <c r="P87" s="170"/>
      <c r="Q87" s="170"/>
      <c r="R87" s="170"/>
      <c r="S87" s="170"/>
      <c r="T87" s="176"/>
    </row>
    <row r="88" spans="1:20" s="117" customFormat="1">
      <c r="A88" s="170"/>
      <c r="B88" s="170"/>
      <c r="C88" s="170"/>
      <c r="D88" s="170"/>
      <c r="E88" s="170"/>
      <c r="F88" s="170"/>
      <c r="G88" s="170"/>
      <c r="H88" s="170"/>
      <c r="I88" s="170"/>
      <c r="J88" s="170"/>
      <c r="K88" s="174"/>
      <c r="L88" s="171"/>
      <c r="M88" s="171"/>
      <c r="N88" s="171"/>
      <c r="O88" s="171"/>
      <c r="P88" s="170"/>
      <c r="Q88" s="170"/>
      <c r="R88" s="170"/>
      <c r="S88" s="170"/>
      <c r="T88" s="176"/>
    </row>
    <row r="89" spans="1:20" s="117" customFormat="1">
      <c r="A89" s="170"/>
      <c r="B89" s="170"/>
      <c r="C89" s="170"/>
      <c r="D89" s="170"/>
      <c r="E89" s="170"/>
      <c r="F89" s="170"/>
      <c r="G89" s="170"/>
      <c r="H89" s="170"/>
      <c r="I89" s="170"/>
      <c r="J89" s="170"/>
      <c r="K89" s="174"/>
      <c r="L89" s="171"/>
      <c r="M89" s="171"/>
      <c r="N89" s="171"/>
      <c r="O89" s="171"/>
      <c r="P89" s="170"/>
      <c r="Q89" s="170"/>
      <c r="R89" s="170"/>
      <c r="S89" s="170"/>
      <c r="T89" s="176"/>
    </row>
    <row r="90" spans="1:20" s="117" customFormat="1">
      <c r="A90" s="170"/>
      <c r="B90" s="170"/>
      <c r="C90" s="170"/>
      <c r="D90" s="170"/>
      <c r="E90" s="170"/>
      <c r="F90" s="170"/>
      <c r="G90" s="170"/>
      <c r="H90" s="170"/>
      <c r="I90" s="170"/>
      <c r="J90" s="170"/>
      <c r="K90" s="174"/>
      <c r="L90" s="171"/>
      <c r="M90" s="171"/>
      <c r="N90" s="171"/>
      <c r="O90" s="171"/>
      <c r="P90" s="170"/>
      <c r="Q90" s="170"/>
      <c r="R90" s="170"/>
      <c r="S90" s="170"/>
      <c r="T90" s="176"/>
    </row>
    <row r="91" spans="1:20" s="168" customFormat="1">
      <c r="K91" s="169"/>
    </row>
    <row r="92" spans="1:20" s="168" customFormat="1">
      <c r="K92" s="169"/>
    </row>
    <row r="93" spans="1:20" s="117" customFormat="1">
      <c r="A93" s="173"/>
      <c r="B93" s="173"/>
      <c r="C93" s="173"/>
      <c r="D93" s="173"/>
      <c r="E93" s="95"/>
      <c r="F93" s="95"/>
      <c r="G93" s="95"/>
      <c r="H93" s="95"/>
      <c r="I93" s="95"/>
      <c r="J93" s="95"/>
      <c r="K93" s="174"/>
      <c r="L93" s="175"/>
      <c r="M93" s="175"/>
      <c r="N93" s="181"/>
      <c r="O93" s="181"/>
      <c r="P93" s="95"/>
      <c r="Q93" s="95"/>
      <c r="R93" s="95"/>
      <c r="S93" s="95"/>
      <c r="T93" s="176"/>
    </row>
    <row r="94" spans="1:20" s="117" customFormat="1">
      <c r="A94" s="95"/>
      <c r="B94" s="95"/>
      <c r="C94" s="95"/>
      <c r="D94" s="95"/>
      <c r="E94" s="177"/>
      <c r="F94" s="177"/>
      <c r="G94" s="177"/>
      <c r="H94" s="177"/>
      <c r="I94" s="177"/>
      <c r="J94" s="177"/>
      <c r="K94" s="174"/>
      <c r="L94" s="178"/>
      <c r="M94" s="178"/>
      <c r="N94" s="181"/>
      <c r="O94" s="181"/>
      <c r="P94" s="177"/>
      <c r="Q94" s="177"/>
      <c r="R94" s="177"/>
      <c r="S94" s="177"/>
      <c r="T94" s="176"/>
    </row>
    <row r="95" spans="1:20" s="117" customFormat="1">
      <c r="A95" s="95"/>
      <c r="B95" s="95"/>
      <c r="C95" s="95"/>
      <c r="D95" s="95"/>
      <c r="E95" s="95"/>
      <c r="H95" s="95"/>
      <c r="I95" s="95"/>
      <c r="J95" s="95"/>
      <c r="K95" s="174"/>
      <c r="L95" s="162"/>
      <c r="M95" s="162"/>
      <c r="N95" s="162"/>
      <c r="O95" s="162"/>
      <c r="P95" s="95"/>
      <c r="Q95" s="95"/>
      <c r="R95" s="95"/>
      <c r="S95" s="95"/>
      <c r="T95" s="176"/>
    </row>
    <row r="96" spans="1:20" s="117" customFormat="1">
      <c r="A96" s="179"/>
      <c r="B96" s="179"/>
      <c r="C96" s="179"/>
      <c r="D96" s="179"/>
      <c r="E96" s="163"/>
      <c r="F96" s="163"/>
      <c r="G96" s="163"/>
      <c r="H96" s="163"/>
      <c r="I96" s="163"/>
      <c r="J96" s="163"/>
      <c r="K96" s="174"/>
      <c r="L96" s="164"/>
      <c r="M96" s="164"/>
      <c r="N96" s="164"/>
      <c r="O96" s="164"/>
      <c r="P96" s="163"/>
      <c r="Q96" s="163"/>
      <c r="R96" s="163"/>
      <c r="S96" s="163"/>
      <c r="T96" s="176"/>
    </row>
    <row r="97" spans="1:20" s="117" customFormat="1">
      <c r="A97" s="179"/>
      <c r="B97" s="179"/>
      <c r="C97" s="179"/>
      <c r="D97" s="179"/>
      <c r="E97" s="163"/>
      <c r="F97" s="163"/>
      <c r="G97" s="163"/>
      <c r="H97" s="163"/>
      <c r="I97" s="163"/>
      <c r="J97" s="163"/>
      <c r="K97" s="174"/>
      <c r="L97" s="164"/>
      <c r="M97" s="164"/>
      <c r="N97" s="164"/>
      <c r="O97" s="164"/>
      <c r="P97" s="163"/>
      <c r="Q97" s="163"/>
      <c r="R97" s="163"/>
      <c r="S97" s="163"/>
      <c r="T97" s="176"/>
    </row>
    <row r="98" spans="1:20" s="117" customFormat="1">
      <c r="A98" s="179"/>
      <c r="B98" s="179"/>
      <c r="C98" s="179"/>
      <c r="D98" s="179"/>
      <c r="E98" s="163"/>
      <c r="F98" s="163"/>
      <c r="G98" s="163"/>
      <c r="H98" s="163"/>
      <c r="I98" s="163"/>
      <c r="J98" s="163"/>
      <c r="K98" s="174"/>
      <c r="L98" s="164"/>
      <c r="M98" s="164"/>
      <c r="N98" s="164"/>
      <c r="O98" s="164"/>
      <c r="P98" s="163"/>
      <c r="Q98" s="163"/>
      <c r="R98" s="163"/>
      <c r="S98" s="163"/>
      <c r="T98" s="176"/>
    </row>
    <row r="99" spans="1:20" s="117" customFormat="1">
      <c r="A99" s="179"/>
      <c r="B99" s="179"/>
      <c r="C99" s="179"/>
      <c r="D99" s="179"/>
      <c r="E99" s="163"/>
      <c r="F99" s="163"/>
      <c r="G99" s="163"/>
      <c r="H99" s="163"/>
      <c r="I99" s="163"/>
      <c r="J99" s="163"/>
      <c r="K99" s="174"/>
      <c r="L99" s="164"/>
      <c r="M99" s="164"/>
      <c r="N99" s="164"/>
      <c r="O99" s="164"/>
      <c r="P99" s="163"/>
      <c r="Q99" s="163"/>
      <c r="R99" s="163"/>
      <c r="S99" s="163"/>
      <c r="T99" s="176"/>
    </row>
    <row r="100" spans="1:20" s="117" customFormat="1">
      <c r="A100" s="179"/>
      <c r="B100" s="179"/>
      <c r="C100" s="179"/>
      <c r="D100" s="179"/>
      <c r="E100" s="163"/>
      <c r="F100" s="163"/>
      <c r="G100" s="163"/>
      <c r="H100" s="163"/>
      <c r="I100" s="163"/>
      <c r="J100" s="163"/>
      <c r="K100" s="174"/>
      <c r="L100" s="164"/>
      <c r="M100" s="164"/>
      <c r="N100" s="164"/>
      <c r="O100" s="164"/>
      <c r="P100" s="163"/>
      <c r="Q100" s="163"/>
      <c r="R100" s="163"/>
      <c r="S100" s="163"/>
      <c r="T100" s="176"/>
    </row>
    <row r="101" spans="1:20" s="117" customFormat="1">
      <c r="A101" s="179"/>
      <c r="B101" s="179"/>
      <c r="C101" s="179"/>
      <c r="D101" s="179"/>
      <c r="E101" s="163"/>
      <c r="F101" s="163"/>
      <c r="G101" s="163"/>
      <c r="H101" s="163"/>
      <c r="I101" s="163"/>
      <c r="J101" s="163"/>
      <c r="K101" s="174"/>
      <c r="L101" s="164"/>
      <c r="M101" s="164"/>
      <c r="N101" s="164"/>
      <c r="O101" s="164"/>
      <c r="P101" s="163"/>
      <c r="Q101" s="163"/>
      <c r="R101" s="163"/>
      <c r="S101" s="163"/>
      <c r="T101" s="176"/>
    </row>
    <row r="102" spans="1:20" s="117" customFormat="1">
      <c r="A102" s="179"/>
      <c r="B102" s="179"/>
      <c r="C102" s="179"/>
      <c r="D102" s="179"/>
      <c r="E102" s="163"/>
      <c r="F102" s="163"/>
      <c r="G102" s="163"/>
      <c r="H102" s="163"/>
      <c r="I102" s="163"/>
      <c r="J102" s="163"/>
      <c r="K102" s="174"/>
      <c r="L102" s="164"/>
      <c r="M102" s="164"/>
      <c r="N102" s="164"/>
      <c r="O102" s="164"/>
      <c r="P102" s="163"/>
      <c r="Q102" s="163"/>
      <c r="R102" s="163"/>
      <c r="S102" s="163"/>
      <c r="T102" s="176"/>
    </row>
    <row r="103" spans="1:20" s="117" customFormat="1">
      <c r="A103" s="179"/>
      <c r="B103" s="179"/>
      <c r="C103" s="179"/>
      <c r="D103" s="179"/>
      <c r="E103" s="163"/>
      <c r="F103" s="163"/>
      <c r="G103" s="163"/>
      <c r="H103" s="163"/>
      <c r="I103" s="163"/>
      <c r="J103" s="163"/>
      <c r="K103" s="174"/>
      <c r="L103" s="164"/>
      <c r="M103" s="164"/>
      <c r="N103" s="164"/>
      <c r="O103" s="164"/>
      <c r="P103" s="163"/>
      <c r="Q103" s="163"/>
      <c r="R103" s="163"/>
      <c r="S103" s="163"/>
      <c r="T103" s="176"/>
    </row>
    <row r="104" spans="1:20" s="117" customFormat="1">
      <c r="A104" s="179"/>
      <c r="B104" s="179"/>
      <c r="C104" s="179"/>
      <c r="D104" s="179"/>
      <c r="E104" s="163"/>
      <c r="F104" s="163"/>
      <c r="G104" s="163"/>
      <c r="H104" s="163"/>
      <c r="I104" s="163"/>
      <c r="J104" s="163"/>
      <c r="K104" s="174"/>
      <c r="L104" s="164"/>
      <c r="M104" s="164"/>
      <c r="N104" s="164"/>
      <c r="O104" s="164"/>
      <c r="P104" s="163"/>
      <c r="Q104" s="163"/>
      <c r="R104" s="163"/>
      <c r="S104" s="163"/>
      <c r="T104" s="176"/>
    </row>
    <row r="105" spans="1:20" s="117" customFormat="1">
      <c r="A105" s="179"/>
      <c r="B105" s="179"/>
      <c r="C105" s="179"/>
      <c r="D105" s="179"/>
      <c r="E105" s="163"/>
      <c r="F105" s="163"/>
      <c r="G105" s="163"/>
      <c r="H105" s="163"/>
      <c r="I105" s="163"/>
      <c r="J105" s="163"/>
      <c r="K105" s="174"/>
      <c r="L105" s="164"/>
      <c r="M105" s="164"/>
      <c r="N105" s="164"/>
      <c r="O105" s="164"/>
      <c r="P105" s="163"/>
      <c r="Q105" s="163"/>
      <c r="R105" s="163"/>
      <c r="S105" s="163"/>
      <c r="T105" s="176"/>
    </row>
    <row r="106" spans="1:20" s="117" customFormat="1" hidden="1" outlineLevel="1">
      <c r="A106" s="179"/>
      <c r="B106" s="179"/>
      <c r="C106" s="179"/>
      <c r="D106" s="179"/>
      <c r="E106" s="182"/>
      <c r="F106" s="182"/>
      <c r="G106" s="182"/>
      <c r="H106" s="182"/>
      <c r="I106" s="182"/>
      <c r="J106" s="182"/>
      <c r="K106" s="174"/>
      <c r="L106" s="164"/>
      <c r="M106" s="164"/>
      <c r="N106" s="164"/>
      <c r="O106" s="164"/>
      <c r="P106" s="182"/>
      <c r="Q106" s="182"/>
      <c r="R106" s="182"/>
      <c r="S106" s="182"/>
      <c r="T106" s="176"/>
    </row>
    <row r="107" spans="1:20" s="117" customFormat="1" hidden="1" outlineLevel="1">
      <c r="A107" s="166"/>
      <c r="B107" s="166"/>
      <c r="C107" s="166"/>
      <c r="D107" s="166"/>
      <c r="E107" s="166"/>
      <c r="F107" s="166"/>
      <c r="G107" s="166"/>
      <c r="H107" s="166"/>
      <c r="I107" s="166"/>
      <c r="J107" s="166"/>
      <c r="K107" s="183"/>
      <c r="L107" s="167"/>
      <c r="M107" s="167"/>
      <c r="N107" s="164"/>
      <c r="O107" s="164"/>
      <c r="P107" s="166"/>
      <c r="Q107" s="166"/>
      <c r="R107" s="166"/>
      <c r="S107" s="166"/>
      <c r="T107" s="184"/>
    </row>
    <row r="108" spans="1:20" s="117" customFormat="1" hidden="1" outlineLevel="1">
      <c r="A108" s="166"/>
      <c r="B108" s="166"/>
      <c r="C108" s="166"/>
      <c r="D108" s="166"/>
      <c r="E108" s="166"/>
      <c r="F108" s="166"/>
      <c r="G108" s="166"/>
      <c r="H108" s="166"/>
      <c r="I108" s="166"/>
      <c r="J108" s="166"/>
      <c r="K108" s="183"/>
      <c r="L108" s="167"/>
      <c r="M108" s="167"/>
      <c r="N108" s="164"/>
      <c r="O108" s="164"/>
      <c r="P108" s="166"/>
      <c r="Q108" s="166"/>
      <c r="R108" s="166"/>
      <c r="S108" s="166"/>
      <c r="T108" s="184"/>
    </row>
    <row r="109" spans="1:20" s="117" customFormat="1" hidden="1" outlineLevel="1">
      <c r="A109" s="166"/>
      <c r="B109" s="166"/>
      <c r="C109" s="166"/>
      <c r="D109" s="166"/>
      <c r="E109" s="166"/>
      <c r="F109" s="166"/>
      <c r="G109" s="166"/>
      <c r="H109" s="166"/>
      <c r="I109" s="166"/>
      <c r="J109" s="166"/>
      <c r="K109" s="183"/>
      <c r="L109" s="167"/>
      <c r="M109" s="167"/>
      <c r="N109" s="164"/>
      <c r="O109" s="164"/>
      <c r="P109" s="166"/>
      <c r="Q109" s="166"/>
      <c r="R109" s="166"/>
      <c r="S109" s="166"/>
      <c r="T109" s="184"/>
    </row>
    <row r="110" spans="1:20" s="117" customFormat="1" hidden="1" outlineLevel="1">
      <c r="A110" s="166"/>
      <c r="B110" s="166"/>
      <c r="C110" s="166"/>
      <c r="D110" s="166"/>
      <c r="E110" s="166"/>
      <c r="F110" s="166"/>
      <c r="G110" s="166"/>
      <c r="H110" s="166"/>
      <c r="I110" s="166"/>
      <c r="J110" s="166"/>
      <c r="K110" s="183"/>
      <c r="L110" s="167"/>
      <c r="M110" s="167"/>
      <c r="N110" s="164"/>
      <c r="O110" s="164"/>
      <c r="P110" s="166"/>
      <c r="Q110" s="166"/>
      <c r="R110" s="166"/>
      <c r="S110" s="166"/>
      <c r="T110" s="184"/>
    </row>
    <row r="111" spans="1:20" s="117" customFormat="1" hidden="1" outlineLevel="1">
      <c r="A111" s="166"/>
      <c r="B111" s="166"/>
      <c r="C111" s="166"/>
      <c r="D111" s="166"/>
      <c r="E111" s="166"/>
      <c r="F111" s="166"/>
      <c r="G111" s="166"/>
      <c r="H111" s="166"/>
      <c r="I111" s="166"/>
      <c r="J111" s="166"/>
      <c r="K111" s="183"/>
      <c r="L111" s="167"/>
      <c r="M111" s="167"/>
      <c r="N111" s="164"/>
      <c r="O111" s="164"/>
      <c r="P111" s="166"/>
      <c r="Q111" s="166"/>
      <c r="R111" s="166"/>
      <c r="S111" s="166"/>
      <c r="T111" s="184"/>
    </row>
    <row r="112" spans="1:20" s="117" customFormat="1" hidden="1" outlineLevel="1">
      <c r="A112" s="185"/>
      <c r="B112" s="185"/>
      <c r="C112" s="185"/>
      <c r="D112" s="185"/>
      <c r="E112" s="185"/>
      <c r="F112" s="185"/>
      <c r="G112" s="185"/>
      <c r="H112" s="185"/>
      <c r="I112" s="185"/>
      <c r="J112" s="185"/>
      <c r="K112" s="186"/>
      <c r="L112" s="156"/>
      <c r="M112" s="156"/>
      <c r="N112" s="156"/>
      <c r="O112" s="156"/>
      <c r="P112" s="185"/>
      <c r="Q112" s="185"/>
      <c r="R112" s="185"/>
      <c r="S112" s="185"/>
      <c r="T112" s="156"/>
    </row>
    <row r="113" spans="1:20" s="117" customFormat="1" hidden="1" outlineLevel="1">
      <c r="A113" s="157"/>
      <c r="B113" s="157"/>
      <c r="C113" s="157"/>
      <c r="D113" s="157"/>
      <c r="E113" s="95"/>
      <c r="F113" s="95"/>
      <c r="G113" s="95"/>
      <c r="H113" s="95"/>
      <c r="I113" s="95"/>
      <c r="J113" s="95"/>
      <c r="K113" s="174"/>
      <c r="L113" s="158"/>
      <c r="M113" s="158"/>
      <c r="N113" s="162"/>
      <c r="O113" s="162"/>
      <c r="P113" s="95"/>
      <c r="Q113" s="95"/>
      <c r="R113" s="95"/>
      <c r="S113" s="95"/>
      <c r="T113" s="176"/>
    </row>
    <row r="114" spans="1:20" s="117" customFormat="1" hidden="1" outlineLevel="1">
      <c r="A114" s="95"/>
      <c r="B114" s="95"/>
      <c r="C114" s="95"/>
      <c r="D114" s="95"/>
      <c r="E114" s="159"/>
      <c r="F114" s="159"/>
      <c r="G114" s="159"/>
      <c r="H114" s="159"/>
      <c r="I114" s="159"/>
      <c r="J114" s="159"/>
      <c r="K114" s="174"/>
      <c r="L114" s="161"/>
      <c r="M114" s="161"/>
      <c r="N114" s="162"/>
      <c r="O114" s="162"/>
      <c r="P114" s="159"/>
      <c r="Q114" s="159"/>
      <c r="R114" s="159"/>
      <c r="S114" s="159"/>
      <c r="T114" s="176"/>
    </row>
    <row r="115" spans="1:20" s="117" customFormat="1" hidden="1" outlineLevel="1">
      <c r="A115" s="95"/>
      <c r="B115" s="95"/>
      <c r="C115" s="95"/>
      <c r="D115" s="95"/>
      <c r="E115" s="95"/>
      <c r="H115" s="95"/>
      <c r="I115" s="95"/>
      <c r="J115" s="95"/>
      <c r="K115" s="174"/>
      <c r="L115" s="162"/>
      <c r="M115" s="162"/>
      <c r="N115" s="162"/>
      <c r="O115" s="162"/>
      <c r="P115" s="95"/>
      <c r="Q115" s="95"/>
      <c r="R115" s="95"/>
      <c r="S115" s="95"/>
      <c r="T115" s="176"/>
    </row>
    <row r="116" spans="1:20" s="117" customFormat="1" collapsed="1">
      <c r="A116" s="179"/>
      <c r="B116" s="179"/>
      <c r="C116" s="179"/>
      <c r="D116" s="179"/>
      <c r="E116" s="163"/>
      <c r="F116" s="163"/>
      <c r="G116" s="163"/>
      <c r="H116" s="163"/>
      <c r="I116" s="163"/>
      <c r="J116" s="163"/>
      <c r="K116" s="174"/>
      <c r="L116" s="164"/>
      <c r="M116" s="164"/>
      <c r="N116" s="162"/>
      <c r="O116" s="162"/>
      <c r="P116" s="163"/>
      <c r="Q116" s="163"/>
      <c r="R116" s="163"/>
      <c r="S116" s="163"/>
      <c r="T116" s="176"/>
    </row>
    <row r="117" spans="1:20" s="117" customFormat="1">
      <c r="A117" s="179"/>
      <c r="B117" s="179"/>
      <c r="C117" s="179"/>
      <c r="D117" s="179"/>
      <c r="E117" s="163"/>
      <c r="F117" s="163"/>
      <c r="G117" s="163"/>
      <c r="H117" s="163"/>
      <c r="I117" s="163"/>
      <c r="J117" s="163"/>
      <c r="K117" s="174"/>
      <c r="L117" s="164"/>
      <c r="M117" s="164"/>
      <c r="N117" s="162"/>
      <c r="O117" s="162"/>
      <c r="P117" s="163"/>
      <c r="Q117" s="163"/>
      <c r="R117" s="163"/>
      <c r="S117" s="163"/>
      <c r="T117" s="176"/>
    </row>
    <row r="118" spans="1:20" s="117" customFormat="1">
      <c r="A118" s="179"/>
      <c r="B118" s="179"/>
      <c r="C118" s="179"/>
      <c r="D118" s="179"/>
      <c r="E118" s="163"/>
      <c r="F118" s="163"/>
      <c r="G118" s="163"/>
      <c r="H118" s="163"/>
      <c r="I118" s="163"/>
      <c r="J118" s="163"/>
      <c r="K118" s="174"/>
      <c r="L118" s="164"/>
      <c r="M118" s="164"/>
      <c r="N118" s="162"/>
      <c r="O118" s="162"/>
      <c r="P118" s="163"/>
      <c r="Q118" s="163"/>
      <c r="R118" s="163"/>
      <c r="S118" s="163"/>
      <c r="T118" s="176"/>
    </row>
    <row r="119" spans="1:20" s="117" customFormat="1" hidden="1" outlineLevel="1">
      <c r="A119" s="179"/>
      <c r="B119" s="179"/>
      <c r="C119" s="179"/>
      <c r="D119" s="179"/>
      <c r="E119" s="163"/>
      <c r="F119" s="163"/>
      <c r="G119" s="163"/>
      <c r="H119" s="163"/>
      <c r="I119" s="163"/>
      <c r="J119" s="163"/>
      <c r="K119" s="174"/>
      <c r="L119" s="164"/>
      <c r="M119" s="164"/>
      <c r="N119" s="162"/>
      <c r="O119" s="162"/>
      <c r="P119" s="163"/>
      <c r="Q119" s="163"/>
      <c r="R119" s="163"/>
      <c r="S119" s="163"/>
      <c r="T119" s="176"/>
    </row>
    <row r="120" spans="1:20" s="117" customFormat="1" hidden="1" outlineLevel="1">
      <c r="A120" s="179"/>
      <c r="B120" s="179"/>
      <c r="C120" s="179"/>
      <c r="D120" s="179"/>
      <c r="E120" s="163"/>
      <c r="F120" s="163"/>
      <c r="G120" s="163"/>
      <c r="H120" s="163"/>
      <c r="I120" s="163"/>
      <c r="J120" s="163"/>
      <c r="K120" s="174"/>
      <c r="L120" s="164"/>
      <c r="M120" s="164"/>
      <c r="N120" s="162"/>
      <c r="O120" s="162"/>
      <c r="P120" s="163"/>
      <c r="Q120" s="163"/>
      <c r="R120" s="163"/>
      <c r="S120" s="163"/>
      <c r="T120" s="176"/>
    </row>
    <row r="121" spans="1:20" s="117" customFormat="1" hidden="1" outlineLevel="1">
      <c r="A121" s="179"/>
      <c r="B121" s="179"/>
      <c r="C121" s="179"/>
      <c r="D121" s="179"/>
      <c r="E121" s="163"/>
      <c r="F121" s="163"/>
      <c r="G121" s="163"/>
      <c r="H121" s="163"/>
      <c r="I121" s="163"/>
      <c r="J121" s="163"/>
      <c r="K121" s="174"/>
      <c r="L121" s="164"/>
      <c r="M121" s="164"/>
      <c r="N121" s="162"/>
      <c r="O121" s="162"/>
      <c r="P121" s="163"/>
      <c r="Q121" s="163"/>
      <c r="R121" s="163"/>
      <c r="S121" s="163"/>
      <c r="T121" s="176"/>
    </row>
    <row r="122" spans="1:20" s="117" customFormat="1" hidden="1" outlineLevel="1">
      <c r="A122" s="179"/>
      <c r="B122" s="179"/>
      <c r="C122" s="179"/>
      <c r="D122" s="179"/>
      <c r="E122" s="163"/>
      <c r="F122" s="163"/>
      <c r="G122" s="163"/>
      <c r="H122" s="163"/>
      <c r="I122" s="163"/>
      <c r="J122" s="163"/>
      <c r="K122" s="174"/>
      <c r="L122" s="164"/>
      <c r="M122" s="164"/>
      <c r="N122" s="162"/>
      <c r="O122" s="162"/>
      <c r="P122" s="163"/>
      <c r="Q122" s="163"/>
      <c r="R122" s="163"/>
      <c r="S122" s="163"/>
      <c r="T122" s="176"/>
    </row>
    <row r="123" spans="1:20" s="117" customFormat="1" hidden="1" outlineLevel="1">
      <c r="A123" s="179"/>
      <c r="B123" s="179"/>
      <c r="C123" s="179"/>
      <c r="D123" s="179"/>
      <c r="E123" s="163"/>
      <c r="F123" s="163"/>
      <c r="G123" s="163"/>
      <c r="H123" s="163"/>
      <c r="I123" s="163"/>
      <c r="J123" s="163"/>
      <c r="K123" s="174"/>
      <c r="L123" s="164"/>
      <c r="M123" s="164"/>
      <c r="N123" s="162"/>
      <c r="O123" s="162"/>
      <c r="P123" s="163"/>
      <c r="Q123" s="163"/>
      <c r="R123" s="163"/>
      <c r="S123" s="163"/>
      <c r="T123" s="176"/>
    </row>
    <row r="124" spans="1:20" s="117" customFormat="1" hidden="1" outlineLevel="1">
      <c r="A124" s="179"/>
      <c r="B124" s="179"/>
      <c r="C124" s="179"/>
      <c r="D124" s="179"/>
      <c r="E124" s="163"/>
      <c r="F124" s="163"/>
      <c r="G124" s="163"/>
      <c r="H124" s="163"/>
      <c r="I124" s="163"/>
      <c r="J124" s="163"/>
      <c r="K124" s="174"/>
      <c r="L124" s="164"/>
      <c r="M124" s="164"/>
      <c r="N124" s="162"/>
      <c r="O124" s="162"/>
      <c r="P124" s="163"/>
      <c r="Q124" s="163"/>
      <c r="R124" s="163"/>
      <c r="S124" s="163"/>
      <c r="T124" s="176"/>
    </row>
    <row r="125" spans="1:20" s="117" customFormat="1" hidden="1" outlineLevel="1">
      <c r="A125" s="179"/>
      <c r="B125" s="179"/>
      <c r="C125" s="179"/>
      <c r="D125" s="179"/>
      <c r="E125" s="163"/>
      <c r="F125" s="163"/>
      <c r="G125" s="163"/>
      <c r="H125" s="163"/>
      <c r="I125" s="163"/>
      <c r="J125" s="163"/>
      <c r="K125" s="174"/>
      <c r="L125" s="164"/>
      <c r="M125" s="164"/>
      <c r="N125" s="162"/>
      <c r="O125" s="162"/>
      <c r="P125" s="163"/>
      <c r="Q125" s="163"/>
      <c r="R125" s="163"/>
      <c r="S125" s="163"/>
      <c r="T125" s="176"/>
    </row>
    <row r="126" spans="1:20" s="117" customFormat="1" hidden="1" outlineLevel="1">
      <c r="A126" s="179"/>
      <c r="B126" s="179"/>
      <c r="C126" s="179"/>
      <c r="D126" s="179"/>
      <c r="E126" s="182"/>
      <c r="F126" s="182"/>
      <c r="G126" s="182"/>
      <c r="H126" s="182"/>
      <c r="I126" s="182"/>
      <c r="J126" s="182"/>
      <c r="K126" s="174"/>
      <c r="L126" s="164"/>
      <c r="M126" s="164"/>
      <c r="N126" s="164"/>
      <c r="O126" s="164"/>
      <c r="P126" s="182"/>
      <c r="Q126" s="182"/>
      <c r="R126" s="182"/>
      <c r="S126" s="182"/>
      <c r="T126" s="176"/>
    </row>
    <row r="127" spans="1:20" s="117" customFormat="1" hidden="1" outlineLevel="1">
      <c r="A127" s="166"/>
      <c r="B127" s="166"/>
      <c r="C127" s="166"/>
      <c r="D127" s="166"/>
      <c r="E127" s="166"/>
      <c r="F127" s="166"/>
      <c r="G127" s="166"/>
      <c r="H127" s="166"/>
      <c r="I127" s="166"/>
      <c r="J127" s="166"/>
      <c r="K127" s="183"/>
      <c r="L127" s="167"/>
      <c r="M127" s="167"/>
      <c r="N127" s="164"/>
      <c r="O127" s="164"/>
      <c r="P127" s="166"/>
      <c r="Q127" s="166"/>
      <c r="R127" s="166"/>
      <c r="S127" s="166"/>
      <c r="T127" s="184"/>
    </row>
    <row r="128" spans="1:20" s="117" customFormat="1" hidden="1" outlineLevel="1">
      <c r="A128" s="166"/>
      <c r="B128" s="166"/>
      <c r="C128" s="166"/>
      <c r="D128" s="166"/>
      <c r="E128" s="166"/>
      <c r="F128" s="166"/>
      <c r="G128" s="166"/>
      <c r="H128" s="166"/>
      <c r="I128" s="166"/>
      <c r="J128" s="166"/>
      <c r="K128" s="183"/>
      <c r="L128" s="167"/>
      <c r="M128" s="167"/>
      <c r="N128" s="164"/>
      <c r="O128" s="164"/>
      <c r="P128" s="166"/>
      <c r="Q128" s="166"/>
      <c r="R128" s="166"/>
      <c r="S128" s="166"/>
      <c r="T128" s="184"/>
    </row>
    <row r="129" spans="1:20" s="117" customFormat="1" hidden="1" outlineLevel="1">
      <c r="A129" s="166"/>
      <c r="B129" s="166"/>
      <c r="C129" s="166"/>
      <c r="D129" s="166"/>
      <c r="E129" s="166"/>
      <c r="F129" s="166"/>
      <c r="G129" s="166"/>
      <c r="H129" s="166"/>
      <c r="I129" s="166"/>
      <c r="J129" s="166"/>
      <c r="K129" s="183"/>
      <c r="L129" s="167"/>
      <c r="M129" s="167"/>
      <c r="N129" s="164"/>
      <c r="O129" s="164"/>
      <c r="P129" s="166"/>
      <c r="Q129" s="166"/>
      <c r="R129" s="166"/>
      <c r="S129" s="166"/>
      <c r="T129" s="184"/>
    </row>
    <row r="130" spans="1:20" s="117" customFormat="1" hidden="1" outlineLevel="1">
      <c r="A130" s="166"/>
      <c r="B130" s="166"/>
      <c r="C130" s="166"/>
      <c r="D130" s="166"/>
      <c r="E130" s="166"/>
      <c r="F130" s="166"/>
      <c r="G130" s="166"/>
      <c r="H130" s="166"/>
      <c r="I130" s="166"/>
      <c r="J130" s="166"/>
      <c r="K130" s="183"/>
      <c r="L130" s="167"/>
      <c r="M130" s="167"/>
      <c r="N130" s="164"/>
      <c r="O130" s="164"/>
      <c r="P130" s="166"/>
      <c r="Q130" s="166"/>
      <c r="R130" s="166"/>
      <c r="S130" s="166"/>
      <c r="T130" s="184"/>
    </row>
    <row r="131" spans="1:20" s="117" customFormat="1" hidden="1" outlineLevel="1">
      <c r="A131" s="166"/>
      <c r="B131" s="166"/>
      <c r="C131" s="166"/>
      <c r="D131" s="166"/>
      <c r="E131" s="166"/>
      <c r="F131" s="166"/>
      <c r="G131" s="166"/>
      <c r="H131" s="166"/>
      <c r="I131" s="166"/>
      <c r="J131" s="166"/>
      <c r="K131" s="183"/>
      <c r="L131" s="167"/>
      <c r="M131" s="167"/>
      <c r="N131" s="164"/>
      <c r="O131" s="164"/>
      <c r="P131" s="166"/>
      <c r="Q131" s="166"/>
      <c r="R131" s="166"/>
      <c r="S131" s="166"/>
      <c r="T131" s="184"/>
    </row>
    <row r="132" spans="1:20" s="117" customFormat="1" collapsed="1">
      <c r="A132" s="187"/>
      <c r="B132" s="187"/>
      <c r="C132" s="187"/>
      <c r="D132" s="187"/>
      <c r="E132" s="116"/>
      <c r="F132" s="116"/>
      <c r="G132" s="116"/>
      <c r="H132" s="116"/>
      <c r="I132" s="116"/>
      <c r="J132" s="116"/>
      <c r="K132" s="118"/>
      <c r="N132" s="156"/>
      <c r="O132" s="156"/>
      <c r="P132" s="116"/>
      <c r="Q132" s="116"/>
      <c r="R132" s="116"/>
      <c r="S132" s="116"/>
    </row>
    <row r="133" spans="1:20" s="117" customFormat="1">
      <c r="A133" s="170"/>
      <c r="B133" s="170"/>
      <c r="C133" s="170"/>
      <c r="D133" s="170"/>
      <c r="E133" s="170"/>
      <c r="F133" s="170"/>
      <c r="G133" s="170"/>
      <c r="H133" s="170"/>
      <c r="I133" s="170"/>
      <c r="J133" s="170"/>
      <c r="K133" s="118"/>
      <c r="L133" s="171"/>
      <c r="M133" s="171"/>
      <c r="P133" s="170"/>
      <c r="Q133" s="170"/>
      <c r="R133" s="170"/>
      <c r="S133" s="170"/>
    </row>
    <row r="134" spans="1:20" s="117" customFormat="1">
      <c r="A134" s="170"/>
      <c r="B134" s="170"/>
      <c r="C134" s="170"/>
      <c r="D134" s="170"/>
      <c r="E134" s="170"/>
      <c r="F134" s="170"/>
      <c r="G134" s="170"/>
      <c r="H134" s="170"/>
      <c r="I134" s="170"/>
      <c r="J134" s="170"/>
      <c r="K134" s="118"/>
      <c r="L134" s="171"/>
      <c r="M134" s="171"/>
      <c r="P134" s="170"/>
      <c r="Q134" s="170"/>
      <c r="R134" s="170"/>
      <c r="S134" s="170"/>
    </row>
    <row r="135" spans="1:20" s="117" customFormat="1">
      <c r="A135" s="170"/>
      <c r="B135" s="170"/>
      <c r="C135" s="170"/>
      <c r="D135" s="170"/>
      <c r="E135" s="170"/>
      <c r="F135" s="170"/>
      <c r="G135" s="170"/>
      <c r="H135" s="170"/>
      <c r="I135" s="170"/>
      <c r="J135" s="170"/>
      <c r="K135" s="118"/>
      <c r="L135" s="171"/>
      <c r="M135" s="171"/>
      <c r="P135" s="170"/>
      <c r="Q135" s="170"/>
      <c r="R135" s="170"/>
      <c r="S135" s="170"/>
    </row>
    <row r="136" spans="1:20" s="117" customFormat="1">
      <c r="A136" s="170"/>
      <c r="B136" s="170"/>
      <c r="C136" s="170"/>
      <c r="D136" s="170"/>
      <c r="E136" s="170"/>
      <c r="F136" s="170"/>
      <c r="G136" s="170"/>
      <c r="H136" s="170"/>
      <c r="I136" s="170"/>
      <c r="J136" s="170"/>
      <c r="K136" s="118"/>
      <c r="L136" s="171"/>
      <c r="M136" s="171"/>
      <c r="P136" s="170"/>
      <c r="Q136" s="170"/>
      <c r="R136" s="170"/>
      <c r="S136" s="170"/>
    </row>
    <row r="137" spans="1:20" s="117" customFormat="1">
      <c r="A137" s="170"/>
      <c r="B137" s="170"/>
      <c r="C137" s="170"/>
      <c r="D137" s="170"/>
      <c r="E137" s="170"/>
      <c r="F137" s="170"/>
      <c r="G137" s="170"/>
      <c r="H137" s="170"/>
      <c r="I137" s="170"/>
      <c r="J137" s="170"/>
      <c r="K137" s="118"/>
      <c r="L137" s="171"/>
      <c r="M137" s="171"/>
      <c r="P137" s="170"/>
      <c r="Q137" s="170"/>
      <c r="R137" s="170"/>
      <c r="S137" s="170"/>
    </row>
    <row r="138" spans="1:20" s="168" customFormat="1">
      <c r="K138" s="169"/>
    </row>
    <row r="139" spans="1:20" s="117" customFormat="1">
      <c r="A139" s="188"/>
      <c r="B139" s="188"/>
      <c r="C139" s="188"/>
      <c r="D139" s="188"/>
      <c r="E139" s="116"/>
      <c r="F139" s="116"/>
      <c r="G139" s="116"/>
      <c r="H139" s="116"/>
      <c r="I139" s="116"/>
      <c r="J139" s="116"/>
      <c r="K139" s="174"/>
      <c r="N139" s="189"/>
      <c r="O139" s="189"/>
      <c r="P139" s="116"/>
      <c r="Q139" s="116"/>
      <c r="R139" s="116"/>
      <c r="S139" s="116"/>
      <c r="T139" s="176"/>
    </row>
    <row r="140" spans="1:20" s="117" customFormat="1">
      <c r="A140" s="185"/>
      <c r="B140" s="185"/>
      <c r="C140" s="185"/>
      <c r="D140" s="185"/>
      <c r="E140" s="190"/>
      <c r="F140" s="190"/>
      <c r="G140" s="190"/>
      <c r="H140" s="190"/>
      <c r="I140" s="190"/>
      <c r="J140" s="190"/>
      <c r="K140" s="174"/>
      <c r="N140" s="191"/>
      <c r="O140" s="191"/>
      <c r="P140" s="190"/>
      <c r="Q140" s="190"/>
      <c r="R140" s="190"/>
      <c r="S140" s="190"/>
      <c r="T140" s="176"/>
    </row>
    <row r="141" spans="1:20" s="117" customFormat="1">
      <c r="A141" s="192"/>
      <c r="B141" s="192"/>
      <c r="C141" s="192"/>
      <c r="D141" s="192"/>
      <c r="E141" s="192"/>
      <c r="F141" s="192"/>
      <c r="G141" s="192"/>
      <c r="H141" s="192"/>
      <c r="I141" s="192"/>
      <c r="J141" s="192"/>
      <c r="K141" s="186"/>
      <c r="L141" s="192"/>
      <c r="M141" s="192"/>
      <c r="N141" s="192"/>
      <c r="O141" s="192"/>
      <c r="P141" s="192"/>
      <c r="Q141" s="192"/>
      <c r="R141" s="192"/>
      <c r="S141" s="192"/>
      <c r="T141" s="156"/>
    </row>
    <row r="142" spans="1:20" s="117" customFormat="1">
      <c r="A142" s="118"/>
      <c r="B142" s="118"/>
      <c r="C142" s="118"/>
      <c r="D142" s="118"/>
      <c r="E142" s="193"/>
      <c r="F142" s="193"/>
      <c r="G142" s="193"/>
      <c r="H142" s="193"/>
      <c r="I142" s="193"/>
      <c r="J142" s="193"/>
      <c r="K142" s="186"/>
      <c r="L142" s="192"/>
      <c r="M142" s="192"/>
      <c r="N142" s="192"/>
      <c r="O142" s="192"/>
      <c r="P142" s="193"/>
      <c r="Q142" s="193"/>
      <c r="R142" s="193"/>
      <c r="S142" s="193"/>
      <c r="T142" s="156"/>
    </row>
    <row r="143" spans="1:20" s="117" customFormat="1">
      <c r="K143" s="194"/>
      <c r="L143" s="192"/>
      <c r="M143" s="192"/>
      <c r="N143" s="192"/>
      <c r="O143" s="192"/>
      <c r="T143" s="195"/>
    </row>
    <row r="144" spans="1:20" s="117" customFormat="1">
      <c r="K144" s="118"/>
    </row>
    <row r="145" spans="1:19" s="117" customFormat="1">
      <c r="A145" s="196"/>
      <c r="B145" s="196"/>
      <c r="C145" s="196"/>
      <c r="D145" s="196"/>
      <c r="K145" s="118"/>
    </row>
    <row r="146" spans="1:19" s="117" customFormat="1">
      <c r="E146" s="197"/>
      <c r="F146" s="197"/>
      <c r="G146" s="197"/>
      <c r="K146" s="118"/>
    </row>
    <row r="147" spans="1:19" s="117" customFormat="1">
      <c r="E147" s="197"/>
      <c r="F147" s="197"/>
      <c r="G147" s="197"/>
      <c r="K147" s="118"/>
    </row>
    <row r="148" spans="1:19" s="117" customFormat="1">
      <c r="E148" s="197"/>
      <c r="F148" s="197"/>
      <c r="G148" s="197"/>
      <c r="K148" s="118"/>
    </row>
    <row r="149" spans="1:19" s="117" customFormat="1">
      <c r="E149" s="197"/>
      <c r="F149" s="197"/>
      <c r="G149" s="197"/>
      <c r="K149" s="118"/>
    </row>
    <row r="150" spans="1:19" s="117" customFormat="1">
      <c r="E150" s="197"/>
      <c r="F150" s="197"/>
      <c r="G150" s="197"/>
      <c r="K150" s="118"/>
    </row>
    <row r="151" spans="1:19" s="117" customFormat="1">
      <c r="E151" s="197"/>
      <c r="F151" s="197"/>
      <c r="G151" s="197"/>
      <c r="K151" s="118"/>
    </row>
    <row r="152" spans="1:19" s="117" customFormat="1">
      <c r="A152" s="185"/>
      <c r="B152" s="185"/>
      <c r="C152" s="185"/>
      <c r="D152" s="185"/>
      <c r="K152" s="118"/>
    </row>
    <row r="153" spans="1:19" s="117" customFormat="1">
      <c r="A153" s="185"/>
      <c r="B153" s="185"/>
      <c r="C153" s="185"/>
      <c r="D153" s="185"/>
      <c r="K153" s="118"/>
    </row>
    <row r="154" spans="1:19" s="117" customFormat="1">
      <c r="K154" s="118"/>
    </row>
    <row r="155" spans="1:19" s="117" customFormat="1">
      <c r="K155" s="118"/>
    </row>
    <row r="156" spans="1:19" s="117" customFormat="1">
      <c r="K156" s="118"/>
    </row>
    <row r="157" spans="1:19" s="117" customFormat="1">
      <c r="K157" s="118"/>
    </row>
    <row r="158" spans="1:19" ht="15">
      <c r="A158" s="198"/>
      <c r="B158" s="198"/>
      <c r="C158" s="198"/>
      <c r="D158" s="198"/>
      <c r="E158" s="198"/>
      <c r="F158" s="198"/>
      <c r="G158" s="198"/>
      <c r="H158" s="198"/>
      <c r="I158" s="198"/>
      <c r="J158" s="198"/>
      <c r="L158" s="198"/>
      <c r="M158" s="198"/>
      <c r="N158" s="198"/>
      <c r="O158" s="198"/>
      <c r="P158" s="198"/>
      <c r="Q158" s="198"/>
      <c r="R158" s="198"/>
      <c r="S158" s="198"/>
    </row>
    <row r="159" spans="1:19" ht="15">
      <c r="A159" s="198"/>
      <c r="B159" s="198"/>
      <c r="C159" s="198"/>
      <c r="D159" s="198"/>
      <c r="E159" s="198"/>
      <c r="F159" s="198"/>
      <c r="G159" s="198"/>
      <c r="H159" s="198"/>
      <c r="I159" s="198"/>
      <c r="J159" s="198"/>
      <c r="L159" s="198"/>
      <c r="M159" s="198"/>
      <c r="N159" s="198"/>
      <c r="O159" s="198"/>
      <c r="P159" s="198"/>
      <c r="Q159" s="198"/>
      <c r="R159" s="198"/>
      <c r="S159" s="198"/>
    </row>
    <row r="160" spans="1:19" ht="15">
      <c r="A160" s="198"/>
      <c r="B160" s="198"/>
      <c r="C160" s="198"/>
      <c r="D160" s="198"/>
      <c r="E160" s="198"/>
      <c r="F160" s="198"/>
      <c r="G160" s="198"/>
      <c r="H160" s="198"/>
      <c r="I160" s="198"/>
      <c r="J160" s="198"/>
      <c r="L160" s="198"/>
      <c r="M160" s="198"/>
      <c r="N160" s="198"/>
      <c r="O160" s="198"/>
      <c r="P160" s="198"/>
      <c r="Q160" s="198"/>
      <c r="R160" s="198"/>
      <c r="S160" s="198"/>
    </row>
  </sheetData>
  <conditionalFormatting sqref="C4 Q2:R2 P2:P4 A140:J140 Q3:S4 P140:S140 L3:N3 E2:K4">
    <cfRule type="cellIs" dxfId="189" priority="24" stopIfTrue="1" operator="equal">
      <formula>"input"</formula>
    </cfRule>
  </conditionalFormatting>
  <conditionalFormatting sqref="T126 T113:T115 T106 T93:T95 T90 T139:T140 T59:T65 T46:T55 K139:K140 K93:K106 K46:K90 K113:K126">
    <cfRule type="cellIs" dxfId="188" priority="25" stopIfTrue="1" operator="equal">
      <formula>"Input"</formula>
    </cfRule>
  </conditionalFormatting>
  <conditionalFormatting sqref="T56">
    <cfRule type="cellIs" dxfId="187" priority="23" stopIfTrue="1" operator="equal">
      <formula>"Input"</formula>
    </cfRule>
  </conditionalFormatting>
  <conditionalFormatting sqref="T57">
    <cfRule type="cellIs" dxfId="186" priority="22" stopIfTrue="1" operator="equal">
      <formula>"Input"</formula>
    </cfRule>
  </conditionalFormatting>
  <conditionalFormatting sqref="T58">
    <cfRule type="cellIs" dxfId="185" priority="21" stopIfTrue="1" operator="equal">
      <formula>"Input"</formula>
    </cfRule>
  </conditionalFormatting>
  <conditionalFormatting sqref="T96:T101">
    <cfRule type="cellIs" dxfId="184" priority="20" stopIfTrue="1" operator="equal">
      <formula>"Input"</formula>
    </cfRule>
  </conditionalFormatting>
  <conditionalFormatting sqref="T102">
    <cfRule type="cellIs" dxfId="183" priority="19" stopIfTrue="1" operator="equal">
      <formula>"Input"</formula>
    </cfRule>
  </conditionalFormatting>
  <conditionalFormatting sqref="T103">
    <cfRule type="cellIs" dxfId="182" priority="18" stopIfTrue="1" operator="equal">
      <formula>"Input"</formula>
    </cfRule>
  </conditionalFormatting>
  <conditionalFormatting sqref="T104">
    <cfRule type="cellIs" dxfId="181" priority="17" stopIfTrue="1" operator="equal">
      <formula>"Input"</formula>
    </cfRule>
  </conditionalFormatting>
  <conditionalFormatting sqref="T105">
    <cfRule type="cellIs" dxfId="180" priority="16" stopIfTrue="1" operator="equal">
      <formula>"Input"</formula>
    </cfRule>
  </conditionalFormatting>
  <conditionalFormatting sqref="T79:T89 T66:T75">
    <cfRule type="cellIs" dxfId="179" priority="15" stopIfTrue="1" operator="equal">
      <formula>"Input"</formula>
    </cfRule>
  </conditionalFormatting>
  <conditionalFormatting sqref="T76">
    <cfRule type="cellIs" dxfId="178" priority="14" stopIfTrue="1" operator="equal">
      <formula>"Input"</formula>
    </cfRule>
  </conditionalFormatting>
  <conditionalFormatting sqref="T77">
    <cfRule type="cellIs" dxfId="177" priority="13" stopIfTrue="1" operator="equal">
      <formula>"Input"</formula>
    </cfRule>
  </conditionalFormatting>
  <conditionalFormatting sqref="T78">
    <cfRule type="cellIs" dxfId="176" priority="12" stopIfTrue="1" operator="equal">
      <formula>"Input"</formula>
    </cfRule>
  </conditionalFormatting>
  <conditionalFormatting sqref="T116:T121">
    <cfRule type="cellIs" dxfId="175" priority="11" stopIfTrue="1" operator="equal">
      <formula>"Input"</formula>
    </cfRule>
  </conditionalFormatting>
  <conditionalFormatting sqref="T122">
    <cfRule type="cellIs" dxfId="174" priority="10" stopIfTrue="1" operator="equal">
      <formula>"Input"</formula>
    </cfRule>
  </conditionalFormatting>
  <conditionalFormatting sqref="T123">
    <cfRule type="cellIs" dxfId="173" priority="9" stopIfTrue="1" operator="equal">
      <formula>"Input"</formula>
    </cfRule>
  </conditionalFormatting>
  <conditionalFormatting sqref="T124">
    <cfRule type="cellIs" dxfId="172" priority="8" stopIfTrue="1" operator="equal">
      <formula>"Input"</formula>
    </cfRule>
  </conditionalFormatting>
  <conditionalFormatting sqref="T125">
    <cfRule type="cellIs" dxfId="171" priority="7" stopIfTrue="1" operator="equal">
      <formula>"Input"</formula>
    </cfRule>
  </conditionalFormatting>
  <conditionalFormatting sqref="L4:M4 L2:M2">
    <cfRule type="cellIs" dxfId="170" priority="6" stopIfTrue="1" operator="equal">
      <formula>"input"</formula>
    </cfRule>
  </conditionalFormatting>
  <conditionalFormatting sqref="D4">
    <cfRule type="cellIs" dxfId="169" priority="5" stopIfTrue="1" operator="equal">
      <formula>"input"</formula>
    </cfRule>
  </conditionalFormatting>
  <conditionalFormatting sqref="S2">
    <cfRule type="cellIs" dxfId="168" priority="4" stopIfTrue="1" operator="equal">
      <formula>"input"</formula>
    </cfRule>
  </conditionalFormatting>
  <conditionalFormatting sqref="N4">
    <cfRule type="cellIs" dxfId="167" priority="3" stopIfTrue="1" operator="equal">
      <formula>"input"</formula>
    </cfRule>
  </conditionalFormatting>
  <conditionalFormatting sqref="N2">
    <cfRule type="cellIs" dxfId="166" priority="2" stopIfTrue="1" operator="equal">
      <formula>"input"</formula>
    </cfRule>
  </conditionalFormatting>
  <pageMargins left="0.5" right="0.5" top="0.5" bottom="0.5" header="0.3" footer="0.3"/>
  <pageSetup scale="80" fitToWidth="0" fitToHeight="0" orientation="landscape" r:id="rId1"/>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168"/>
  <sheetViews>
    <sheetView showGridLines="0" view="pageBreakPreview" topLeftCell="A19" zoomScale="115" zoomScaleNormal="100" zoomScaleSheetLayoutView="115" workbookViewId="0">
      <selection activeCell="D19" sqref="D19"/>
    </sheetView>
  </sheetViews>
  <sheetFormatPr defaultColWidth="8" defaultRowHeight="12.75" outlineLevelRow="2" outlineLevelCol="1"/>
  <cols>
    <col min="1" max="1" width="1.85546875" style="200" customWidth="1"/>
    <col min="2" max="2" width="1.5703125" style="200" customWidth="1"/>
    <col min="3" max="3" width="3.7109375" style="200" customWidth="1"/>
    <col min="4" max="4" width="52.42578125" style="200" customWidth="1"/>
    <col min="5" max="5" width="6.85546875" style="200" customWidth="1"/>
    <col min="6" max="6" width="5.7109375" style="200" customWidth="1"/>
    <col min="7" max="8" width="25.7109375" style="200" customWidth="1"/>
    <col min="9" max="9" width="1.85546875" style="200" hidden="1" customWidth="1" outlineLevel="1"/>
    <col min="10" max="11" width="25.7109375" style="200" hidden="1" customWidth="1" outlineLevel="1"/>
    <col min="12" max="12" width="1.7109375" style="200" customWidth="1" collapsed="1"/>
    <col min="13" max="13" width="8" style="200"/>
    <col min="14" max="14" width="11.140625" style="200" customWidth="1"/>
    <col min="15" max="15" width="9.7109375" style="200" customWidth="1"/>
    <col min="16" max="16" width="9" style="200" customWidth="1"/>
    <col min="17" max="17" width="13.7109375" style="200" customWidth="1"/>
    <col min="18" max="16384" width="8" style="200"/>
  </cols>
  <sheetData>
    <row r="1" spans="1:12" s="78" customFormat="1" ht="11.25" customHeight="1" thickBot="1">
      <c r="A1" s="77"/>
      <c r="B1" s="79"/>
      <c r="C1" s="79"/>
      <c r="D1" s="79"/>
      <c r="E1" s="79"/>
      <c r="F1" s="79"/>
      <c r="G1" s="79"/>
      <c r="H1" s="79"/>
    </row>
    <row r="2" spans="1:12" s="81" customFormat="1" ht="16.5" thickTop="1">
      <c r="A2" s="505"/>
      <c r="B2" s="82" t="str">
        <f>Outline!B2</f>
        <v>Satellite Healthcare WB Santa Cruz Valuation</v>
      </c>
      <c r="C2" s="82"/>
      <c r="D2" s="82"/>
      <c r="E2" s="82"/>
      <c r="F2" s="82"/>
      <c r="G2" s="82"/>
      <c r="H2" s="82"/>
      <c r="I2" s="82"/>
      <c r="J2" s="82"/>
      <c r="K2" s="82"/>
    </row>
    <row r="3" spans="1:12" s="81" customFormat="1" ht="15.75">
      <c r="A3" s="507"/>
      <c r="B3" s="89" t="str">
        <f>Outline!C28</f>
        <v>Exhibit D2</v>
      </c>
      <c r="C3" s="89"/>
      <c r="D3" s="89"/>
      <c r="E3" s="89"/>
      <c r="F3" s="89"/>
      <c r="G3" s="89"/>
      <c r="H3" s="86"/>
      <c r="I3" s="89"/>
      <c r="J3" s="89"/>
      <c r="K3" s="89"/>
    </row>
    <row r="4" spans="1:12" s="81" customFormat="1" ht="16.5" thickBot="1">
      <c r="A4" s="505"/>
      <c r="B4" s="91" t="s">
        <v>236</v>
      </c>
      <c r="C4" s="91"/>
      <c r="D4" s="91"/>
      <c r="E4" s="91"/>
      <c r="F4" s="91"/>
      <c r="G4" s="91"/>
      <c r="H4" s="508" t="str">
        <f>'E2'!G4</f>
        <v>Values in $ Thousands</v>
      </c>
      <c r="I4" s="91"/>
      <c r="J4" s="91"/>
      <c r="K4" s="91"/>
    </row>
    <row r="5" spans="1:12" s="81" customFormat="1" ht="16.5" thickTop="1">
      <c r="A5" s="505"/>
    </row>
    <row r="6" spans="1:12" s="201" customFormat="1" ht="15">
      <c r="B6" s="202"/>
      <c r="C6" s="203"/>
      <c r="D6" s="204"/>
      <c r="E6" s="204"/>
      <c r="F6" s="1093"/>
      <c r="G6" s="1092" t="s">
        <v>490</v>
      </c>
      <c r="H6" s="1092"/>
      <c r="J6" s="1092" t="s">
        <v>528</v>
      </c>
      <c r="K6" s="1092"/>
      <c r="L6" s="247"/>
    </row>
    <row r="7" spans="1:12" s="201" customFormat="1" ht="20.25" customHeight="1">
      <c r="B7" s="202"/>
      <c r="C7" s="203"/>
      <c r="D7" s="204"/>
      <c r="E7" s="204"/>
      <c r="F7" s="247"/>
      <c r="G7" s="247" t="s">
        <v>81</v>
      </c>
      <c r="H7" s="247" t="s">
        <v>82</v>
      </c>
      <c r="J7" s="247" t="s">
        <v>81</v>
      </c>
      <c r="K7" s="247" t="s">
        <v>82</v>
      </c>
      <c r="L7" s="247"/>
    </row>
    <row r="8" spans="1:12" s="201" customFormat="1" ht="15">
      <c r="B8" s="202"/>
      <c r="C8" s="512" t="s">
        <v>85</v>
      </c>
      <c r="D8" s="204"/>
      <c r="E8" s="204"/>
      <c r="G8" s="510"/>
      <c r="H8" s="510"/>
      <c r="I8" s="205"/>
      <c r="L8" s="510"/>
    </row>
    <row r="9" spans="1:12" s="117" customFormat="1">
      <c r="B9" s="97"/>
      <c r="D9" s="203" t="str">
        <f>+'F1'!C26</f>
        <v>Low</v>
      </c>
      <c r="F9" s="511"/>
      <c r="G9" s="973">
        <f>'F1'!M26</f>
        <v>6.5925925925925926</v>
      </c>
      <c r="H9" s="973"/>
      <c r="I9" s="133"/>
      <c r="J9" s="973">
        <f>'F1'!L26</f>
        <v>0.23822341857335128</v>
      </c>
      <c r="K9" s="511"/>
      <c r="L9" s="513"/>
    </row>
    <row r="10" spans="1:12" s="117" customFormat="1">
      <c r="B10" s="95"/>
      <c r="D10" s="203" t="str">
        <f>+'F1'!C27</f>
        <v>High</v>
      </c>
      <c r="E10" s="203"/>
      <c r="F10" s="511"/>
      <c r="G10" s="973">
        <f>'F1'!M27</f>
        <v>13.016339104237272</v>
      </c>
      <c r="H10" s="973"/>
      <c r="I10" s="133"/>
      <c r="J10" s="973">
        <f>'F1'!L27</f>
        <v>13.257142857142856</v>
      </c>
      <c r="K10" s="511"/>
      <c r="L10" s="513"/>
    </row>
    <row r="11" spans="1:12" s="117" customFormat="1">
      <c r="B11" s="95"/>
      <c r="D11" s="203" t="str">
        <f>+'F1'!C28</f>
        <v>Median</v>
      </c>
      <c r="E11" s="203"/>
      <c r="F11" s="511"/>
      <c r="G11" s="973">
        <f>'F1'!M28</f>
        <v>12.916237634072687</v>
      </c>
      <c r="H11" s="973"/>
      <c r="I11" s="133"/>
      <c r="J11" s="973">
        <f>'F1'!L28</f>
        <v>1.4871958595122456</v>
      </c>
      <c r="K11" s="511"/>
      <c r="L11" s="513"/>
    </row>
    <row r="12" spans="1:12" s="117" customFormat="1">
      <c r="B12" s="95"/>
      <c r="D12" s="203" t="str">
        <f>+'F1'!C29</f>
        <v>Mean</v>
      </c>
      <c r="E12" s="203"/>
      <c r="F12" s="511"/>
      <c r="G12" s="973">
        <f>'F1'!M29</f>
        <v>10.841723110300849</v>
      </c>
      <c r="H12" s="973"/>
      <c r="I12" s="133"/>
      <c r="J12" s="973">
        <f>'F1'!L29</f>
        <v>3.6651300038588075</v>
      </c>
      <c r="K12" s="511"/>
      <c r="L12" s="513"/>
    </row>
    <row r="13" spans="1:12" s="117" customFormat="1">
      <c r="B13" s="95"/>
      <c r="D13" s="203" t="str">
        <f>+'F1'!C30</f>
        <v>Upper Quartile</v>
      </c>
      <c r="E13" s="203"/>
      <c r="F13" s="511"/>
      <c r="G13" s="973">
        <f>'F1'!M30</f>
        <v>12.966288369154979</v>
      </c>
      <c r="H13" s="973"/>
      <c r="I13" s="133"/>
      <c r="J13" s="973">
        <f>'F1'!L30</f>
        <v>2.5699722222222223</v>
      </c>
      <c r="K13" s="511"/>
      <c r="L13" s="513"/>
    </row>
    <row r="14" spans="1:12" s="117" customFormat="1">
      <c r="B14" s="95"/>
      <c r="D14" s="203" t="str">
        <f>+'F1'!C31</f>
        <v>Lower Quartile</v>
      </c>
      <c r="E14" s="203"/>
      <c r="F14" s="511"/>
      <c r="G14" s="973">
        <f>'F1'!M31</f>
        <v>9.7544151133326391</v>
      </c>
      <c r="H14" s="973"/>
      <c r="I14" s="133"/>
      <c r="J14" s="973">
        <f>'F1'!L31</f>
        <v>1.1219387343812979</v>
      </c>
      <c r="K14" s="511"/>
      <c r="L14" s="513"/>
    </row>
    <row r="15" spans="1:12" s="117" customFormat="1">
      <c r="B15" s="95"/>
      <c r="D15" s="203"/>
      <c r="E15" s="203"/>
      <c r="G15" s="513"/>
      <c r="H15" s="513"/>
      <c r="I15" s="133"/>
      <c r="L15" s="513"/>
    </row>
    <row r="16" spans="1:12" s="117" customFormat="1" ht="13.5">
      <c r="B16" s="95"/>
      <c r="C16" s="775" t="s">
        <v>434</v>
      </c>
      <c r="D16" s="515" t="s">
        <v>245</v>
      </c>
      <c r="E16" s="515"/>
      <c r="F16" s="1039"/>
      <c r="G16" s="1039">
        <v>6.5</v>
      </c>
      <c r="H16" s="1039">
        <v>7.5</v>
      </c>
      <c r="I16" s="133"/>
      <c r="J16" s="1039">
        <v>1.1000000000000001</v>
      </c>
      <c r="K16" s="1039">
        <v>1.2</v>
      </c>
      <c r="L16" s="513"/>
    </row>
    <row r="17" spans="1:17" s="117" customFormat="1">
      <c r="B17" s="95"/>
      <c r="C17" s="95"/>
      <c r="D17" s="95"/>
      <c r="E17" s="95"/>
      <c r="G17" s="119"/>
      <c r="H17" s="119"/>
      <c r="L17" s="119"/>
      <c r="Q17" s="517"/>
    </row>
    <row r="18" spans="1:17" s="117" customFormat="1">
      <c r="B18" s="95"/>
      <c r="C18" s="157" t="s">
        <v>235</v>
      </c>
      <c r="D18" s="116"/>
      <c r="E18" s="116"/>
      <c r="G18" s="118"/>
      <c r="H18" s="118"/>
      <c r="L18" s="118"/>
      <c r="O18" s="206"/>
      <c r="P18" s="206"/>
    </row>
    <row r="19" spans="1:17" s="117" customFormat="1">
      <c r="B19" s="95"/>
      <c r="C19" s="980" t="s">
        <v>334</v>
      </c>
      <c r="D19" s="95" t="str">
        <f>'E2'!D21</f>
        <v>EBITDA - LTM December 2018</v>
      </c>
      <c r="E19" s="116"/>
      <c r="G19" s="972">
        <f>'E2'!F21</f>
        <v>292.25383699999969</v>
      </c>
      <c r="H19" s="519">
        <f>G19</f>
        <v>292.25383699999969</v>
      </c>
      <c r="L19" s="118"/>
      <c r="O19" s="206"/>
      <c r="P19" s="206"/>
    </row>
    <row r="20" spans="1:17" s="117" customFormat="1" hidden="1" outlineLevel="1">
      <c r="B20" s="95"/>
      <c r="C20" s="980" t="s">
        <v>334</v>
      </c>
      <c r="D20" s="95" t="str">
        <f>'E2'!D22</f>
        <v>EBITDA - 2019</v>
      </c>
      <c r="E20" s="116"/>
      <c r="G20" s="118"/>
      <c r="H20" s="972"/>
      <c r="L20" s="118"/>
      <c r="O20" s="206"/>
      <c r="P20" s="206"/>
    </row>
    <row r="21" spans="1:17" s="117" customFormat="1" hidden="1" outlineLevel="2">
      <c r="B21" s="95"/>
      <c r="C21" s="980" t="s">
        <v>335</v>
      </c>
      <c r="D21" s="95" t="str">
        <f>'E2'!D23</f>
        <v>Revenue - LTM</v>
      </c>
      <c r="E21" s="116"/>
      <c r="G21" s="118"/>
      <c r="H21" s="118"/>
      <c r="J21" s="972">
        <f>'E2'!I23</f>
        <v>3812.3785550000002</v>
      </c>
      <c r="L21" s="118"/>
      <c r="O21" s="206"/>
      <c r="P21" s="206"/>
    </row>
    <row r="22" spans="1:17" s="117" customFormat="1" hidden="1" outlineLevel="2">
      <c r="B22" s="95"/>
      <c r="C22" s="980" t="s">
        <v>335</v>
      </c>
      <c r="D22" s="95" t="str">
        <f>'E2'!D24</f>
        <v>Revenue - 2018</v>
      </c>
      <c r="E22" s="116"/>
      <c r="F22" s="972"/>
      <c r="G22" s="118"/>
      <c r="H22" s="118"/>
      <c r="K22" s="972">
        <f>'E2'!J24</f>
        <v>3901.5814577290762</v>
      </c>
      <c r="L22" s="118"/>
      <c r="O22" s="206"/>
      <c r="P22" s="206"/>
    </row>
    <row r="23" spans="1:17" s="117" customFormat="1" hidden="1" outlineLevel="1" collapsed="1">
      <c r="A23" s="95"/>
      <c r="B23" s="95"/>
      <c r="C23" s="980" t="s">
        <v>335</v>
      </c>
      <c r="D23" s="95" t="str">
        <f>'E2'!D25</f>
        <v>EBITDA - 2019</v>
      </c>
      <c r="E23" s="95"/>
      <c r="G23" s="972">
        <f>+'E2'!L25</f>
        <v>385.43661811392417</v>
      </c>
      <c r="H23" s="999"/>
      <c r="L23" s="519"/>
      <c r="O23" s="210"/>
      <c r="P23" s="210"/>
      <c r="Q23" s="208"/>
    </row>
    <row r="24" spans="1:17" s="117" customFormat="1" hidden="1" outlineLevel="1">
      <c r="A24" s="95"/>
      <c r="B24" s="95"/>
      <c r="C24" s="980" t="s">
        <v>335</v>
      </c>
      <c r="D24" s="95" t="str">
        <f>'E2'!D26</f>
        <v>EBITDA - 2020</v>
      </c>
      <c r="E24" s="95"/>
      <c r="H24" s="972">
        <f>+'E2'!M26</f>
        <v>342.64654921473527</v>
      </c>
      <c r="L24" s="519"/>
      <c r="O24" s="210"/>
      <c r="P24" s="210"/>
      <c r="Q24" s="208"/>
    </row>
    <row r="25" spans="1:17" s="117" customFormat="1" collapsed="1">
      <c r="A25" s="95"/>
      <c r="B25" s="95"/>
      <c r="C25" s="775"/>
      <c r="D25" s="95"/>
      <c r="E25" s="95"/>
      <c r="G25" s="518"/>
      <c r="H25" s="518"/>
      <c r="L25" s="519"/>
      <c r="O25" s="210"/>
      <c r="P25" s="210"/>
      <c r="Q25" s="208"/>
    </row>
    <row r="26" spans="1:17" s="117" customFormat="1" ht="15" hidden="1" customHeight="1" outlineLevel="2">
      <c r="A26" s="95"/>
      <c r="B26" s="95"/>
      <c r="C26" s="775"/>
      <c r="D26" s="95" t="s">
        <v>25</v>
      </c>
      <c r="E26" s="95"/>
      <c r="G26" s="1058">
        <f>YEARFRAC('E1'!$AX$2,"12/31/2019",3)</f>
        <v>1</v>
      </c>
      <c r="H26" s="1058">
        <f>YEARFRAC('E1'!$AX$2,"12/31/2020",3)</f>
        <v>2.0027397260273974</v>
      </c>
      <c r="L26" s="519"/>
      <c r="O26" s="210"/>
      <c r="P26" s="210"/>
      <c r="Q26" s="208"/>
    </row>
    <row r="27" spans="1:17" s="117" customFormat="1" ht="15" hidden="1" customHeight="1" outlineLevel="2">
      <c r="A27" s="95"/>
      <c r="B27" s="95"/>
      <c r="C27" s="775"/>
      <c r="D27" s="95" t="s">
        <v>517</v>
      </c>
      <c r="E27" s="1059">
        <f>'WACC CAPM'!H14</f>
        <v>0.13</v>
      </c>
      <c r="G27" s="1058">
        <f>1/(1+E27)^G26</f>
        <v>0.88495575221238942</v>
      </c>
      <c r="H27" s="1058">
        <f>1/(1+E27)^H26</f>
        <v>0.78288449622070821</v>
      </c>
      <c r="L27" s="519"/>
      <c r="O27" s="210"/>
      <c r="P27" s="210"/>
      <c r="Q27" s="208"/>
    </row>
    <row r="28" spans="1:17" s="117" customFormat="1" ht="3" customHeight="1" collapsed="1">
      <c r="A28" s="95"/>
      <c r="B28" s="95"/>
      <c r="C28" s="775"/>
      <c r="D28" s="95"/>
      <c r="E28" s="95"/>
      <c r="G28" s="518"/>
      <c r="H28" s="518"/>
      <c r="L28" s="519"/>
      <c r="O28" s="210"/>
      <c r="P28" s="210"/>
      <c r="Q28" s="208"/>
    </row>
    <row r="29" spans="1:17" s="117" customFormat="1">
      <c r="A29" s="116"/>
      <c r="B29" s="95"/>
      <c r="C29" s="980"/>
      <c r="D29" s="209" t="s">
        <v>89</v>
      </c>
      <c r="E29" s="209"/>
      <c r="F29" s="1091"/>
      <c r="G29" s="1009">
        <f>IFERROR(G16*G19,"n/a")</f>
        <v>1899.6499404999979</v>
      </c>
      <c r="H29" s="773">
        <f>IFERROR(H16*H19,"n/a")</f>
        <v>2191.9037774999979</v>
      </c>
      <c r="I29" s="916"/>
      <c r="J29" s="1009">
        <f>IFERROR(J16*J21,"n/a")</f>
        <v>4193.6164105000007</v>
      </c>
      <c r="K29" s="773">
        <f>IFERROR(K16*K22,"n/a")</f>
        <v>4681.8977492748909</v>
      </c>
      <c r="L29" s="124"/>
      <c r="O29" s="964"/>
      <c r="P29" s="206"/>
    </row>
    <row r="30" spans="1:17" s="117" customFormat="1">
      <c r="B30" s="95"/>
      <c r="C30" s="131"/>
      <c r="D30" s="131"/>
      <c r="E30" s="131"/>
      <c r="F30" s="521"/>
      <c r="G30" s="521"/>
      <c r="H30" s="521"/>
      <c r="O30" s="207"/>
      <c r="P30" s="210"/>
    </row>
    <row r="31" spans="1:17" s="117" customFormat="1">
      <c r="B31" s="95"/>
      <c r="D31" s="522" t="s">
        <v>246</v>
      </c>
      <c r="E31" s="131"/>
      <c r="F31" s="163"/>
      <c r="G31" s="163"/>
      <c r="H31" s="163"/>
      <c r="O31" s="207"/>
      <c r="P31" s="210"/>
    </row>
    <row r="32" spans="1:17" s="117" customFormat="1" ht="50.25" customHeight="1">
      <c r="B32" s="95"/>
      <c r="C32" s="775" t="s">
        <v>434</v>
      </c>
      <c r="D32" s="1284" t="s">
        <v>658</v>
      </c>
      <c r="E32" s="1284"/>
      <c r="F32" s="1284"/>
      <c r="G32" s="1284"/>
      <c r="H32" s="1284"/>
      <c r="I32" s="1284"/>
      <c r="J32" s="1284"/>
      <c r="K32" s="1284"/>
      <c r="O32" s="207"/>
      <c r="P32" s="210"/>
    </row>
    <row r="33" spans="1:16" s="117" customFormat="1" ht="34.5" customHeight="1">
      <c r="B33" s="95"/>
      <c r="C33" s="775"/>
      <c r="D33" s="1283"/>
      <c r="E33" s="1283"/>
      <c r="F33" s="1283"/>
      <c r="G33" s="1283"/>
      <c r="H33" s="1283"/>
      <c r="I33" s="1283"/>
      <c r="J33" s="1283"/>
      <c r="O33" s="207"/>
      <c r="P33" s="210"/>
    </row>
    <row r="34" spans="1:16" s="117" customFormat="1" hidden="1" outlineLevel="1">
      <c r="B34" s="95"/>
      <c r="C34" s="775" t="s">
        <v>336</v>
      </c>
      <c r="D34" s="1284" t="str">
        <f>"Refer to "&amp;TEXT('WACC CAPM'!B3,"")&amp; "."</f>
        <v>Refer to Workpaper 1.</v>
      </c>
      <c r="E34" s="1284"/>
      <c r="F34" s="1284"/>
      <c r="G34" s="1284"/>
      <c r="H34" s="1284"/>
      <c r="I34" s="1284"/>
      <c r="O34" s="207"/>
      <c r="P34" s="210"/>
    </row>
    <row r="35" spans="1:16" s="117" customFormat="1" collapsed="1">
      <c r="B35" s="131"/>
      <c r="E35" s="131"/>
      <c r="F35" s="163"/>
      <c r="G35" s="163"/>
      <c r="H35" s="163"/>
      <c r="I35" s="164"/>
    </row>
    <row r="36" spans="1:16" s="117" customFormat="1">
      <c r="B36" s="131"/>
      <c r="C36" s="131"/>
      <c r="D36" s="131"/>
      <c r="E36" s="131"/>
      <c r="F36" s="163"/>
      <c r="G36" s="163"/>
      <c r="H36" s="163"/>
      <c r="I36" s="164"/>
    </row>
    <row r="37" spans="1:16" s="117" customFormat="1">
      <c r="B37" s="131"/>
      <c r="C37" s="523"/>
      <c r="D37" s="131"/>
      <c r="E37" s="131"/>
      <c r="F37" s="163"/>
      <c r="G37" s="163"/>
      <c r="H37" s="163"/>
      <c r="I37" s="164"/>
    </row>
    <row r="38" spans="1:16" s="117" customFormat="1">
      <c r="B38" s="131"/>
      <c r="C38" s="131"/>
      <c r="D38" s="131"/>
      <c r="E38" s="131"/>
      <c r="F38" s="163"/>
      <c r="G38" s="163"/>
      <c r="H38" s="163"/>
      <c r="I38" s="164"/>
    </row>
    <row r="39" spans="1:16" s="117" customFormat="1">
      <c r="B39" s="131"/>
      <c r="C39" s="131"/>
      <c r="D39" s="131"/>
      <c r="E39" s="131"/>
      <c r="F39" s="163"/>
      <c r="G39" s="163"/>
      <c r="H39" s="163"/>
      <c r="I39" s="164"/>
    </row>
    <row r="40" spans="1:16" s="117" customFormat="1">
      <c r="B40" s="131"/>
      <c r="C40" s="131"/>
      <c r="D40" s="131"/>
      <c r="E40" s="131"/>
      <c r="F40" s="132"/>
      <c r="G40" s="132"/>
      <c r="H40" s="132"/>
      <c r="I40" s="165"/>
    </row>
    <row r="41" spans="1:16" s="117" customFormat="1">
      <c r="B41" s="166"/>
      <c r="C41" s="166"/>
      <c r="D41" s="166"/>
      <c r="E41" s="166"/>
      <c r="F41" s="529"/>
      <c r="G41" s="529"/>
      <c r="H41" s="529"/>
      <c r="I41" s="167"/>
    </row>
    <row r="42" spans="1:16" s="117" customFormat="1">
      <c r="A42" s="95"/>
      <c r="B42" s="166"/>
      <c r="C42" s="166"/>
      <c r="D42" s="166"/>
      <c r="E42" s="166"/>
      <c r="F42" s="166"/>
      <c r="G42" s="166"/>
      <c r="H42" s="166"/>
      <c r="I42" s="167"/>
    </row>
    <row r="43" spans="1:16" s="117" customFormat="1">
      <c r="A43" s="95"/>
      <c r="B43" s="166"/>
      <c r="C43" s="166"/>
      <c r="D43" s="166"/>
      <c r="E43" s="166"/>
      <c r="F43" s="166"/>
      <c r="G43" s="166"/>
      <c r="H43" s="166"/>
      <c r="I43" s="167"/>
    </row>
    <row r="44" spans="1:16" s="117" customFormat="1">
      <c r="A44" s="95"/>
      <c r="B44" s="166"/>
      <c r="C44" s="166"/>
      <c r="D44" s="166"/>
      <c r="E44" s="166"/>
      <c r="F44" s="166"/>
      <c r="G44" s="166"/>
      <c r="H44" s="166"/>
      <c r="I44" s="167"/>
    </row>
    <row r="45" spans="1:16" s="117" customFormat="1">
      <c r="A45" s="95"/>
      <c r="B45" s="166"/>
      <c r="C45" s="166"/>
      <c r="D45" s="166"/>
      <c r="E45" s="166"/>
      <c r="F45" s="166"/>
      <c r="G45" s="166"/>
      <c r="H45" s="166"/>
      <c r="I45" s="167"/>
    </row>
    <row r="46" spans="1:16" s="525" customFormat="1"/>
    <row r="47" spans="1:16" s="525" customFormat="1">
      <c r="B47" s="170"/>
      <c r="C47" s="170"/>
      <c r="D47" s="170"/>
      <c r="E47" s="170"/>
      <c r="F47" s="170"/>
      <c r="G47" s="170"/>
      <c r="H47" s="170"/>
      <c r="I47" s="171"/>
    </row>
    <row r="48" spans="1:16" s="525" customFormat="1">
      <c r="B48" s="170"/>
      <c r="C48" s="170"/>
      <c r="D48" s="170"/>
      <c r="E48" s="170"/>
      <c r="F48" s="170"/>
      <c r="G48" s="170"/>
      <c r="H48" s="170"/>
      <c r="I48" s="171"/>
    </row>
    <row r="49" spans="1:9" s="525" customFormat="1">
      <c r="B49" s="170"/>
      <c r="C49" s="170"/>
      <c r="D49" s="170"/>
      <c r="E49" s="170"/>
      <c r="F49" s="170"/>
      <c r="G49" s="170"/>
      <c r="H49" s="170"/>
      <c r="I49" s="171"/>
    </row>
    <row r="50" spans="1:9" s="525" customFormat="1">
      <c r="B50" s="170"/>
      <c r="C50" s="170"/>
      <c r="D50" s="170"/>
      <c r="E50" s="170"/>
      <c r="F50" s="170"/>
      <c r="G50" s="170"/>
      <c r="H50" s="170"/>
      <c r="I50" s="171"/>
    </row>
    <row r="51" spans="1:9" s="525" customFormat="1">
      <c r="B51" s="170"/>
      <c r="C51" s="170"/>
      <c r="D51" s="170"/>
      <c r="E51" s="170"/>
      <c r="F51" s="170"/>
      <c r="G51" s="170"/>
      <c r="H51" s="170"/>
      <c r="I51" s="171"/>
    </row>
    <row r="52" spans="1:9" s="117" customFormat="1">
      <c r="A52" s="95"/>
      <c r="B52" s="116"/>
      <c r="C52" s="116"/>
      <c r="D52" s="116"/>
      <c r="E52" s="116"/>
      <c r="F52" s="172"/>
      <c r="G52" s="172"/>
      <c r="H52" s="172"/>
      <c r="I52" s="156"/>
    </row>
    <row r="53" spans="1:9" s="117" customFormat="1">
      <c r="A53" s="95"/>
      <c r="B53" s="116"/>
      <c r="C53" s="116"/>
      <c r="D53" s="116"/>
      <c r="E53" s="116"/>
      <c r="F53" s="172"/>
      <c r="G53" s="172"/>
      <c r="H53" s="172"/>
      <c r="I53" s="156"/>
    </row>
    <row r="54" spans="1:9" s="117" customFormat="1">
      <c r="B54" s="173"/>
      <c r="C54" s="173"/>
      <c r="D54" s="173"/>
      <c r="E54" s="173"/>
      <c r="F54" s="95"/>
      <c r="G54" s="95"/>
      <c r="H54" s="95"/>
      <c r="I54" s="175"/>
    </row>
    <row r="55" spans="1:9" s="117" customFormat="1">
      <c r="B55" s="95"/>
      <c r="C55" s="95"/>
      <c r="D55" s="95"/>
      <c r="E55" s="95"/>
      <c r="F55" s="177"/>
      <c r="G55" s="177"/>
      <c r="H55" s="177"/>
      <c r="I55" s="178"/>
    </row>
    <row r="56" spans="1:9" s="117" customFormat="1">
      <c r="B56" s="95"/>
      <c r="C56" s="95"/>
      <c r="D56" s="95"/>
      <c r="E56" s="95"/>
      <c r="F56" s="95"/>
      <c r="G56" s="95"/>
      <c r="H56" s="95"/>
      <c r="I56" s="162"/>
    </row>
    <row r="57" spans="1:9" s="117" customFormat="1">
      <c r="B57" s="179"/>
      <c r="C57" s="179"/>
      <c r="D57" s="179"/>
      <c r="E57" s="179"/>
      <c r="F57" s="163"/>
      <c r="G57" s="163"/>
      <c r="H57" s="163"/>
      <c r="I57" s="164"/>
    </row>
    <row r="58" spans="1:9" s="117" customFormat="1">
      <c r="B58" s="179"/>
      <c r="C58" s="179"/>
      <c r="D58" s="179"/>
      <c r="E58" s="179"/>
      <c r="F58" s="163"/>
      <c r="G58" s="163"/>
      <c r="H58" s="163"/>
      <c r="I58" s="164"/>
    </row>
    <row r="59" spans="1:9" s="117" customFormat="1">
      <c r="B59" s="179"/>
      <c r="C59" s="179"/>
      <c r="D59" s="179"/>
      <c r="E59" s="179"/>
      <c r="F59" s="163"/>
      <c r="G59" s="163"/>
      <c r="H59" s="163"/>
      <c r="I59" s="164"/>
    </row>
    <row r="60" spans="1:9" s="117" customFormat="1">
      <c r="B60" s="179"/>
      <c r="C60" s="179"/>
      <c r="D60" s="179"/>
      <c r="E60" s="179"/>
      <c r="F60" s="163"/>
      <c r="G60" s="163"/>
      <c r="H60" s="163"/>
      <c r="I60" s="164"/>
    </row>
    <row r="61" spans="1:9" s="117" customFormat="1">
      <c r="B61" s="179"/>
      <c r="C61" s="179"/>
      <c r="D61" s="179"/>
      <c r="E61" s="179"/>
      <c r="F61" s="163"/>
      <c r="G61" s="163"/>
      <c r="H61" s="163"/>
      <c r="I61" s="164"/>
    </row>
    <row r="62" spans="1:9" s="117" customFormat="1">
      <c r="B62" s="179"/>
      <c r="C62" s="179"/>
      <c r="D62" s="179"/>
      <c r="E62" s="179"/>
      <c r="F62" s="163"/>
      <c r="G62" s="163"/>
      <c r="H62" s="163"/>
      <c r="I62" s="164"/>
    </row>
    <row r="63" spans="1:9" s="117" customFormat="1">
      <c r="B63" s="179"/>
      <c r="C63" s="179"/>
      <c r="D63" s="179"/>
      <c r="E63" s="179"/>
      <c r="F63" s="163"/>
      <c r="G63" s="163"/>
      <c r="H63" s="163"/>
      <c r="I63" s="164"/>
    </row>
    <row r="64" spans="1:9" s="117" customFormat="1">
      <c r="B64" s="179"/>
      <c r="C64" s="179"/>
      <c r="D64" s="179"/>
      <c r="E64" s="179"/>
      <c r="F64" s="163"/>
      <c r="G64" s="163"/>
      <c r="H64" s="163"/>
      <c r="I64" s="164"/>
    </row>
    <row r="65" spans="2:9" s="117" customFormat="1">
      <c r="B65" s="179"/>
      <c r="C65" s="179"/>
      <c r="D65" s="179"/>
      <c r="E65" s="179"/>
      <c r="F65" s="163"/>
      <c r="G65" s="163"/>
      <c r="H65" s="163"/>
      <c r="I65" s="164"/>
    </row>
    <row r="66" spans="2:9" s="117" customFormat="1">
      <c r="B66" s="179"/>
      <c r="C66" s="179"/>
      <c r="D66" s="179"/>
      <c r="E66" s="179"/>
      <c r="F66" s="163"/>
      <c r="G66" s="163"/>
      <c r="H66" s="163"/>
      <c r="I66" s="164"/>
    </row>
    <row r="67" spans="2:9" s="117" customFormat="1" outlineLevel="1">
      <c r="B67" s="95"/>
      <c r="C67" s="95"/>
      <c r="D67" s="95"/>
      <c r="E67" s="95"/>
      <c r="F67" s="95"/>
      <c r="G67" s="95"/>
      <c r="H67" s="95"/>
      <c r="I67" s="180"/>
    </row>
    <row r="68" spans="2:9" s="117" customFormat="1" outlineLevel="1">
      <c r="B68" s="166"/>
      <c r="C68" s="166"/>
      <c r="D68" s="166"/>
      <c r="E68" s="166"/>
      <c r="F68" s="166"/>
      <c r="G68" s="166"/>
      <c r="H68" s="166"/>
      <c r="I68" s="167"/>
    </row>
    <row r="69" spans="2:9" s="117" customFormat="1" outlineLevel="1">
      <c r="B69" s="166"/>
      <c r="C69" s="166"/>
      <c r="D69" s="166"/>
      <c r="E69" s="166"/>
      <c r="F69" s="166"/>
      <c r="G69" s="166"/>
      <c r="H69" s="166"/>
      <c r="I69" s="167"/>
    </row>
    <row r="70" spans="2:9" s="117" customFormat="1" outlineLevel="1">
      <c r="B70" s="166"/>
      <c r="C70" s="166"/>
      <c r="D70" s="166"/>
      <c r="E70" s="166"/>
      <c r="F70" s="166"/>
      <c r="G70" s="166"/>
      <c r="H70" s="166"/>
      <c r="I70" s="167"/>
    </row>
    <row r="71" spans="2:9" s="117" customFormat="1" outlineLevel="1">
      <c r="B71" s="166"/>
      <c r="C71" s="166"/>
      <c r="D71" s="166"/>
      <c r="E71" s="166"/>
      <c r="F71" s="166"/>
      <c r="G71" s="166"/>
      <c r="H71" s="166"/>
      <c r="I71" s="167"/>
    </row>
    <row r="72" spans="2:9" s="117" customFormat="1" outlineLevel="1">
      <c r="B72" s="166"/>
      <c r="C72" s="166"/>
      <c r="D72" s="166"/>
      <c r="E72" s="166"/>
      <c r="F72" s="166"/>
      <c r="G72" s="166"/>
      <c r="H72" s="166"/>
      <c r="I72" s="167"/>
    </row>
    <row r="73" spans="2:9" s="117" customFormat="1" outlineLevel="1">
      <c r="B73" s="116"/>
      <c r="C73" s="116"/>
      <c r="D73" s="116"/>
      <c r="E73" s="116"/>
      <c r="F73" s="116"/>
      <c r="G73" s="116"/>
      <c r="H73" s="116"/>
      <c r="I73" s="156"/>
    </row>
    <row r="74" spans="2:9" s="117" customFormat="1" outlineLevel="1">
      <c r="B74" s="157"/>
      <c r="C74" s="157"/>
      <c r="D74" s="157"/>
      <c r="E74" s="157"/>
      <c r="F74" s="95"/>
      <c r="G74" s="95"/>
      <c r="H74" s="95"/>
      <c r="I74" s="158"/>
    </row>
    <row r="75" spans="2:9" s="117" customFormat="1" outlineLevel="1">
      <c r="B75" s="95"/>
      <c r="C75" s="95"/>
      <c r="D75" s="95"/>
      <c r="E75" s="95"/>
      <c r="F75" s="159"/>
      <c r="G75" s="159"/>
      <c r="H75" s="159"/>
      <c r="I75" s="161"/>
    </row>
    <row r="76" spans="2:9" s="117" customFormat="1" outlineLevel="1">
      <c r="B76" s="95"/>
      <c r="C76" s="95"/>
      <c r="D76" s="95"/>
      <c r="E76" s="95"/>
      <c r="F76" s="95"/>
      <c r="G76" s="95"/>
      <c r="H76" s="95"/>
      <c r="I76" s="162"/>
    </row>
    <row r="77" spans="2:9" s="117" customFormat="1">
      <c r="B77" s="179"/>
      <c r="C77" s="179"/>
      <c r="D77" s="179"/>
      <c r="E77" s="179"/>
      <c r="F77" s="163"/>
      <c r="G77" s="163"/>
      <c r="H77" s="163"/>
      <c r="I77" s="164"/>
    </row>
    <row r="78" spans="2:9" s="117" customFormat="1">
      <c r="B78" s="179"/>
      <c r="C78" s="179"/>
      <c r="D78" s="179"/>
      <c r="E78" s="179"/>
      <c r="F78" s="163"/>
      <c r="G78" s="163"/>
      <c r="H78" s="163"/>
      <c r="I78" s="164"/>
    </row>
    <row r="79" spans="2:9" s="117" customFormat="1">
      <c r="B79" s="179"/>
      <c r="C79" s="179"/>
      <c r="D79" s="179"/>
      <c r="E79" s="179"/>
      <c r="F79" s="163"/>
      <c r="G79" s="163"/>
      <c r="H79" s="163"/>
      <c r="I79" s="164"/>
    </row>
    <row r="80" spans="2:9" s="117" customFormat="1" outlineLevel="1">
      <c r="B80" s="179"/>
      <c r="C80" s="179"/>
      <c r="D80" s="179"/>
      <c r="E80" s="179"/>
      <c r="F80" s="163"/>
      <c r="G80" s="163"/>
      <c r="H80" s="163"/>
      <c r="I80" s="164"/>
    </row>
    <row r="81" spans="2:9" s="117" customFormat="1" outlineLevel="1">
      <c r="B81" s="179"/>
      <c r="C81" s="179"/>
      <c r="D81" s="179"/>
      <c r="E81" s="179"/>
      <c r="F81" s="163"/>
      <c r="G81" s="163"/>
      <c r="H81" s="163"/>
      <c r="I81" s="164"/>
    </row>
    <row r="82" spans="2:9" s="117" customFormat="1" outlineLevel="1">
      <c r="B82" s="179"/>
      <c r="C82" s="179"/>
      <c r="D82" s="179"/>
      <c r="E82" s="179"/>
      <c r="F82" s="163"/>
      <c r="G82" s="163"/>
      <c r="H82" s="163"/>
      <c r="I82" s="164"/>
    </row>
    <row r="83" spans="2:9" s="117" customFormat="1" outlineLevel="1">
      <c r="B83" s="179"/>
      <c r="C83" s="179"/>
      <c r="D83" s="179"/>
      <c r="E83" s="179"/>
      <c r="F83" s="163"/>
      <c r="G83" s="163"/>
      <c r="H83" s="163"/>
      <c r="I83" s="164"/>
    </row>
    <row r="84" spans="2:9" s="117" customFormat="1" outlineLevel="1">
      <c r="B84" s="179"/>
      <c r="C84" s="179"/>
      <c r="D84" s="179"/>
      <c r="E84" s="179"/>
      <c r="F84" s="163"/>
      <c r="G84" s="163"/>
      <c r="H84" s="163"/>
      <c r="I84" s="164"/>
    </row>
    <row r="85" spans="2:9" s="117" customFormat="1" outlineLevel="1">
      <c r="B85" s="179"/>
      <c r="C85" s="179"/>
      <c r="D85" s="179"/>
      <c r="E85" s="179"/>
      <c r="F85" s="163"/>
      <c r="G85" s="163"/>
      <c r="H85" s="163"/>
      <c r="I85" s="164"/>
    </row>
    <row r="86" spans="2:9" s="117" customFormat="1" outlineLevel="1">
      <c r="B86" s="179"/>
      <c r="C86" s="179"/>
      <c r="D86" s="179"/>
      <c r="E86" s="179"/>
      <c r="F86" s="163"/>
      <c r="G86" s="163"/>
      <c r="H86" s="163"/>
      <c r="I86" s="164"/>
    </row>
    <row r="87" spans="2:9" s="117" customFormat="1" outlineLevel="1">
      <c r="B87" s="95"/>
      <c r="C87" s="95"/>
      <c r="D87" s="95"/>
      <c r="E87" s="95"/>
      <c r="F87" s="95"/>
      <c r="G87" s="95"/>
      <c r="H87" s="95"/>
      <c r="I87" s="180"/>
    </row>
    <row r="88" spans="2:9" s="117" customFormat="1" outlineLevel="1">
      <c r="B88" s="166"/>
      <c r="C88" s="166"/>
      <c r="D88" s="166"/>
      <c r="E88" s="166"/>
      <c r="F88" s="166"/>
      <c r="G88" s="166"/>
      <c r="H88" s="166"/>
      <c r="I88" s="167"/>
    </row>
    <row r="89" spans="2:9" s="117" customFormat="1" outlineLevel="1">
      <c r="B89" s="166"/>
      <c r="C89" s="166"/>
      <c r="D89" s="166"/>
      <c r="E89" s="166"/>
      <c r="F89" s="166"/>
      <c r="G89" s="166"/>
      <c r="H89" s="166"/>
      <c r="I89" s="167"/>
    </row>
    <row r="90" spans="2:9" s="117" customFormat="1" outlineLevel="1">
      <c r="B90" s="166"/>
      <c r="C90" s="166"/>
      <c r="D90" s="166"/>
      <c r="E90" s="166"/>
      <c r="F90" s="166"/>
      <c r="G90" s="166"/>
      <c r="H90" s="166"/>
      <c r="I90" s="167"/>
    </row>
    <row r="91" spans="2:9" s="117" customFormat="1" outlineLevel="1">
      <c r="B91" s="166"/>
      <c r="C91" s="166"/>
      <c r="D91" s="166"/>
      <c r="E91" s="166"/>
      <c r="F91" s="166"/>
      <c r="G91" s="166"/>
      <c r="H91" s="166"/>
      <c r="I91" s="167"/>
    </row>
    <row r="92" spans="2:9" s="117" customFormat="1" outlineLevel="1">
      <c r="B92" s="166"/>
      <c r="C92" s="166"/>
      <c r="D92" s="166"/>
      <c r="E92" s="166"/>
      <c r="F92" s="166"/>
      <c r="G92" s="166"/>
      <c r="H92" s="166"/>
      <c r="I92" s="167"/>
    </row>
    <row r="93" spans="2:9" s="117" customFormat="1">
      <c r="B93" s="525"/>
      <c r="C93" s="525"/>
      <c r="D93" s="525"/>
      <c r="E93" s="525"/>
      <c r="F93" s="525"/>
      <c r="G93" s="525"/>
      <c r="H93" s="525"/>
      <c r="I93" s="525"/>
    </row>
    <row r="94" spans="2:9" s="117" customFormat="1">
      <c r="B94" s="170"/>
      <c r="C94" s="170"/>
      <c r="D94" s="170"/>
      <c r="E94" s="170"/>
      <c r="F94" s="170"/>
      <c r="G94" s="170"/>
      <c r="H94" s="170"/>
      <c r="I94" s="171"/>
    </row>
    <row r="95" spans="2:9" s="117" customFormat="1">
      <c r="B95" s="170"/>
      <c r="C95" s="170"/>
      <c r="D95" s="170"/>
      <c r="E95" s="170"/>
      <c r="F95" s="170"/>
      <c r="G95" s="170"/>
      <c r="H95" s="170"/>
      <c r="I95" s="171"/>
    </row>
    <row r="96" spans="2:9" s="117" customFormat="1">
      <c r="B96" s="170"/>
      <c r="C96" s="170"/>
      <c r="D96" s="170"/>
      <c r="E96" s="170"/>
      <c r="F96" s="170"/>
      <c r="G96" s="170"/>
      <c r="H96" s="170"/>
      <c r="I96" s="171"/>
    </row>
    <row r="97" spans="2:9" s="117" customFormat="1">
      <c r="B97" s="170"/>
      <c r="C97" s="170"/>
      <c r="D97" s="170"/>
      <c r="E97" s="170"/>
      <c r="F97" s="170"/>
      <c r="G97" s="170"/>
      <c r="H97" s="170"/>
      <c r="I97" s="171"/>
    </row>
    <row r="98" spans="2:9" s="117" customFormat="1">
      <c r="B98" s="170"/>
      <c r="C98" s="170"/>
      <c r="D98" s="170"/>
      <c r="E98" s="170"/>
      <c r="F98" s="170"/>
      <c r="G98" s="170"/>
      <c r="H98" s="170"/>
      <c r="I98" s="171"/>
    </row>
    <row r="99" spans="2:9" s="525" customFormat="1"/>
    <row r="100" spans="2:9" s="525" customFormat="1"/>
    <row r="101" spans="2:9" s="117" customFormat="1">
      <c r="B101" s="173"/>
      <c r="C101" s="173"/>
      <c r="D101" s="173"/>
      <c r="E101" s="173"/>
      <c r="F101" s="95"/>
      <c r="G101" s="95"/>
      <c r="H101" s="95"/>
      <c r="I101" s="181"/>
    </row>
    <row r="102" spans="2:9" s="117" customFormat="1">
      <c r="B102" s="95"/>
      <c r="C102" s="95"/>
      <c r="D102" s="95"/>
      <c r="E102" s="95"/>
      <c r="F102" s="177"/>
      <c r="G102" s="177"/>
      <c r="H102" s="177"/>
      <c r="I102" s="181"/>
    </row>
    <row r="103" spans="2:9" s="117" customFormat="1">
      <c r="B103" s="95"/>
      <c r="C103" s="95"/>
      <c r="D103" s="95"/>
      <c r="E103" s="95"/>
      <c r="F103" s="95"/>
      <c r="G103" s="95"/>
      <c r="H103" s="95"/>
      <c r="I103" s="162"/>
    </row>
    <row r="104" spans="2:9" s="117" customFormat="1">
      <c r="B104" s="179"/>
      <c r="C104" s="179"/>
      <c r="D104" s="179"/>
      <c r="E104" s="179"/>
      <c r="F104" s="163"/>
      <c r="G104" s="163"/>
      <c r="H104" s="163"/>
      <c r="I104" s="164"/>
    </row>
    <row r="105" spans="2:9" s="117" customFormat="1">
      <c r="B105" s="179"/>
      <c r="C105" s="179"/>
      <c r="D105" s="179"/>
      <c r="E105" s="179"/>
      <c r="F105" s="163"/>
      <c r="G105" s="163"/>
      <c r="H105" s="163"/>
      <c r="I105" s="164"/>
    </row>
    <row r="106" spans="2:9" s="117" customFormat="1">
      <c r="B106" s="179"/>
      <c r="C106" s="179"/>
      <c r="D106" s="179"/>
      <c r="E106" s="179"/>
      <c r="F106" s="163"/>
      <c r="G106" s="163"/>
      <c r="H106" s="163"/>
      <c r="I106" s="164"/>
    </row>
    <row r="107" spans="2:9" s="117" customFormat="1">
      <c r="B107" s="179"/>
      <c r="C107" s="179"/>
      <c r="D107" s="179"/>
      <c r="E107" s="179"/>
      <c r="F107" s="163"/>
      <c r="G107" s="163"/>
      <c r="H107" s="163"/>
      <c r="I107" s="164"/>
    </row>
    <row r="108" spans="2:9" s="117" customFormat="1">
      <c r="B108" s="179"/>
      <c r="C108" s="179"/>
      <c r="D108" s="179"/>
      <c r="E108" s="179"/>
      <c r="F108" s="163"/>
      <c r="G108" s="163"/>
      <c r="H108" s="163"/>
      <c r="I108" s="164"/>
    </row>
    <row r="109" spans="2:9" s="117" customFormat="1">
      <c r="B109" s="179"/>
      <c r="C109" s="179"/>
      <c r="D109" s="179"/>
      <c r="E109" s="179"/>
      <c r="F109" s="163"/>
      <c r="G109" s="163"/>
      <c r="H109" s="163"/>
      <c r="I109" s="164"/>
    </row>
    <row r="110" spans="2:9" s="117" customFormat="1">
      <c r="B110" s="179"/>
      <c r="C110" s="179"/>
      <c r="D110" s="179"/>
      <c r="E110" s="179"/>
      <c r="F110" s="163"/>
      <c r="G110" s="163"/>
      <c r="H110" s="163"/>
      <c r="I110" s="164"/>
    </row>
    <row r="111" spans="2:9" s="117" customFormat="1">
      <c r="B111" s="179"/>
      <c r="C111" s="179"/>
      <c r="D111" s="179"/>
      <c r="E111" s="179"/>
      <c r="F111" s="163"/>
      <c r="G111" s="163"/>
      <c r="H111" s="163"/>
      <c r="I111" s="164"/>
    </row>
    <row r="112" spans="2:9" s="117" customFormat="1">
      <c r="B112" s="179"/>
      <c r="C112" s="179"/>
      <c r="D112" s="179"/>
      <c r="E112" s="179"/>
      <c r="F112" s="163"/>
      <c r="G112" s="163"/>
      <c r="H112" s="163"/>
      <c r="I112" s="164"/>
    </row>
    <row r="113" spans="1:9" s="117" customFormat="1">
      <c r="B113" s="179"/>
      <c r="C113" s="179"/>
      <c r="D113" s="179"/>
      <c r="E113" s="179"/>
      <c r="F113" s="163"/>
      <c r="G113" s="163"/>
      <c r="H113" s="163"/>
      <c r="I113" s="164"/>
    </row>
    <row r="114" spans="1:9" s="117" customFormat="1" outlineLevel="1">
      <c r="B114" s="179"/>
      <c r="C114" s="179"/>
      <c r="D114" s="179"/>
      <c r="E114" s="179"/>
      <c r="F114" s="182"/>
      <c r="G114" s="182"/>
      <c r="H114" s="182"/>
      <c r="I114" s="164"/>
    </row>
    <row r="115" spans="1:9" s="117" customFormat="1" outlineLevel="1">
      <c r="B115" s="166"/>
      <c r="C115" s="166"/>
      <c r="D115" s="166"/>
      <c r="E115" s="166"/>
      <c r="F115" s="166"/>
      <c r="G115" s="166"/>
      <c r="H115" s="166"/>
      <c r="I115" s="164"/>
    </row>
    <row r="116" spans="1:9" s="117" customFormat="1" outlineLevel="1">
      <c r="B116" s="166"/>
      <c r="C116" s="166"/>
      <c r="D116" s="166"/>
      <c r="E116" s="166"/>
      <c r="F116" s="166"/>
      <c r="G116" s="166"/>
      <c r="H116" s="166"/>
      <c r="I116" s="164"/>
    </row>
    <row r="117" spans="1:9" s="117" customFormat="1" outlineLevel="1">
      <c r="B117" s="166"/>
      <c r="C117" s="166"/>
      <c r="D117" s="166"/>
      <c r="E117" s="166"/>
      <c r="F117" s="166"/>
      <c r="G117" s="166"/>
      <c r="H117" s="166"/>
      <c r="I117" s="164"/>
    </row>
    <row r="118" spans="1:9" s="117" customFormat="1" outlineLevel="1">
      <c r="B118" s="166"/>
      <c r="C118" s="166"/>
      <c r="D118" s="166"/>
      <c r="E118" s="166"/>
      <c r="F118" s="166"/>
      <c r="G118" s="166"/>
      <c r="H118" s="166"/>
      <c r="I118" s="164"/>
    </row>
    <row r="119" spans="1:9" s="117" customFormat="1" outlineLevel="1">
      <c r="B119" s="166"/>
      <c r="C119" s="166"/>
      <c r="D119" s="166"/>
      <c r="E119" s="166"/>
      <c r="F119" s="166"/>
      <c r="G119" s="166"/>
      <c r="H119" s="166"/>
      <c r="I119" s="164"/>
    </row>
    <row r="120" spans="1:9" s="117" customFormat="1" outlineLevel="1">
      <c r="A120" s="95"/>
      <c r="B120" s="185"/>
      <c r="C120" s="185"/>
      <c r="D120" s="185"/>
      <c r="E120" s="185"/>
      <c r="F120" s="185"/>
      <c r="G120" s="185"/>
      <c r="H120" s="185"/>
      <c r="I120" s="156"/>
    </row>
    <row r="121" spans="1:9" s="117" customFormat="1" outlineLevel="1">
      <c r="B121" s="157"/>
      <c r="C121" s="157"/>
      <c r="D121" s="157"/>
      <c r="E121" s="157"/>
      <c r="F121" s="95"/>
      <c r="G121" s="95"/>
      <c r="H121" s="95"/>
      <c r="I121" s="162"/>
    </row>
    <row r="122" spans="1:9" s="117" customFormat="1" outlineLevel="1">
      <c r="B122" s="95"/>
      <c r="C122" s="95"/>
      <c r="D122" s="95"/>
      <c r="E122" s="95"/>
      <c r="F122" s="159"/>
      <c r="G122" s="159"/>
      <c r="H122" s="159"/>
      <c r="I122" s="162"/>
    </row>
    <row r="123" spans="1:9" s="117" customFormat="1" outlineLevel="1">
      <c r="B123" s="95"/>
      <c r="C123" s="95"/>
      <c r="D123" s="95"/>
      <c r="E123" s="95"/>
      <c r="F123" s="95"/>
      <c r="G123" s="95"/>
      <c r="H123" s="95"/>
      <c r="I123" s="162"/>
    </row>
    <row r="124" spans="1:9" s="117" customFormat="1">
      <c r="B124" s="179"/>
      <c r="C124" s="179"/>
      <c r="D124" s="179"/>
      <c r="E124" s="179"/>
      <c r="F124" s="163"/>
      <c r="G124" s="163"/>
      <c r="H124" s="163"/>
      <c r="I124" s="162"/>
    </row>
    <row r="125" spans="1:9" s="117" customFormat="1">
      <c r="B125" s="179"/>
      <c r="C125" s="179"/>
      <c r="D125" s="179"/>
      <c r="E125" s="179"/>
      <c r="F125" s="163"/>
      <c r="G125" s="163"/>
      <c r="H125" s="163"/>
      <c r="I125" s="162"/>
    </row>
    <row r="126" spans="1:9" s="117" customFormat="1">
      <c r="B126" s="179"/>
      <c r="C126" s="179"/>
      <c r="D126" s="179"/>
      <c r="E126" s="179"/>
      <c r="F126" s="163"/>
      <c r="G126" s="163"/>
      <c r="H126" s="163"/>
      <c r="I126" s="162"/>
    </row>
    <row r="127" spans="1:9" s="117" customFormat="1" outlineLevel="1">
      <c r="B127" s="179"/>
      <c r="C127" s="179"/>
      <c r="D127" s="179"/>
      <c r="E127" s="179"/>
      <c r="F127" s="163"/>
      <c r="G127" s="163"/>
      <c r="H127" s="163"/>
      <c r="I127" s="162"/>
    </row>
    <row r="128" spans="1:9" s="117" customFormat="1" outlineLevel="1">
      <c r="B128" s="179"/>
      <c r="C128" s="179"/>
      <c r="D128" s="179"/>
      <c r="E128" s="179"/>
      <c r="F128" s="163"/>
      <c r="G128" s="163"/>
      <c r="H128" s="163"/>
      <c r="I128" s="162"/>
    </row>
    <row r="129" spans="1:9" s="117" customFormat="1" outlineLevel="1">
      <c r="B129" s="179"/>
      <c r="C129" s="179"/>
      <c r="D129" s="179"/>
      <c r="E129" s="179"/>
      <c r="F129" s="163"/>
      <c r="G129" s="163"/>
      <c r="H129" s="163"/>
      <c r="I129" s="162"/>
    </row>
    <row r="130" spans="1:9" s="117" customFormat="1" outlineLevel="1">
      <c r="B130" s="179"/>
      <c r="C130" s="179"/>
      <c r="D130" s="179"/>
      <c r="E130" s="179"/>
      <c r="F130" s="163"/>
      <c r="G130" s="163"/>
      <c r="H130" s="163"/>
      <c r="I130" s="162"/>
    </row>
    <row r="131" spans="1:9" s="117" customFormat="1" outlineLevel="1">
      <c r="B131" s="179"/>
      <c r="C131" s="179"/>
      <c r="D131" s="179"/>
      <c r="E131" s="179"/>
      <c r="F131" s="163"/>
      <c r="G131" s="163"/>
      <c r="H131" s="163"/>
      <c r="I131" s="162"/>
    </row>
    <row r="132" spans="1:9" s="117" customFormat="1" outlineLevel="1">
      <c r="B132" s="179"/>
      <c r="C132" s="179"/>
      <c r="D132" s="179"/>
      <c r="E132" s="179"/>
      <c r="F132" s="163"/>
      <c r="G132" s="163"/>
      <c r="H132" s="163"/>
      <c r="I132" s="162"/>
    </row>
    <row r="133" spans="1:9" s="117" customFormat="1" outlineLevel="1">
      <c r="B133" s="179"/>
      <c r="C133" s="179"/>
      <c r="D133" s="179"/>
      <c r="E133" s="179"/>
      <c r="F133" s="163"/>
      <c r="G133" s="163"/>
      <c r="H133" s="163"/>
      <c r="I133" s="162"/>
    </row>
    <row r="134" spans="1:9" s="117" customFormat="1" outlineLevel="1">
      <c r="B134" s="179"/>
      <c r="C134" s="179"/>
      <c r="D134" s="179"/>
      <c r="E134" s="179"/>
      <c r="F134" s="182"/>
      <c r="G134" s="182"/>
      <c r="H134" s="182"/>
      <c r="I134" s="164"/>
    </row>
    <row r="135" spans="1:9" s="117" customFormat="1" outlineLevel="1">
      <c r="B135" s="166"/>
      <c r="C135" s="166"/>
      <c r="D135" s="166"/>
      <c r="E135" s="166"/>
      <c r="F135" s="166"/>
      <c r="G135" s="166"/>
      <c r="H135" s="166"/>
      <c r="I135" s="164"/>
    </row>
    <row r="136" spans="1:9" s="117" customFormat="1" outlineLevel="1">
      <c r="B136" s="166"/>
      <c r="C136" s="166"/>
      <c r="D136" s="166"/>
      <c r="E136" s="166"/>
      <c r="F136" s="166"/>
      <c r="G136" s="166"/>
      <c r="H136" s="166"/>
      <c r="I136" s="164"/>
    </row>
    <row r="137" spans="1:9" s="117" customFormat="1" outlineLevel="1">
      <c r="B137" s="166"/>
      <c r="C137" s="166"/>
      <c r="D137" s="166"/>
      <c r="E137" s="166"/>
      <c r="F137" s="166"/>
      <c r="G137" s="166"/>
      <c r="H137" s="166"/>
      <c r="I137" s="164"/>
    </row>
    <row r="138" spans="1:9" s="117" customFormat="1" outlineLevel="1">
      <c r="B138" s="166"/>
      <c r="C138" s="166"/>
      <c r="D138" s="166"/>
      <c r="E138" s="166"/>
      <c r="F138" s="166"/>
      <c r="G138" s="166"/>
      <c r="H138" s="166"/>
      <c r="I138" s="164"/>
    </row>
    <row r="139" spans="1:9" s="117" customFormat="1" outlineLevel="1">
      <c r="B139" s="166"/>
      <c r="C139" s="166"/>
      <c r="D139" s="166"/>
      <c r="E139" s="166"/>
      <c r="F139" s="166"/>
      <c r="G139" s="166"/>
      <c r="H139" s="166"/>
      <c r="I139" s="164"/>
    </row>
    <row r="140" spans="1:9" s="117" customFormat="1">
      <c r="A140" s="95"/>
      <c r="B140" s="187"/>
      <c r="C140" s="187"/>
      <c r="D140" s="187"/>
      <c r="E140" s="187"/>
      <c r="F140" s="116"/>
      <c r="G140" s="116"/>
      <c r="H140" s="116"/>
      <c r="I140" s="156"/>
    </row>
    <row r="141" spans="1:9" s="117" customFormat="1">
      <c r="A141" s="95"/>
      <c r="B141" s="170"/>
      <c r="C141" s="170"/>
      <c r="D141" s="170"/>
      <c r="E141" s="170"/>
      <c r="F141" s="170"/>
      <c r="G141" s="170"/>
      <c r="H141" s="170"/>
    </row>
    <row r="142" spans="1:9" s="117" customFormat="1">
      <c r="A142" s="95"/>
      <c r="B142" s="170"/>
      <c r="C142" s="170"/>
      <c r="D142" s="170"/>
      <c r="E142" s="170"/>
      <c r="F142" s="170"/>
      <c r="G142" s="170"/>
      <c r="H142" s="170"/>
    </row>
    <row r="143" spans="1:9" s="117" customFormat="1">
      <c r="A143" s="95"/>
      <c r="B143" s="170"/>
      <c r="C143" s="170"/>
      <c r="D143" s="170"/>
      <c r="E143" s="170"/>
      <c r="F143" s="170"/>
      <c r="G143" s="170"/>
      <c r="H143" s="170"/>
    </row>
    <row r="144" spans="1:9" s="117" customFormat="1">
      <c r="A144" s="95"/>
      <c r="B144" s="170"/>
      <c r="C144" s="170"/>
      <c r="D144" s="170"/>
      <c r="E144" s="170"/>
      <c r="F144" s="170"/>
      <c r="G144" s="170"/>
      <c r="H144" s="170"/>
    </row>
    <row r="145" spans="1:9" s="117" customFormat="1">
      <c r="A145" s="95"/>
      <c r="B145" s="170"/>
      <c r="C145" s="170"/>
      <c r="D145" s="170"/>
      <c r="E145" s="170"/>
      <c r="F145" s="170"/>
      <c r="G145" s="170"/>
      <c r="H145" s="170"/>
    </row>
    <row r="146" spans="1:9" s="525" customFormat="1"/>
    <row r="147" spans="1:9" s="117" customFormat="1">
      <c r="B147" s="188"/>
      <c r="C147" s="188"/>
      <c r="D147" s="188"/>
      <c r="E147" s="188"/>
      <c r="F147" s="116"/>
      <c r="G147" s="116"/>
      <c r="H147" s="116"/>
      <c r="I147" s="189"/>
    </row>
    <row r="148" spans="1:9" s="117" customFormat="1">
      <c r="B148" s="185"/>
      <c r="C148" s="185"/>
      <c r="D148" s="185"/>
      <c r="E148" s="185"/>
      <c r="F148" s="190"/>
      <c r="G148" s="190"/>
      <c r="H148" s="190"/>
      <c r="I148" s="191"/>
    </row>
    <row r="149" spans="1:9" s="117" customFormat="1">
      <c r="B149" s="192"/>
      <c r="C149" s="192"/>
      <c r="D149" s="192"/>
      <c r="E149" s="192"/>
      <c r="F149" s="192"/>
      <c r="G149" s="192"/>
      <c r="H149" s="192"/>
      <c r="I149" s="192"/>
    </row>
    <row r="150" spans="1:9" s="117" customFormat="1">
      <c r="B150" s="118"/>
      <c r="C150" s="118"/>
      <c r="D150" s="118"/>
      <c r="E150" s="118"/>
      <c r="F150" s="193"/>
      <c r="G150" s="193"/>
      <c r="H150" s="193"/>
      <c r="I150" s="192"/>
    </row>
    <row r="151" spans="1:9" s="117" customFormat="1">
      <c r="A151" s="95"/>
      <c r="I151" s="192"/>
    </row>
    <row r="152" spans="1:9" s="117" customFormat="1"/>
    <row r="153" spans="1:9" s="117" customFormat="1">
      <c r="B153" s="196"/>
      <c r="C153" s="196"/>
      <c r="D153" s="196"/>
      <c r="E153" s="196"/>
    </row>
    <row r="154" spans="1:9" s="117" customFormat="1">
      <c r="F154" s="197"/>
      <c r="G154" s="197"/>
      <c r="H154" s="197"/>
    </row>
    <row r="155" spans="1:9" s="117" customFormat="1">
      <c r="F155" s="197"/>
      <c r="G155" s="197"/>
      <c r="H155" s="197"/>
    </row>
    <row r="156" spans="1:9" s="117" customFormat="1">
      <c r="F156" s="197"/>
      <c r="G156" s="197"/>
      <c r="H156" s="197"/>
    </row>
    <row r="157" spans="1:9" s="117" customFormat="1">
      <c r="F157" s="197"/>
      <c r="G157" s="197"/>
      <c r="H157" s="197"/>
    </row>
    <row r="158" spans="1:9" s="117" customFormat="1">
      <c r="F158" s="197"/>
      <c r="G158" s="197"/>
      <c r="H158" s="197"/>
    </row>
    <row r="159" spans="1:9" s="117" customFormat="1">
      <c r="F159" s="197"/>
      <c r="G159" s="197"/>
      <c r="H159" s="197"/>
    </row>
    <row r="160" spans="1:9" s="117" customFormat="1">
      <c r="B160" s="185"/>
      <c r="C160" s="185"/>
      <c r="D160" s="185"/>
      <c r="E160" s="185"/>
    </row>
    <row r="161" spans="2:9" s="117" customFormat="1">
      <c r="B161" s="185"/>
      <c r="C161" s="185"/>
      <c r="D161" s="185"/>
      <c r="E161" s="185"/>
    </row>
    <row r="162" spans="2:9" s="117" customFormat="1"/>
    <row r="163" spans="2:9" s="117" customFormat="1"/>
    <row r="164" spans="2:9" s="117" customFormat="1"/>
    <row r="165" spans="2:9" s="117" customFormat="1"/>
    <row r="166" spans="2:9" ht="15">
      <c r="B166" s="198"/>
      <c r="C166" s="198"/>
      <c r="D166" s="198"/>
      <c r="E166" s="198"/>
      <c r="F166" s="198"/>
      <c r="G166" s="198"/>
      <c r="H166" s="198"/>
      <c r="I166" s="198"/>
    </row>
    <row r="167" spans="2:9" ht="15">
      <c r="B167" s="198"/>
      <c r="C167" s="198"/>
      <c r="D167" s="198"/>
      <c r="E167" s="198"/>
      <c r="F167" s="198"/>
      <c r="G167" s="198"/>
      <c r="H167" s="198"/>
      <c r="I167" s="198"/>
    </row>
    <row r="168" spans="2:9" ht="15">
      <c r="B168" s="198"/>
      <c r="C168" s="198"/>
      <c r="D168" s="198"/>
      <c r="E168" s="198"/>
      <c r="F168" s="198"/>
      <c r="G168" s="198"/>
      <c r="H168" s="198"/>
      <c r="I168" s="198"/>
    </row>
  </sheetData>
  <mergeCells count="3">
    <mergeCell ref="D34:I34"/>
    <mergeCell ref="D33:J33"/>
    <mergeCell ref="D32:K32"/>
  </mergeCells>
  <conditionalFormatting sqref="B148:H148 H2:H4">
    <cfRule type="cellIs" dxfId="165" priority="8" stopIfTrue="1" operator="equal">
      <formula>"input"</formula>
    </cfRule>
  </conditionalFormatting>
  <conditionalFormatting sqref="D4:E4">
    <cfRule type="cellIs" dxfId="164" priority="7" stopIfTrue="1" operator="equal">
      <formula>"input"</formula>
    </cfRule>
  </conditionalFormatting>
  <conditionalFormatting sqref="C4">
    <cfRule type="cellIs" dxfId="163" priority="5" stopIfTrue="1" operator="equal">
      <formula>"input"</formula>
    </cfRule>
  </conditionalFormatting>
  <conditionalFormatting sqref="B4">
    <cfRule type="cellIs" dxfId="162" priority="4" stopIfTrue="1" operator="equal">
      <formula>"input"</formula>
    </cfRule>
  </conditionalFormatting>
  <conditionalFormatting sqref="F4:G4">
    <cfRule type="cellIs" dxfId="161" priority="2" stopIfTrue="1" operator="equal">
      <formula>"input"</formula>
    </cfRule>
  </conditionalFormatting>
  <conditionalFormatting sqref="I4:K4">
    <cfRule type="cellIs" dxfId="160" priority="1" stopIfTrue="1" operator="equal">
      <formula>"input"</formula>
    </cfRule>
  </conditionalFormatting>
  <pageMargins left="0.5" right="0.5" top="0.5" bottom="0.5" header="0.3" footer="0.3"/>
  <pageSetup scale="101" fitToWidth="0" fitToHeight="0" orientation="landscape" r:id="rId1"/>
  <rowBreaks count="2" manualBreakCount="2">
    <brk id="52" max="15" man="1"/>
    <brk id="99" max="15"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15"/>
  <sheetViews>
    <sheetView showGridLines="0" view="pageBreakPreview" zoomScale="60" zoomScaleNormal="100" workbookViewId="0">
      <selection activeCell="D19" sqref="D19"/>
    </sheetView>
  </sheetViews>
  <sheetFormatPr defaultColWidth="8" defaultRowHeight="12.75" outlineLevelRow="1"/>
  <cols>
    <col min="1" max="1" width="1.5703125" style="200" customWidth="1"/>
    <col min="2" max="2" width="16.7109375" style="200" customWidth="1"/>
    <col min="3" max="3" width="18.7109375" style="200" customWidth="1"/>
    <col min="4" max="4" width="10.7109375" style="200" customWidth="1"/>
    <col min="5" max="9" width="18.7109375" style="200" customWidth="1"/>
    <col min="10" max="10" width="3.140625" style="200" customWidth="1"/>
    <col min="11" max="11" width="19.5703125" style="200" bestFit="1" customWidth="1"/>
    <col min="12" max="16384" width="8" style="200"/>
  </cols>
  <sheetData>
    <row r="1" spans="1:15" s="78" customFormat="1" ht="11.25" customHeight="1" thickBot="1">
      <c r="A1" s="77"/>
      <c r="B1" s="79"/>
      <c r="C1" s="79"/>
      <c r="D1" s="79"/>
      <c r="E1" s="79"/>
      <c r="F1" s="79"/>
      <c r="G1" s="79"/>
      <c r="H1" s="79"/>
      <c r="I1" s="79"/>
    </row>
    <row r="2" spans="1:15" s="81" customFormat="1" ht="15.75" customHeight="1" thickTop="1">
      <c r="A2" s="80"/>
      <c r="B2" s="82" t="str">
        <f>Outline!B2</f>
        <v>Satellite Healthcare WB Santa Cruz Valuation</v>
      </c>
      <c r="C2" s="82"/>
      <c r="D2" s="82"/>
      <c r="E2" s="82"/>
      <c r="F2" s="82"/>
      <c r="G2" s="82"/>
      <c r="H2" s="82"/>
      <c r="I2" s="85"/>
    </row>
    <row r="3" spans="1:15" s="81" customFormat="1" ht="15.75" customHeight="1">
      <c r="A3" s="88"/>
      <c r="B3" s="89" t="str">
        <f>Outline!C29</f>
        <v>Exhibit D3</v>
      </c>
      <c r="C3" s="89"/>
      <c r="D3" s="89"/>
      <c r="E3" s="89"/>
      <c r="F3" s="89"/>
      <c r="G3" s="89"/>
      <c r="H3" s="89"/>
      <c r="I3" s="89"/>
    </row>
    <row r="4" spans="1:15" s="81" customFormat="1" ht="15.75" customHeight="1" thickBot="1">
      <c r="A4" s="80"/>
      <c r="B4" s="91" t="s">
        <v>435</v>
      </c>
      <c r="C4" s="91"/>
      <c r="D4" s="91"/>
      <c r="E4" s="91"/>
      <c r="F4" s="91"/>
      <c r="G4" s="91"/>
      <c r="H4" s="91"/>
      <c r="I4" s="91"/>
    </row>
    <row r="5" spans="1:15" s="81" customFormat="1" ht="15.75" customHeight="1" thickTop="1">
      <c r="A5" s="80"/>
      <c r="B5" s="97"/>
      <c r="C5" s="97"/>
      <c r="D5" s="97"/>
      <c r="E5" s="97"/>
      <c r="F5" s="97"/>
      <c r="G5" s="97"/>
      <c r="H5" s="97"/>
      <c r="I5" s="97"/>
      <c r="J5" s="97"/>
      <c r="K5" s="97"/>
      <c r="L5" s="97"/>
      <c r="M5" s="97"/>
      <c r="N5" s="97"/>
      <c r="O5" s="97"/>
    </row>
    <row r="6" spans="1:15" s="310" customFormat="1" ht="16.5" customHeight="1">
      <c r="B6" s="533" t="s">
        <v>73</v>
      </c>
      <c r="C6" s="533" t="s">
        <v>72</v>
      </c>
      <c r="D6" s="311" t="s">
        <v>74</v>
      </c>
      <c r="E6" s="1285" t="s">
        <v>352</v>
      </c>
      <c r="F6" s="1285"/>
      <c r="G6" s="1285"/>
      <c r="H6" s="1285"/>
      <c r="I6" s="1285"/>
      <c r="K6" s="312" t="s">
        <v>195</v>
      </c>
      <c r="L6" s="310" t="s">
        <v>196</v>
      </c>
    </row>
    <row r="7" spans="1:15" s="117" customFormat="1" ht="15.75" customHeight="1">
      <c r="A7" s="116"/>
      <c r="B7" s="313"/>
      <c r="C7" s="313"/>
      <c r="D7" s="313"/>
      <c r="E7" s="313"/>
      <c r="F7" s="313"/>
      <c r="G7" s="313"/>
      <c r="H7" s="313"/>
      <c r="I7" s="313"/>
      <c r="K7" s="314"/>
    </row>
    <row r="8" spans="1:15" s="117" customFormat="1" ht="32.25" customHeight="1">
      <c r="A8" s="116"/>
      <c r="B8" s="947" t="str">
        <f>'F1'!D9</f>
        <v>DaVita Dialysis Property in Texas</v>
      </c>
      <c r="C8" s="946" t="str">
        <f>'F1'!C9</f>
        <v>American Finance Trust, Inc.</v>
      </c>
      <c r="D8" s="993">
        <f>'F1'!E9</f>
        <v>43465</v>
      </c>
      <c r="E8" s="1288" t="str">
        <f>_xll.ciqfunctions.udf.CIQ(K8, "IQ_BUSINESS_DESCRIPTION")</f>
        <v>DaVita Dialysis Property in Texas comprises commercial real estate property. The asset is located in the United States.</v>
      </c>
      <c r="F8" s="1289"/>
      <c r="G8" s="1289"/>
      <c r="H8" s="1289"/>
      <c r="I8" s="1289"/>
      <c r="K8" s="121" t="str">
        <f>'F1'!B9</f>
        <v>IQTR605577236</v>
      </c>
    </row>
    <row r="9" spans="1:15" s="117" customFormat="1" ht="32.25" customHeight="1">
      <c r="A9" s="116"/>
      <c r="B9" s="947" t="str">
        <f>'F1'!D10</f>
        <v>One Dialysis Center in United States</v>
      </c>
      <c r="C9" s="946" t="str">
        <f>'F1'!C10</f>
        <v>DaVita Inc.</v>
      </c>
      <c r="D9" s="993">
        <f>'F1'!E10</f>
        <v>43190</v>
      </c>
      <c r="E9" s="1288" t="str">
        <f>_xll.ciqfunctions.udf.CIQ(K9, "IQ_BUSINESS_DESCRIPTION")</f>
        <v>As of March 31, 2018, One Dialysis Center in United States was acquired by DaVita Inc. One Dialysis Center in United States comprises dialysis center and is located in the United States.</v>
      </c>
      <c r="F9" s="1289"/>
      <c r="G9" s="1289"/>
      <c r="H9" s="1289"/>
      <c r="I9" s="1289"/>
      <c r="K9" s="121" t="str">
        <f>'F1'!B10</f>
        <v>IQTR562093470</v>
      </c>
    </row>
    <row r="10" spans="1:15" s="117" customFormat="1" ht="144" customHeight="1">
      <c r="A10" s="116"/>
      <c r="B10" s="947" t="str">
        <f>'F1'!D11</f>
        <v>Renal Ventures Management, LLC</v>
      </c>
      <c r="C10" s="946" t="str">
        <f>'F1'!C11</f>
        <v>DaVita HealthCare Partners Inc. (nka:DaVita Inc.)</v>
      </c>
      <c r="D10" s="993">
        <f>'F1'!E11</f>
        <v>42856</v>
      </c>
      <c r="E10" s="1288" t="str">
        <f>_xll.ciqfunctions.udf.CIQ(K10, "IQ_BUSINESS_DESCRIPTION")</f>
        <v>Renal Ventures Management, LLC provides dialysis care and information for people living with chronic kidney disease in the United States. The company also provides supporting services, such as insurance and managed care contract negotiation, achieving favorable pricing with vendors, accounts receivable and collections, information technology IT support, and ongoing education. Renal Ventures Management, LLC was incorporated in 1997 and is headquartered in Lakewood, Colorado. It has dialysis centers in Mountain Home, Arkansas; Storm Lake and Fort Dodge, Iowa; Philadelphia, Pennsylvania; Bayonne, Brick, Clifton, Englewood, Morristown, Newton, Newark, Sewell, Somerville, Succasunna, Trenton, and Westwood, New Jersey; Beaumont, West Beaumont, Carrollton, Dallas, Denton, Fort Worth, Frisco, Keller, Lewisville, Nederland, North Richland Hills, Orange, Plano, Port Arthur, Tyler, Flower Mound, and Tyler Waterton, Texas; and Moorefield and Keyser, West Virginia. As of May 1, 2017, Renal Ventures Management, LLC operates as a subsidiary of DaVita Kidney Care</v>
      </c>
      <c r="F10" s="1289"/>
      <c r="G10" s="1289"/>
      <c r="H10" s="1289"/>
      <c r="I10" s="1289"/>
      <c r="K10" s="121" t="str">
        <f>'F1'!B11</f>
        <v>IQTR309873521</v>
      </c>
    </row>
    <row r="11" spans="1:15" s="117" customFormat="1" ht="84" customHeight="1">
      <c r="B11" s="947" t="str">
        <f>'F1'!D12</f>
        <v>Majority stakes in Clarion Dialysis Center And Oil City Dialysis Center LLC</v>
      </c>
      <c r="C11" s="946" t="str">
        <f>'F1'!C12</f>
        <v>American Renal Associates LLC</v>
      </c>
      <c r="D11" s="993">
        <f>'F1'!E12</f>
        <v>42628</v>
      </c>
      <c r="E11" s="1288" t="str">
        <f>_xll.ciqfunctions.udf.CIQ(K11, "IQ_BUSINESS_DESCRIPTION")</f>
        <v>Majority stakes in Clarion Dialysis Center And Oil City Dialysis Center LLC represents the combined operations of in Clarion Dialysis Center and Oil City Dialysis Center LLC in their sale to American Renal Associates LLC. As of September 15, 2016, Majority stakes in Clarion Dialysis Center And Oil City Dialysis Center LLC were acquired by American Renal Associates LLC. Clarion Dialysis Center and Oil City Dialysis Center LLC provide hemodialysis and peritoneal dialysis to patients suffering from renal failure. Clarion Dialysis Center is based in Clarion, Pennsylvania. Oil City Dialysis Center LLC is based in Cranberry, Pennsylvania.</v>
      </c>
      <c r="F11" s="1289"/>
      <c r="G11" s="1289"/>
      <c r="H11" s="1289"/>
      <c r="I11" s="1289"/>
      <c r="K11" s="121" t="str">
        <f>'F1'!B12</f>
        <v>IQTR404776897</v>
      </c>
    </row>
    <row r="12" spans="1:15" s="117" customFormat="1" ht="84" customHeight="1">
      <c r="B12" s="947" t="str">
        <f>'F1'!D13</f>
        <v>Dialysis Newco, Inc.</v>
      </c>
      <c r="C12" s="946" t="str">
        <f>'F1'!C13</f>
        <v>U.S. Renal Care, Inc.</v>
      </c>
      <c r="D12" s="993">
        <f>'F1'!E13</f>
        <v>42369</v>
      </c>
      <c r="E12" s="1288" t="str">
        <f>_xll.ciqfunctions.udf.CIQ(K12, "IQ_BUSINESS_DESCRIPTION")</f>
        <v>Dialysis Newco, Inc., doing business as DSI Renal Inc., owns and operates dialysis clinics in the United States. The company offers dialysis services for patients suffering from chronic kidney failure and renal disease. It provides hemodialysis and nocturnal hemodialysis services at the clinic; hemodialysis/NxStage and peritoneal dialysis at the patient’s home; and kidney transplantation services. Dialysis Newco, Inc. was formerly known as DaVita Inc., 30 Dialysis Clinics and changed its name to Dialysis Newco, Inc. in September, 2011. Dialysis Newco, Inc. was founded in 2011 and is based in Nashville, Tennessee. As of December 31, 2015, Dialysis Newco, Inc. operates as a subsidiary of U.S. Renal Care, Inc.</v>
      </c>
      <c r="F12" s="1289"/>
      <c r="G12" s="1289"/>
      <c r="H12" s="1289"/>
      <c r="I12" s="1289"/>
      <c r="K12" s="121" t="str">
        <f>'F1'!B13</f>
        <v>IQTR309895463</v>
      </c>
    </row>
    <row r="13" spans="1:15" s="117" customFormat="1" ht="46.5" customHeight="1">
      <c r="B13" s="947" t="str">
        <f>'F1'!D14</f>
        <v>Comprehensive Dialysis Center of WNY Inc.</v>
      </c>
      <c r="C13" s="946" t="str">
        <f>'F1'!C14</f>
        <v>Pure Life Renal, LLC</v>
      </c>
      <c r="D13" s="993">
        <f>'F1'!E14</f>
        <v>42264</v>
      </c>
      <c r="E13" s="1288" t="str">
        <f>_xll.ciqfunctions.udf.CIQ(K13, "IQ_BUSINESS_DESCRIPTION")</f>
        <v>Comprehensive Dialysis Center of WNY Inc. provides renal dialysis on site and through home-based service. The company is based in Williamsville, New York. As of September 17, 2015, Comprehensive Dialysis Center of WNY Inc. operates as a subsidiary of Pure Life Renal, LLC.</v>
      </c>
      <c r="F13" s="1289"/>
      <c r="G13" s="1289"/>
      <c r="H13" s="1289"/>
      <c r="I13" s="1289"/>
      <c r="K13" s="121" t="str">
        <f>'F1'!B14</f>
        <v>IQTR287234522</v>
      </c>
    </row>
    <row r="14" spans="1:15" s="117" customFormat="1" ht="47.25" customHeight="1">
      <c r="B14" s="947" t="str">
        <f>'F1'!D15</f>
        <v>Dialysis Center Property in Indiana</v>
      </c>
      <c r="C14" s="946" t="str">
        <f>'F1'!C15</f>
        <v>Carter/Validus Operating Partnership, LP</v>
      </c>
      <c r="D14" s="993">
        <f>'F1'!E15</f>
        <v>41436</v>
      </c>
      <c r="E14" s="1288" t="str">
        <f>_xll.ciqfunctions.udf.CIQ(K14, "IQ_BUSINESS_DESCRIPTION")</f>
        <v>As of June 11, 2013, Dialysis Center Property in Indiana was acquired by Carter/Validus Operating Partnership, LP. Dialysis Center Property in Indiana comprises a medical facility including an outpatient dialysis center. The property is located in Goshen, Indiana.</v>
      </c>
      <c r="F14" s="1289"/>
      <c r="G14" s="1289"/>
      <c r="H14" s="1289"/>
      <c r="I14" s="1289"/>
      <c r="J14" s="176"/>
      <c r="K14" s="121" t="str">
        <f>'F1'!B15</f>
        <v>IQTR241959689</v>
      </c>
    </row>
    <row r="15" spans="1:15" s="117" customFormat="1" ht="71.25" customHeight="1">
      <c r="B15" s="947" t="str">
        <f>'F1'!D16</f>
        <v>Medigroup Inc.</v>
      </c>
      <c r="C15" s="946" t="str">
        <f>'F1'!C16</f>
        <v>Merit Medical Systems, Inc.</v>
      </c>
      <c r="D15" s="993">
        <f>'F1'!E16</f>
        <v>41242</v>
      </c>
      <c r="E15" s="1288" t="str">
        <f>_xll.ciqfunctions.udf.CIQ(K15, "IQ_BUSINESS_DESCRIPTION")</f>
        <v>Medigroup Inc. provides peritoneal dialysis access products and services. The company offers flex-neck classic and ARC adult catheters, flex-neck adult exxtended catheters, and flex-neck children’s catheters. It also provides protective film products, such as protective shoe and footswitch covers against fluid and particulate contamination and damage for personnel, environmental, and equipment protection. The company was founded in 1979 and is based in Oswego, Illinois. As of November 29, 2012, Medigroup Inc. operates as a subsidiary of Merit Medical Systems, Inc.</v>
      </c>
      <c r="F15" s="1289"/>
      <c r="G15" s="1289"/>
      <c r="H15" s="1289"/>
      <c r="I15" s="1289"/>
      <c r="J15" s="176"/>
      <c r="K15" s="121" t="str">
        <f>'F1'!B16</f>
        <v>IQTR224758361</v>
      </c>
    </row>
    <row r="16" spans="1:15" s="117" customFormat="1" ht="153" customHeight="1">
      <c r="B16" s="947" t="str">
        <f>'F1'!D17</f>
        <v>Conmed Healthcare Management, Inc</v>
      </c>
      <c r="C16" s="946" t="str">
        <f>'F1'!C17</f>
        <v>Correct Care Solutions, LLC</v>
      </c>
      <c r="D16" s="993">
        <f>'F1'!E17</f>
        <v>41148</v>
      </c>
      <c r="E16" s="1288" t="str">
        <f>_xll.ciqfunctions.udf.CIQ(K16, "IQ_BUSINESS_DESCRIPTION")</f>
        <v>Conmed Healthcare Management, Inc. provides correctional healthcare services to county and municipal detention centers in the United States. Its correctional healthcare services include general healthcare, dialysis, pharmacy, acute care, EKG’s, durable medical equipment, physical and occupational therapy, IV therapy, diagnostic imaging/radiology, laboratory, dental, mental health, electronic medical records, electronic medication administration records, utilization management, and utilization review services, as well as arranging and contracting for hospital and surgical services. The company also offers staffing of healthcare professionals to its contracted facilities. In addition, it provides value-added services, such as healthcare services consultations, audit compliance programs, occupational safety and health administration compliance programs, risk management services, sick call services for facility staff, and emergency services for staff and visitors. As of December 31, 2011, it served county and municipal correctional facilities in eight states, including Arizona, Kansas, Maryland, New Jersey, Oregon, Tennessee, Virginia, and Washington. The company is headquartered in Hanover, Maryland. As of August 27, 2012, Conmed Healthcare Management, Inc operates as a subsidiary of Correct Care Solutions, LLC.</v>
      </c>
      <c r="F16" s="1289"/>
      <c r="G16" s="1289"/>
      <c r="H16" s="1289"/>
      <c r="I16" s="1289"/>
      <c r="J16" s="176"/>
      <c r="K16" s="121" t="str">
        <f>'F1'!B17</f>
        <v>IQTR214248030</v>
      </c>
    </row>
    <row r="17" spans="2:11" s="117" customFormat="1" ht="113.25" customHeight="1">
      <c r="B17" s="947" t="str">
        <f>'F1'!D18</f>
        <v>Woods Memorial Hospital, LLC</v>
      </c>
      <c r="C17" s="946" t="str">
        <f>'F1'!C18</f>
        <v>Lifepoint Hospitals Inc. (nka:LifePoint Health, Inc.)</v>
      </c>
      <c r="D17" s="993">
        <f>'F1'!E18</f>
        <v>41092</v>
      </c>
      <c r="E17" s="1288" t="str">
        <f>_xll.ciqfunctions.udf.CIQ(K17, "IQ_BUSINESS_DESCRIPTION")</f>
        <v>As of July 2, 2012, Woods Memorial Hospital, LLC was acquired by LifePoint Health, Inc. Woods Memorial Hospital, LLC, doing business as Woods Memorial Hospital, operates a hospital that provides various healthcare services to patients in Tennessee. It offers emergency department, surgery, intensive care unit, respiratory and cardiopulmonary, rehabilitation, nursing home, wound care, senior care unit, and volunteers and gift shop services; external services, such as regional dialysis center, multi-specialty clinic, and wound care; and diagnostic imaging services, including CT, MRI, ultrasound/echocardiography, X-ray/flouroscopy, mammography, nuclear medicine, and bone densitometry. The company also provides helicopter ambulances, occupational health, auxiliary, and accreditation services; and various outpatient procedures, inpatient geriatric psychiatric unit, and other services. The company was founded in 1965 and is based in Etowah, Tennessee.</v>
      </c>
      <c r="F17" s="1289"/>
      <c r="G17" s="1289"/>
      <c r="H17" s="1289"/>
      <c r="I17" s="1289"/>
      <c r="J17" s="176"/>
      <c r="K17" s="121" t="str">
        <f>'F1'!B18</f>
        <v>IQTR208343843</v>
      </c>
    </row>
    <row r="18" spans="2:11" s="117" customFormat="1" ht="45.75" customHeight="1">
      <c r="B18" s="947" t="str">
        <f>'F1'!D19</f>
        <v>Liberty Dialysis, LLC</v>
      </c>
      <c r="C18" s="946" t="str">
        <f>'F1'!C19</f>
        <v>Fresenius Medical Care AG &amp; Co. KGaA</v>
      </c>
      <c r="D18" s="993">
        <f>'F1'!E19</f>
        <v>40967</v>
      </c>
      <c r="E18" s="1288" t="str">
        <f>_xll.ciqfunctions.udf.CIQ(K18, "IQ_BUSINESS_DESCRIPTION")</f>
        <v>Liberty Dialysis, LLC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v>
      </c>
      <c r="F18" s="1289"/>
      <c r="G18" s="1289"/>
      <c r="H18" s="1289"/>
      <c r="I18" s="1289"/>
      <c r="J18" s="176"/>
      <c r="K18" s="121" t="str">
        <f>'F1'!B19</f>
        <v>IQTR138691695</v>
      </c>
    </row>
    <row r="19" spans="2:11" s="117" customFormat="1" ht="85.5" customHeight="1">
      <c r="B19" s="947" t="str">
        <f>'F1'!D20</f>
        <v>DaVita Inc., 30 Dialysis Clinics (nka:Dialysis Newco, Inc.)</v>
      </c>
      <c r="C19" s="946" t="str">
        <f>'F1'!C20</f>
        <v>Frazier Healthcare Partners; New Enterprise Associates; Frazier Healthcare VI, L.P.; New Enterprise Associates XIII, L.P.</v>
      </c>
      <c r="D19" s="993">
        <f>'F1'!E20</f>
        <v>40847</v>
      </c>
      <c r="E19" s="1288" t="str">
        <f>_xll.ciqfunctions.udf.CIQ(K19, "IQ_BUSINESS_DESCRIPTION")</f>
        <v>Dialysis Newco, Inc., doing business as DSI Renal Inc., owns and operates dialysis clinics in the United States. The company offers dialysis services for patients suffering from chronic kidney failure and renal disease. It provides hemodialysis and nocturnal hemodialysis services at the clinic; hemodialysis/NxStage and peritoneal dialysis at the patient’s home; and kidney transplantation services. Dialysis Newco, Inc. was formerly known as DaVita Inc., 30 Dialysis Clinics and changed its name to Dialysis Newco, Inc. in September, 2011. Dialysis Newco, Inc. was founded in 2011 and is based in Nashville, Tennessee. As of December 31, 2015, Dialysis Newco, Inc. operates as a subsidiary of U.S. Renal Care, Inc.</v>
      </c>
      <c r="F19" s="1289"/>
      <c r="G19" s="1289"/>
      <c r="H19" s="1289"/>
      <c r="I19" s="1289"/>
      <c r="J19" s="176"/>
      <c r="K19" s="121" t="str">
        <f>'F1'!B20</f>
        <v>IQTR141272616</v>
      </c>
    </row>
    <row r="20" spans="2:11" s="117" customFormat="1" ht="88.5" customHeight="1">
      <c r="B20" s="947" t="str">
        <f>'F1'!D21</f>
        <v>ISD Renal, Inc.</v>
      </c>
      <c r="C20" s="946" t="str">
        <f>'F1'!C21</f>
        <v>DaVita Inc. (nka:DaVita Inc.)</v>
      </c>
      <c r="D20" s="993">
        <f>'F1'!E21</f>
        <v>40788</v>
      </c>
      <c r="E20" s="1288" t="str">
        <f>_xll.ciqfunctions.udf.CIQ(K20, "IQ_BUSINESS_DESCRIPTION")</f>
        <v>ISD Renal, Inc. owns and operates dialysis clinics that offer treatment for patients suffering from chronic kidney failure and renal diseases. The company provides peritoneal dialysis services, including continuous ambulatory peritoneal dialysis and continuous cycling peritoneal dialysis services. It also offers nocturnal hemodialysis, home hemodialysis, NxStage dialysis, and kidney transplant services. ISD Renal, Inc. was formerly known as DSI Renal, Inc. The company was founded in 2005 and is based in Nashville, Tennessee with locations in the United States, Canada, Australia, Germany, and England. As of September 2, 2011, ISD Renal, Inc. operates as a subsidiary of DaVita Kidney Care</v>
      </c>
      <c r="F20" s="1289"/>
      <c r="G20" s="1289"/>
      <c r="H20" s="1289"/>
      <c r="I20" s="1289"/>
      <c r="J20" s="176"/>
      <c r="K20" s="121" t="str">
        <f>'F1'!B21</f>
        <v>IQTR119130745</v>
      </c>
    </row>
    <row r="21" spans="2:11" s="117" customFormat="1" ht="66" customHeight="1">
      <c r="B21" s="947" t="str">
        <f>'F1'!D22</f>
        <v>Freestanding, Fee Simple DaVita Dialysis Center And Two Distribution Facilities</v>
      </c>
      <c r="C21" s="946" t="str">
        <f>'F1'!C22</f>
        <v>American Realty Capital Trust, Inc.</v>
      </c>
      <c r="D21" s="993">
        <f>'F1'!E22</f>
        <v>40661</v>
      </c>
      <c r="E21" s="1288" t="str">
        <f>_xll.ciqfunctions.udf.CIQ(K21, "IQ_BUSINESS_DESCRIPTION")</f>
        <v>Freestanding, Fee Simple DaVita Dialysis Center, Distribution Facility for Whirlpool Corporation and Distribution Facility for Wrangler Apparel Corp. comprises DaVita Dialysis Center spread over an area of 6,020 square feet; distribution facility for Whirlpool Corporation spread over an area of 750,000 square feet; and distribution facility for Wrangler Apparel Corp. spread over an area of 316,800 square feet. The facilities are located in Blackfoot, Idaho; Iowa City, Iowa; and El Paso, Texas.</v>
      </c>
      <c r="F21" s="1289"/>
      <c r="G21" s="1289"/>
      <c r="H21" s="1289"/>
      <c r="I21" s="1289"/>
      <c r="J21" s="176"/>
      <c r="K21" s="121" t="str">
        <f>'F1'!B22</f>
        <v>IQTR133845111</v>
      </c>
    </row>
    <row r="22" spans="2:11" s="117" customFormat="1" ht="75.75" customHeight="1">
      <c r="B22" s="947" t="str">
        <f>'F1'!D23</f>
        <v>Vista Healthcare, LLC</v>
      </c>
      <c r="C22" s="946" t="str">
        <f>'F1'!C23</f>
        <v>Kindred Healthcare, Inc. (nka:Kindred Healthcare, LLC)</v>
      </c>
      <c r="D22" s="993">
        <f>'F1'!E23</f>
        <v>40483</v>
      </c>
      <c r="E22" s="1288" t="str">
        <f>_xll.ciqfunctions.udf.CIQ(K22, "IQ_BUSINESS_DESCRIPTION")</f>
        <v>As of November 1, 2010, Vista Healthcare, LLC was acquired by Kindred Healthcare Inc. Vista Healthcare, LLC operates a chain of long-term acute care hospitals in California. It provides cardiac and hemodynamic monitoring, central line placement, hemodialysis, infections disease management, laboratory, multi-organ failure management, nutritional support, pharmacy, physical/occupational/speech therapy, PICC line placement, pain management, radiology, and social/utilization management services. The company was founded in 2003 and is based in Rancho Cucamonga, California.</v>
      </c>
      <c r="F22" s="1289"/>
      <c r="G22" s="1289"/>
      <c r="H22" s="1289"/>
      <c r="I22" s="1289"/>
      <c r="J22" s="176"/>
      <c r="K22" s="121" t="str">
        <f>'F1'!B23</f>
        <v>IQTR112218305</v>
      </c>
    </row>
    <row r="23" spans="2:11" s="117" customFormat="1" ht="119.25" customHeight="1">
      <c r="B23" s="947" t="str">
        <f>'F1'!D24</f>
        <v>Dialysis Corporation of America, Inc.</v>
      </c>
      <c r="C23" s="946" t="str">
        <f>'F1'!C24</f>
        <v>U.S. Renal Care, Inc.</v>
      </c>
      <c r="D23" s="993">
        <f>'F1'!E24</f>
        <v>40330</v>
      </c>
      <c r="E23" s="1288" t="str">
        <f>_xll.ciqfunctions.udf.CIQ(K23, "IQ_BUSINESS_DESCRIPTION")</f>
        <v>As of June 1, 2010, Dialysis Corporation of America, Inc. was acquired by U.S. Renal Care Inc. Dialysis Corporation of America, Inc. offers kidney hemodialysis and peritoneal dialysis services via a network of freestanding centers. The company offers chronic kidney disease services, including in-center, acute, or at-home hemodialysis, as well as training and support for home-based therapies, and referral for transplant evaluation. Dialysis Corporation of America, Inc. also assists patients with their nutritional, medical, and psychosocial needs; and provides disease state and dialysis treatment education to individuals through Renal Choices, a program helping patients choose a dialysis treatment option that fits their lifestyle. In addition, the company offers in-hospital dialysis services on a contract basis to various hospitals. Dialysis Corporation of America, Inc. was founded in 1976 and is based in Linthicum, Maryland. It has dialysis facilities in Virginia, Pennsylvania, New Jersey, Ohio, Georgia, South Carolina, and Maryland.</v>
      </c>
      <c r="F23" s="1289"/>
      <c r="G23" s="1289"/>
      <c r="H23" s="1289"/>
      <c r="I23" s="1289"/>
      <c r="J23" s="176"/>
      <c r="K23" s="121" t="str">
        <f>'F1'!B24</f>
        <v>IQTR100774562</v>
      </c>
    </row>
    <row r="24" spans="2:11" s="117" customFormat="1" ht="15.75" customHeight="1">
      <c r="B24" s="179"/>
      <c r="C24" s="179"/>
      <c r="D24" s="179"/>
      <c r="E24" s="131"/>
      <c r="F24" s="131"/>
      <c r="G24" s="131"/>
      <c r="H24" s="131"/>
      <c r="I24" s="131"/>
      <c r="J24" s="176"/>
      <c r="K24" s="121"/>
    </row>
    <row r="25" spans="2:11" s="117" customFormat="1" ht="15.75" customHeight="1">
      <c r="B25" s="179"/>
      <c r="C25" s="179"/>
      <c r="D25" s="179"/>
      <c r="E25" s="131"/>
      <c r="F25" s="131"/>
      <c r="G25" s="131"/>
      <c r="H25" s="131"/>
      <c r="I25" s="131"/>
      <c r="J25" s="176"/>
    </row>
    <row r="26" spans="2:11" s="117" customFormat="1" ht="15.75" customHeight="1">
      <c r="B26" s="179"/>
      <c r="C26" s="179"/>
      <c r="D26" s="179"/>
      <c r="E26" s="131"/>
      <c r="F26" s="131"/>
      <c r="G26" s="131"/>
      <c r="H26" s="131"/>
      <c r="I26" s="131"/>
      <c r="J26" s="176"/>
    </row>
    <row r="27" spans="2:11" s="117" customFormat="1" ht="15.75" customHeight="1">
      <c r="B27" s="179"/>
      <c r="C27" s="179"/>
      <c r="D27" s="179"/>
      <c r="E27" s="131"/>
      <c r="F27" s="131"/>
      <c r="G27" s="131"/>
      <c r="H27" s="131"/>
      <c r="I27" s="131"/>
      <c r="J27" s="176"/>
    </row>
    <row r="28" spans="2:11" s="117" customFormat="1" ht="15.75" customHeight="1">
      <c r="B28" s="95"/>
      <c r="C28" s="95"/>
      <c r="D28" s="95"/>
      <c r="E28" s="476"/>
      <c r="F28" s="476"/>
      <c r="G28" s="476"/>
      <c r="H28" s="476"/>
      <c r="I28" s="476"/>
      <c r="J28" s="176"/>
    </row>
    <row r="29" spans="2:11" s="117" customFormat="1" ht="15.75" customHeight="1">
      <c r="B29" s="166"/>
      <c r="C29" s="166"/>
      <c r="D29" s="166"/>
      <c r="E29" s="477"/>
      <c r="F29" s="477"/>
      <c r="G29" s="477"/>
      <c r="H29" s="477"/>
      <c r="I29" s="477"/>
      <c r="J29" s="176"/>
    </row>
    <row r="30" spans="2:11" s="117" customFormat="1" ht="15.75" customHeight="1">
      <c r="B30" s="166"/>
      <c r="C30" s="166"/>
      <c r="D30" s="166"/>
      <c r="E30" s="477"/>
      <c r="F30" s="477"/>
      <c r="G30" s="477"/>
      <c r="H30" s="477"/>
      <c r="I30" s="477"/>
      <c r="J30" s="176"/>
    </row>
    <row r="31" spans="2:11" s="117" customFormat="1" ht="15.75" customHeight="1">
      <c r="B31" s="166"/>
      <c r="C31" s="166"/>
      <c r="D31" s="166"/>
      <c r="E31" s="477"/>
      <c r="F31" s="477"/>
      <c r="G31" s="477"/>
      <c r="H31" s="477"/>
      <c r="I31" s="477"/>
      <c r="J31" s="176"/>
    </row>
    <row r="32" spans="2:11" s="117" customFormat="1" ht="15.75" customHeight="1">
      <c r="B32" s="166"/>
      <c r="C32" s="166"/>
      <c r="D32" s="166"/>
      <c r="E32" s="477"/>
      <c r="F32" s="477"/>
      <c r="G32" s="477"/>
      <c r="H32" s="477"/>
      <c r="I32" s="477"/>
      <c r="J32" s="176"/>
    </row>
    <row r="33" spans="2:10" s="117" customFormat="1" ht="15.75" customHeight="1">
      <c r="B33" s="166"/>
      <c r="C33" s="166"/>
      <c r="D33" s="166"/>
      <c r="E33" s="477"/>
      <c r="F33" s="477"/>
      <c r="G33" s="477"/>
      <c r="H33" s="477"/>
      <c r="I33" s="477"/>
      <c r="J33" s="176"/>
    </row>
    <row r="34" spans="2:10" s="117" customFormat="1" ht="15.75" customHeight="1">
      <c r="B34" s="168"/>
      <c r="C34" s="168"/>
      <c r="D34" s="168"/>
      <c r="E34" s="478"/>
      <c r="F34" s="478"/>
      <c r="G34" s="478"/>
      <c r="H34" s="478"/>
      <c r="I34" s="478"/>
      <c r="J34" s="176"/>
    </row>
    <row r="35" spans="2:10" s="117" customFormat="1" ht="15.75" customHeight="1">
      <c r="B35" s="170"/>
      <c r="C35" s="170"/>
      <c r="D35" s="170"/>
      <c r="E35" s="479"/>
      <c r="F35" s="479"/>
      <c r="G35" s="479"/>
      <c r="H35" s="479"/>
      <c r="I35" s="479"/>
      <c r="J35" s="176"/>
    </row>
    <row r="36" spans="2:10" s="117" customFormat="1" ht="15.75" customHeight="1">
      <c r="B36" s="170"/>
      <c r="C36" s="170"/>
      <c r="D36" s="170"/>
      <c r="E36" s="479"/>
      <c r="F36" s="479"/>
      <c r="G36" s="479"/>
      <c r="H36" s="479"/>
      <c r="I36" s="479"/>
      <c r="J36" s="176"/>
    </row>
    <row r="37" spans="2:10" s="117" customFormat="1" ht="15.75" customHeight="1">
      <c r="B37" s="170"/>
      <c r="C37" s="170"/>
      <c r="D37" s="170"/>
      <c r="E37" s="479"/>
      <c r="F37" s="479"/>
      <c r="G37" s="479"/>
      <c r="H37" s="479"/>
      <c r="I37" s="479"/>
      <c r="J37" s="176"/>
    </row>
    <row r="38" spans="2:10" s="117" customFormat="1" ht="15.75" customHeight="1">
      <c r="B38" s="170"/>
      <c r="C38" s="170"/>
      <c r="D38" s="170"/>
      <c r="E38" s="479"/>
      <c r="F38" s="479"/>
      <c r="G38" s="479"/>
      <c r="H38" s="479"/>
      <c r="I38" s="479"/>
      <c r="J38" s="176"/>
    </row>
    <row r="39" spans="2:10" s="117" customFormat="1" ht="15.75" customHeight="1">
      <c r="B39" s="170"/>
      <c r="C39" s="170"/>
      <c r="D39" s="170"/>
      <c r="E39" s="479"/>
      <c r="F39" s="479"/>
      <c r="G39" s="479"/>
      <c r="H39" s="479"/>
      <c r="I39" s="479"/>
      <c r="J39" s="176"/>
    </row>
    <row r="40" spans="2:10" s="168" customFormat="1" ht="15.75" customHeight="1">
      <c r="E40" s="478"/>
      <c r="F40" s="478"/>
      <c r="G40" s="478"/>
      <c r="H40" s="478"/>
      <c r="I40" s="478"/>
    </row>
    <row r="41" spans="2:10" s="168" customFormat="1" ht="15.75" customHeight="1">
      <c r="E41" s="478"/>
      <c r="F41" s="478"/>
      <c r="G41" s="478"/>
      <c r="H41" s="478"/>
      <c r="I41" s="478"/>
    </row>
    <row r="42" spans="2:10" s="117" customFormat="1" ht="15.75" customHeight="1">
      <c r="B42" s="173"/>
      <c r="C42" s="173"/>
      <c r="D42" s="173"/>
      <c r="E42" s="480"/>
      <c r="F42" s="480"/>
      <c r="G42" s="480"/>
      <c r="H42" s="480"/>
      <c r="I42" s="480"/>
      <c r="J42" s="176"/>
    </row>
    <row r="43" spans="2:10" s="117" customFormat="1" ht="15.75" customHeight="1">
      <c r="B43" s="95"/>
      <c r="C43" s="95"/>
      <c r="D43" s="95"/>
      <c r="E43" s="476"/>
      <c r="F43" s="476"/>
      <c r="G43" s="476"/>
      <c r="H43" s="476"/>
      <c r="I43" s="476"/>
      <c r="J43" s="176"/>
    </row>
    <row r="44" spans="2:10" s="117" customFormat="1" ht="15.75" customHeight="1">
      <c r="B44" s="95"/>
      <c r="C44" s="95"/>
      <c r="D44" s="95"/>
      <c r="E44" s="476"/>
      <c r="F44" s="476"/>
      <c r="G44" s="476"/>
      <c r="H44" s="476"/>
      <c r="I44" s="476"/>
      <c r="J44" s="176"/>
    </row>
    <row r="45" spans="2:10" s="117" customFormat="1" ht="15.75" customHeight="1">
      <c r="B45" s="179"/>
      <c r="C45" s="179"/>
      <c r="D45" s="179"/>
      <c r="E45" s="131"/>
      <c r="F45" s="131"/>
      <c r="G45" s="131"/>
      <c r="H45" s="131"/>
      <c r="I45" s="131"/>
      <c r="J45" s="176"/>
    </row>
    <row r="46" spans="2:10" s="117" customFormat="1" ht="15.75" customHeight="1">
      <c r="B46" s="179"/>
      <c r="C46" s="179"/>
      <c r="D46" s="179"/>
      <c r="E46" s="131"/>
      <c r="F46" s="131"/>
      <c r="G46" s="131"/>
      <c r="H46" s="131"/>
      <c r="I46" s="131"/>
      <c r="J46" s="176"/>
    </row>
    <row r="47" spans="2:10" s="117" customFormat="1" ht="15.75" customHeight="1">
      <c r="B47" s="179"/>
      <c r="C47" s="179"/>
      <c r="D47" s="179"/>
      <c r="E47" s="131"/>
      <c r="F47" s="131"/>
      <c r="G47" s="131"/>
      <c r="H47" s="131"/>
      <c r="I47" s="131"/>
      <c r="J47" s="176"/>
    </row>
    <row r="48" spans="2:10" s="117" customFormat="1" ht="15.75" customHeight="1">
      <c r="B48" s="179"/>
      <c r="C48" s="179"/>
      <c r="D48" s="179"/>
      <c r="E48" s="131"/>
      <c r="F48" s="131"/>
      <c r="G48" s="131"/>
      <c r="H48" s="131"/>
      <c r="I48" s="131"/>
      <c r="J48" s="176"/>
    </row>
    <row r="49" spans="1:10" s="117" customFormat="1" ht="15.75" customHeight="1">
      <c r="B49" s="179"/>
      <c r="C49" s="179"/>
      <c r="D49" s="179"/>
      <c r="E49" s="131"/>
      <c r="F49" s="131"/>
      <c r="G49" s="131"/>
      <c r="H49" s="131"/>
      <c r="I49" s="131"/>
      <c r="J49" s="176"/>
    </row>
    <row r="50" spans="1:10" s="117" customFormat="1" ht="15.75" customHeight="1">
      <c r="B50" s="179"/>
      <c r="C50" s="179"/>
      <c r="D50" s="179"/>
      <c r="E50" s="131"/>
      <c r="F50" s="131"/>
      <c r="G50" s="131"/>
      <c r="H50" s="131"/>
      <c r="I50" s="131"/>
      <c r="J50" s="176"/>
    </row>
    <row r="51" spans="1:10" s="117" customFormat="1" ht="15.75" customHeight="1">
      <c r="B51" s="179"/>
      <c r="C51" s="179"/>
      <c r="D51" s="179"/>
      <c r="E51" s="131"/>
      <c r="F51" s="131"/>
      <c r="G51" s="131"/>
      <c r="H51" s="131"/>
      <c r="I51" s="131"/>
      <c r="J51" s="176"/>
    </row>
    <row r="52" spans="1:10" s="117" customFormat="1" ht="15.75" customHeight="1">
      <c r="B52" s="179"/>
      <c r="C52" s="179"/>
      <c r="D52" s="179"/>
      <c r="E52" s="131"/>
      <c r="F52" s="131"/>
      <c r="G52" s="131"/>
      <c r="H52" s="131"/>
      <c r="I52" s="131"/>
      <c r="J52" s="176"/>
    </row>
    <row r="53" spans="1:10" s="117" customFormat="1" ht="15.75" customHeight="1">
      <c r="B53" s="179"/>
      <c r="C53" s="179"/>
      <c r="D53" s="179"/>
      <c r="E53" s="131"/>
      <c r="F53" s="131"/>
      <c r="G53" s="131"/>
      <c r="H53" s="131"/>
      <c r="I53" s="131"/>
      <c r="J53" s="176"/>
    </row>
    <row r="54" spans="1:10" s="117" customFormat="1" ht="15.75" customHeight="1">
      <c r="B54" s="179"/>
      <c r="C54" s="179"/>
      <c r="D54" s="179"/>
      <c r="E54" s="131"/>
      <c r="F54" s="131"/>
      <c r="G54" s="131"/>
      <c r="H54" s="131"/>
      <c r="I54" s="131"/>
      <c r="J54" s="176"/>
    </row>
    <row r="55" spans="1:10" s="117" customFormat="1" ht="15.75" hidden="1" customHeight="1" outlineLevel="1">
      <c r="B55" s="179"/>
      <c r="C55" s="179"/>
      <c r="D55" s="179"/>
      <c r="E55" s="131"/>
      <c r="F55" s="131"/>
      <c r="G55" s="131"/>
      <c r="H55" s="131"/>
      <c r="I55" s="131"/>
      <c r="J55" s="176"/>
    </row>
    <row r="56" spans="1:10" s="117" customFormat="1" ht="15.75" hidden="1" customHeight="1" outlineLevel="1">
      <c r="B56" s="166"/>
      <c r="C56" s="166"/>
      <c r="D56" s="166"/>
      <c r="E56" s="477"/>
      <c r="F56" s="477"/>
      <c r="G56" s="477"/>
      <c r="H56" s="477"/>
      <c r="I56" s="477"/>
      <c r="J56" s="184"/>
    </row>
    <row r="57" spans="1:10" s="117" customFormat="1" ht="15.75" hidden="1" customHeight="1" outlineLevel="1">
      <c r="B57" s="166"/>
      <c r="C57" s="166"/>
      <c r="D57" s="166"/>
      <c r="E57" s="477"/>
      <c r="F57" s="477"/>
      <c r="G57" s="477"/>
      <c r="H57" s="477"/>
      <c r="I57" s="477"/>
      <c r="J57" s="184"/>
    </row>
    <row r="58" spans="1:10" s="117" customFormat="1" ht="15.75" hidden="1" customHeight="1" outlineLevel="1">
      <c r="B58" s="166"/>
      <c r="C58" s="166"/>
      <c r="D58" s="166"/>
      <c r="E58" s="477"/>
      <c r="F58" s="477"/>
      <c r="G58" s="477"/>
      <c r="H58" s="477"/>
      <c r="I58" s="477"/>
      <c r="J58" s="184"/>
    </row>
    <row r="59" spans="1:10" s="117" customFormat="1" ht="15.75" hidden="1" customHeight="1" outlineLevel="1">
      <c r="B59" s="166"/>
      <c r="C59" s="166"/>
      <c r="D59" s="166"/>
      <c r="E59" s="477"/>
      <c r="F59" s="477"/>
      <c r="G59" s="477"/>
      <c r="H59" s="477"/>
      <c r="I59" s="477"/>
      <c r="J59" s="184"/>
    </row>
    <row r="60" spans="1:10" s="117" customFormat="1" ht="15.75" hidden="1" customHeight="1" outlineLevel="1">
      <c r="B60" s="166"/>
      <c r="C60" s="166"/>
      <c r="D60" s="166"/>
      <c r="E60" s="477"/>
      <c r="F60" s="477"/>
      <c r="G60" s="477"/>
      <c r="H60" s="477"/>
      <c r="I60" s="477"/>
      <c r="J60" s="184"/>
    </row>
    <row r="61" spans="1:10" s="117" customFormat="1" ht="15.75" hidden="1" customHeight="1" outlineLevel="1">
      <c r="A61" s="95"/>
      <c r="B61" s="185"/>
      <c r="C61" s="185"/>
      <c r="D61" s="185"/>
      <c r="E61" s="481"/>
      <c r="F61" s="481"/>
      <c r="G61" s="481"/>
      <c r="H61" s="481"/>
      <c r="I61" s="481"/>
      <c r="J61" s="156"/>
    </row>
    <row r="62" spans="1:10" s="117" customFormat="1" ht="15.75" hidden="1" customHeight="1" outlineLevel="1">
      <c r="B62" s="157"/>
      <c r="C62" s="157"/>
      <c r="D62" s="157"/>
      <c r="E62" s="482"/>
      <c r="F62" s="482"/>
      <c r="G62" s="482"/>
      <c r="H62" s="482"/>
      <c r="I62" s="482"/>
      <c r="J62" s="176"/>
    </row>
    <row r="63" spans="1:10" s="117" customFormat="1" ht="15.75" hidden="1" customHeight="1" outlineLevel="1">
      <c r="B63" s="95"/>
      <c r="C63" s="95"/>
      <c r="D63" s="95"/>
      <c r="E63" s="476"/>
      <c r="F63" s="476"/>
      <c r="G63" s="476"/>
      <c r="H63" s="476"/>
      <c r="I63" s="476"/>
      <c r="J63" s="176"/>
    </row>
    <row r="64" spans="1:10" s="117" customFormat="1" ht="15.75" hidden="1" customHeight="1" outlineLevel="1">
      <c r="B64" s="95"/>
      <c r="C64" s="95"/>
      <c r="D64" s="95"/>
      <c r="E64" s="476"/>
      <c r="F64" s="476"/>
      <c r="G64" s="476"/>
      <c r="H64" s="476"/>
      <c r="I64" s="476"/>
      <c r="J64" s="176"/>
    </row>
    <row r="65" spans="2:10" s="117" customFormat="1" ht="15.75" customHeight="1" collapsed="1">
      <c r="B65" s="179"/>
      <c r="C65" s="179"/>
      <c r="D65" s="179"/>
      <c r="E65" s="131"/>
      <c r="F65" s="131"/>
      <c r="G65" s="131"/>
      <c r="H65" s="131"/>
      <c r="I65" s="131"/>
      <c r="J65" s="176"/>
    </row>
    <row r="66" spans="2:10" s="117" customFormat="1" ht="15.75" customHeight="1">
      <c r="B66" s="179"/>
      <c r="C66" s="179"/>
      <c r="D66" s="179"/>
      <c r="E66" s="131"/>
      <c r="F66" s="131"/>
      <c r="G66" s="131"/>
      <c r="H66" s="131"/>
      <c r="I66" s="131"/>
      <c r="J66" s="176"/>
    </row>
    <row r="67" spans="2:10" s="117" customFormat="1" ht="15.75" customHeight="1">
      <c r="B67" s="179"/>
      <c r="C67" s="179"/>
      <c r="D67" s="179"/>
      <c r="E67" s="131"/>
      <c r="F67" s="131"/>
      <c r="G67" s="131"/>
      <c r="H67" s="131"/>
      <c r="I67" s="131"/>
      <c r="J67" s="176"/>
    </row>
    <row r="68" spans="2:10" s="117" customFormat="1" ht="15.75" customHeight="1" outlineLevel="1">
      <c r="B68" s="179"/>
      <c r="C68" s="179"/>
      <c r="D68" s="179"/>
      <c r="E68" s="131"/>
      <c r="F68" s="131"/>
      <c r="G68" s="131"/>
      <c r="H68" s="131"/>
      <c r="I68" s="131"/>
      <c r="J68" s="176"/>
    </row>
    <row r="69" spans="2:10" s="117" customFormat="1" ht="15.75" customHeight="1" outlineLevel="1">
      <c r="B69" s="179"/>
      <c r="C69" s="179"/>
      <c r="D69" s="179"/>
      <c r="E69" s="131"/>
      <c r="F69" s="131"/>
      <c r="G69" s="131"/>
      <c r="H69" s="131"/>
      <c r="I69" s="131"/>
      <c r="J69" s="176"/>
    </row>
    <row r="70" spans="2:10" s="117" customFormat="1" ht="15.75" customHeight="1" outlineLevel="1">
      <c r="B70" s="179"/>
      <c r="C70" s="179"/>
      <c r="D70" s="179"/>
      <c r="E70" s="131"/>
      <c r="F70" s="131"/>
      <c r="G70" s="131"/>
      <c r="H70" s="131"/>
      <c r="I70" s="131"/>
      <c r="J70" s="176"/>
    </row>
    <row r="71" spans="2:10" s="117" customFormat="1" ht="15.75" customHeight="1" outlineLevel="1">
      <c r="B71" s="179"/>
      <c r="C71" s="179"/>
      <c r="D71" s="179"/>
      <c r="E71" s="131"/>
      <c r="F71" s="131"/>
      <c r="G71" s="131"/>
      <c r="H71" s="131"/>
      <c r="I71" s="131"/>
      <c r="J71" s="176"/>
    </row>
    <row r="72" spans="2:10" s="117" customFormat="1" ht="15.75" customHeight="1" outlineLevel="1">
      <c r="B72" s="179"/>
      <c r="C72" s="179"/>
      <c r="D72" s="179"/>
      <c r="E72" s="131"/>
      <c r="F72" s="131"/>
      <c r="G72" s="131"/>
      <c r="H72" s="131"/>
      <c r="I72" s="131"/>
      <c r="J72" s="176"/>
    </row>
    <row r="73" spans="2:10" s="117" customFormat="1" ht="15.75" customHeight="1" outlineLevel="1">
      <c r="B73" s="179"/>
      <c r="C73" s="179"/>
      <c r="D73" s="179"/>
      <c r="E73" s="179"/>
      <c r="F73" s="179"/>
      <c r="G73" s="179"/>
      <c r="H73" s="179"/>
      <c r="I73" s="179"/>
      <c r="J73" s="176"/>
    </row>
    <row r="74" spans="2:10" s="117" customFormat="1" ht="15.75" customHeight="1" outlineLevel="1">
      <c r="B74" s="179"/>
      <c r="C74" s="179"/>
      <c r="D74" s="179"/>
      <c r="E74" s="179"/>
      <c r="F74" s="179"/>
      <c r="G74" s="179"/>
      <c r="H74" s="179"/>
      <c r="I74" s="179"/>
      <c r="J74" s="176"/>
    </row>
    <row r="75" spans="2:10" s="117" customFormat="1" ht="15.75" customHeight="1" outlineLevel="1">
      <c r="B75" s="179"/>
      <c r="C75" s="179"/>
      <c r="D75" s="179"/>
      <c r="E75" s="179"/>
      <c r="F75" s="179"/>
      <c r="G75" s="179"/>
      <c r="H75" s="179"/>
      <c r="I75" s="179"/>
      <c r="J75" s="176"/>
    </row>
    <row r="76" spans="2:10" s="117" customFormat="1" ht="15.75" customHeight="1" outlineLevel="1">
      <c r="B76" s="166"/>
      <c r="C76" s="166"/>
      <c r="D76" s="166"/>
      <c r="E76" s="166"/>
      <c r="F76" s="166"/>
      <c r="G76" s="166"/>
      <c r="H76" s="166"/>
      <c r="I76" s="166"/>
      <c r="J76" s="184"/>
    </row>
    <row r="77" spans="2:10" s="117" customFormat="1" ht="15.75" customHeight="1" outlineLevel="1">
      <c r="B77" s="166"/>
      <c r="C77" s="166"/>
      <c r="D77" s="166"/>
      <c r="E77" s="166"/>
      <c r="F77" s="166"/>
      <c r="G77" s="166"/>
      <c r="H77" s="166"/>
      <c r="I77" s="166"/>
      <c r="J77" s="184"/>
    </row>
    <row r="78" spans="2:10" s="117" customFormat="1" ht="15.75" customHeight="1" outlineLevel="1">
      <c r="B78" s="166"/>
      <c r="C78" s="166"/>
      <c r="D78" s="166"/>
      <c r="E78" s="166"/>
      <c r="F78" s="166"/>
      <c r="G78" s="166"/>
      <c r="H78" s="166"/>
      <c r="I78" s="166"/>
      <c r="J78" s="184"/>
    </row>
    <row r="79" spans="2:10" s="117" customFormat="1" ht="15.75" customHeight="1" outlineLevel="1">
      <c r="B79" s="166"/>
      <c r="C79" s="166"/>
      <c r="D79" s="166"/>
      <c r="E79" s="166"/>
      <c r="F79" s="166"/>
      <c r="G79" s="166"/>
      <c r="H79" s="166"/>
      <c r="I79" s="166"/>
      <c r="J79" s="184"/>
    </row>
    <row r="80" spans="2:10" s="117" customFormat="1" ht="15.75" customHeight="1" outlineLevel="1">
      <c r="B80" s="166"/>
      <c r="C80" s="166"/>
      <c r="D80" s="166"/>
      <c r="E80" s="166"/>
      <c r="F80" s="166"/>
      <c r="G80" s="166"/>
      <c r="H80" s="166"/>
      <c r="I80" s="166"/>
      <c r="J80" s="184"/>
    </row>
    <row r="81" spans="1:10" s="117" customFormat="1" ht="15.75" customHeight="1">
      <c r="A81" s="95"/>
      <c r="B81" s="187"/>
      <c r="C81" s="187"/>
      <c r="D81" s="187"/>
      <c r="E81" s="187"/>
      <c r="F81" s="187"/>
      <c r="G81" s="187"/>
      <c r="H81" s="187"/>
      <c r="I81" s="187"/>
    </row>
    <row r="82" spans="1:10" s="117" customFormat="1" ht="15.75" customHeight="1">
      <c r="A82" s="95"/>
      <c r="B82" s="170"/>
      <c r="C82" s="170"/>
      <c r="D82" s="170"/>
      <c r="E82" s="170"/>
      <c r="F82" s="170"/>
      <c r="G82" s="170"/>
      <c r="H82" s="170"/>
      <c r="I82" s="170"/>
    </row>
    <row r="83" spans="1:10" s="117" customFormat="1" ht="15.75" customHeight="1">
      <c r="A83" s="95"/>
      <c r="B83" s="170"/>
      <c r="C83" s="170"/>
      <c r="D83" s="170"/>
      <c r="E83" s="170"/>
      <c r="F83" s="170"/>
      <c r="G83" s="170"/>
      <c r="H83" s="170"/>
      <c r="I83" s="170"/>
    </row>
    <row r="84" spans="1:10" s="117" customFormat="1" ht="15.75" customHeight="1">
      <c r="A84" s="95"/>
      <c r="B84" s="170"/>
      <c r="C84" s="170"/>
      <c r="D84" s="170"/>
      <c r="E84" s="170"/>
      <c r="F84" s="170"/>
      <c r="G84" s="170"/>
      <c r="H84" s="170"/>
      <c r="I84" s="170"/>
    </row>
    <row r="85" spans="1:10" s="117" customFormat="1" ht="15.75" customHeight="1">
      <c r="A85" s="95"/>
      <c r="B85" s="170"/>
      <c r="C85" s="170"/>
      <c r="D85" s="170"/>
      <c r="E85" s="170"/>
      <c r="F85" s="170"/>
      <c r="G85" s="170"/>
      <c r="H85" s="170"/>
      <c r="I85" s="170"/>
    </row>
    <row r="86" spans="1:10" s="117" customFormat="1" ht="15.75" customHeight="1">
      <c r="A86" s="95"/>
      <c r="B86" s="170"/>
      <c r="C86" s="170"/>
      <c r="D86" s="170"/>
      <c r="E86" s="170"/>
      <c r="F86" s="170"/>
      <c r="G86" s="170"/>
      <c r="H86" s="170"/>
      <c r="I86" s="170"/>
    </row>
    <row r="87" spans="1:10" s="168" customFormat="1" ht="15.75" customHeight="1"/>
    <row r="88" spans="1:10" s="117" customFormat="1" ht="15.75" customHeight="1">
      <c r="B88" s="188"/>
      <c r="C88" s="188"/>
      <c r="D88" s="188"/>
      <c r="E88" s="188"/>
      <c r="F88" s="188"/>
      <c r="G88" s="188"/>
      <c r="H88" s="188"/>
      <c r="I88" s="188"/>
      <c r="J88" s="176"/>
    </row>
    <row r="89" spans="1:10" s="117" customFormat="1" ht="15.75" customHeight="1">
      <c r="B89" s="185"/>
      <c r="C89" s="185"/>
      <c r="D89" s="185"/>
      <c r="E89" s="185"/>
      <c r="F89" s="185"/>
      <c r="G89" s="185"/>
      <c r="H89" s="185"/>
      <c r="I89" s="185"/>
      <c r="J89" s="176"/>
    </row>
    <row r="90" spans="1:10" s="117" customFormat="1" ht="15.75" customHeight="1">
      <c r="B90" s="192"/>
      <c r="C90" s="192"/>
      <c r="D90" s="192"/>
      <c r="E90" s="192"/>
      <c r="F90" s="192"/>
      <c r="G90" s="192"/>
      <c r="H90" s="192"/>
      <c r="I90" s="192"/>
      <c r="J90" s="156"/>
    </row>
    <row r="91" spans="1:10" s="117" customFormat="1" ht="15.75" customHeight="1">
      <c r="B91" s="118"/>
      <c r="C91" s="118"/>
      <c r="D91" s="118"/>
      <c r="E91" s="118"/>
      <c r="F91" s="118"/>
      <c r="G91" s="118"/>
      <c r="H91" s="118"/>
      <c r="I91" s="118"/>
      <c r="J91" s="156"/>
    </row>
    <row r="92" spans="1:10" s="117" customFormat="1" ht="15.75" customHeight="1">
      <c r="A92" s="95"/>
      <c r="J92" s="195"/>
    </row>
    <row r="93" spans="1:10" s="117" customFormat="1" ht="15.75" customHeight="1"/>
    <row r="94" spans="1:10" s="117" customFormat="1" ht="15.75" customHeight="1">
      <c r="B94" s="196"/>
      <c r="C94" s="196"/>
      <c r="D94" s="196"/>
      <c r="E94" s="196"/>
      <c r="F94" s="196"/>
      <c r="G94" s="196"/>
      <c r="H94" s="196"/>
      <c r="I94" s="196"/>
    </row>
    <row r="95" spans="1:10" s="117" customFormat="1" ht="15.75" customHeight="1"/>
    <row r="96" spans="1:10" s="117" customFormat="1" ht="15.75" customHeight="1"/>
    <row r="97" spans="2:9" s="117" customFormat="1" ht="15.75" customHeight="1"/>
    <row r="98" spans="2:9" s="117" customFormat="1" ht="15.75" customHeight="1"/>
    <row r="99" spans="2:9" s="117" customFormat="1" ht="15.75" customHeight="1"/>
    <row r="100" spans="2:9" s="117" customFormat="1" ht="15.75" customHeight="1"/>
    <row r="101" spans="2:9" s="117" customFormat="1" ht="15.75" customHeight="1">
      <c r="B101" s="185"/>
      <c r="C101" s="185"/>
      <c r="D101" s="185"/>
      <c r="E101" s="185"/>
      <c r="F101" s="185"/>
      <c r="G101" s="185"/>
      <c r="H101" s="185"/>
      <c r="I101" s="185"/>
    </row>
    <row r="102" spans="2:9" s="117" customFormat="1" ht="15.75" customHeight="1">
      <c r="B102" s="185"/>
      <c r="C102" s="185"/>
      <c r="D102" s="185"/>
      <c r="E102" s="185"/>
      <c r="F102" s="185"/>
      <c r="G102" s="185"/>
      <c r="H102" s="185"/>
      <c r="I102" s="185"/>
    </row>
    <row r="103" spans="2:9" s="117" customFormat="1" ht="15.75" customHeight="1"/>
    <row r="104" spans="2:9" s="117" customFormat="1" ht="15.75" customHeight="1"/>
    <row r="105" spans="2:9" s="117" customFormat="1" ht="15.75" customHeight="1"/>
    <row r="106" spans="2:9" s="117" customFormat="1" ht="15.75" customHeight="1"/>
    <row r="107" spans="2:9" ht="15.75" customHeight="1">
      <c r="B107" s="198"/>
      <c r="C107" s="198"/>
      <c r="D107" s="198"/>
      <c r="E107" s="198"/>
      <c r="F107" s="198"/>
      <c r="G107" s="198"/>
      <c r="H107" s="198"/>
      <c r="I107" s="198"/>
    </row>
    <row r="108" spans="2:9" ht="15.75" customHeight="1">
      <c r="B108" s="198"/>
      <c r="C108" s="198"/>
      <c r="D108" s="198"/>
      <c r="E108" s="198"/>
      <c r="F108" s="198"/>
      <c r="G108" s="198"/>
      <c r="H108" s="198"/>
      <c r="I108" s="198"/>
    </row>
    <row r="109" spans="2:9" ht="15.75" customHeight="1">
      <c r="B109" s="198"/>
      <c r="C109" s="198"/>
      <c r="D109" s="198"/>
      <c r="E109" s="198"/>
      <c r="F109" s="198"/>
      <c r="G109" s="198"/>
      <c r="H109" s="198"/>
      <c r="I109" s="198"/>
    </row>
    <row r="110" spans="2:9" ht="15.75" customHeight="1"/>
    <row r="111" spans="2:9" ht="15.75" customHeight="1"/>
    <row r="112" spans="2:9" ht="15.75" customHeight="1"/>
    <row r="113" ht="15.75" customHeight="1"/>
    <row r="114" ht="15.75" customHeight="1"/>
    <row r="115" ht="15.75" customHeight="1"/>
  </sheetData>
  <mergeCells count="17">
    <mergeCell ref="E6:I6"/>
    <mergeCell ref="E12:I12"/>
    <mergeCell ref="E13:I13"/>
    <mergeCell ref="E14:I14"/>
    <mergeCell ref="E15:I15"/>
    <mergeCell ref="E10:I10"/>
    <mergeCell ref="E11:I11"/>
    <mergeCell ref="E9:I9"/>
    <mergeCell ref="E8:I8"/>
    <mergeCell ref="E17:I17"/>
    <mergeCell ref="E16:I16"/>
    <mergeCell ref="E22:I22"/>
    <mergeCell ref="E23:I23"/>
    <mergeCell ref="E18:I18"/>
    <mergeCell ref="E19:I19"/>
    <mergeCell ref="E20:I20"/>
    <mergeCell ref="E21:I21"/>
  </mergeCells>
  <conditionalFormatting sqref="B89:I89 B4:I4">
    <cfRule type="cellIs" dxfId="159" priority="5" stopIfTrue="1" operator="equal">
      <formula>"input"</formula>
    </cfRule>
  </conditionalFormatting>
  <conditionalFormatting sqref="J88:J89 J42:J55 J62:J75 J14:J39">
    <cfRule type="cellIs" dxfId="158" priority="6" stopIfTrue="1" operator="equal">
      <formula>"Input"</formula>
    </cfRule>
  </conditionalFormatting>
  <conditionalFormatting sqref="I2">
    <cfRule type="cellIs" dxfId="157" priority="4" stopIfTrue="1" operator="equal">
      <formula>"input"</formula>
    </cfRule>
  </conditionalFormatting>
  <pageMargins left="0.5" right="0.5" top="0.5" bottom="0.5" header="0.3" footer="0.3"/>
  <pageSetup scale="88" fitToHeight="0" orientation="landscape" r:id="rId1"/>
  <rowBreaks count="2" manualBreakCount="2">
    <brk id="14" max="9" man="1"/>
    <brk id="40" max="15" man="1"/>
  </rowBreaks>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XFD1:XFD2"/>
  <sheetViews>
    <sheetView topLeftCell="XFD1048576" workbookViewId="0"/>
  </sheetViews>
  <sheetFormatPr defaultColWidth="0" defaultRowHeight="15" zeroHeight="1"/>
  <cols>
    <col min="1" max="16384" width="8.7109375" hidden="1"/>
  </cols>
  <sheetData>
    <row r="1" spans="16384:16384" hidden="1">
      <c r="XFD1" t="s">
        <v>226</v>
      </c>
    </row>
    <row r="2" spans="16384:16384" hidden="1"/>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80"/>
  <sheetViews>
    <sheetView showGridLines="0" view="pageBreakPreview" zoomScaleNormal="100" zoomScaleSheetLayoutView="100" workbookViewId="0"/>
  </sheetViews>
  <sheetFormatPr defaultColWidth="9.140625" defaultRowHeight="12.75"/>
  <cols>
    <col min="1" max="1" width="2.42578125" style="57" customWidth="1"/>
    <col min="2" max="2" width="39.42578125" style="57" customWidth="1"/>
    <col min="3" max="3" width="2.42578125" style="57" customWidth="1"/>
    <col min="4" max="4" width="22.140625" style="57" customWidth="1"/>
    <col min="5" max="5" width="2.42578125" style="57" customWidth="1"/>
    <col min="6" max="6" width="22.140625" style="57" customWidth="1"/>
    <col min="7" max="7" width="2.42578125" style="57" customWidth="1"/>
    <col min="8" max="8" width="22.140625" style="57" customWidth="1"/>
    <col min="9" max="9" width="2.42578125" style="57" customWidth="1"/>
    <col min="10" max="10" width="13.5703125" style="57" customWidth="1"/>
    <col min="11" max="11" width="2.42578125" style="57" customWidth="1"/>
    <col min="12" max="12" width="15.28515625" style="57" bestFit="1" customWidth="1"/>
    <col min="13" max="13" width="39.42578125" style="57" customWidth="1"/>
    <col min="14" max="14" width="9.140625" style="57"/>
    <col min="15" max="15" width="10.28515625" style="57" customWidth="1"/>
    <col min="16" max="16" width="9.140625" style="57"/>
    <col min="17" max="17" width="11.85546875" style="57" customWidth="1"/>
    <col min="18" max="16384" width="9.140625" style="57"/>
  </cols>
  <sheetData>
    <row r="1" spans="1:16" s="640" customFormat="1" ht="10.7" customHeight="1" thickBot="1">
      <c r="K1"/>
      <c r="L1"/>
      <c r="M1"/>
      <c r="N1"/>
      <c r="O1"/>
      <c r="P1"/>
    </row>
    <row r="2" spans="1:16" customFormat="1" ht="16.5" customHeight="1" thickTop="1">
      <c r="A2" s="641"/>
      <c r="B2" s="82" t="str">
        <f>Outline!B2</f>
        <v>Satellite Healthcare WB Santa Cruz Valuation</v>
      </c>
      <c r="C2" s="82"/>
      <c r="D2" s="82"/>
      <c r="E2" s="82"/>
      <c r="F2" s="82"/>
      <c r="G2" s="82"/>
      <c r="H2" s="82"/>
      <c r="I2" s="82"/>
      <c r="J2" s="82"/>
    </row>
    <row r="3" spans="1:16" customFormat="1" ht="15.75" customHeight="1">
      <c r="A3" s="641"/>
      <c r="B3" s="89" t="str">
        <f>Outline!C40</f>
        <v>Workpaper 1</v>
      </c>
      <c r="C3" s="89"/>
      <c r="D3" s="89"/>
      <c r="E3" s="89"/>
      <c r="F3" s="89"/>
      <c r="G3" s="89"/>
      <c r="H3" s="89"/>
      <c r="I3" s="89"/>
      <c r="J3" s="89"/>
    </row>
    <row r="4" spans="1:16" customFormat="1" ht="16.5" customHeight="1" thickBot="1">
      <c r="A4" s="641"/>
      <c r="B4" s="91" t="s">
        <v>365</v>
      </c>
      <c r="C4" s="91"/>
      <c r="D4" s="91"/>
      <c r="E4" s="91"/>
      <c r="F4" s="91"/>
      <c r="G4" s="91"/>
      <c r="H4" s="91"/>
      <c r="I4" s="629"/>
      <c r="J4" s="629"/>
    </row>
    <row r="5" spans="1:16" ht="12" customHeight="1" thickTop="1">
      <c r="B5"/>
      <c r="C5"/>
      <c r="D5"/>
      <c r="E5"/>
      <c r="F5"/>
      <c r="G5"/>
      <c r="H5"/>
      <c r="I5"/>
      <c r="J5"/>
      <c r="K5"/>
    </row>
    <row r="6" spans="1:16" ht="12.75" customHeight="1"/>
    <row r="7" spans="1:16" s="496" customFormat="1" ht="25.5" customHeight="1">
      <c r="B7" s="708" t="s">
        <v>366</v>
      </c>
      <c r="C7" s="709"/>
      <c r="D7" s="710" t="s">
        <v>178</v>
      </c>
      <c r="E7" s="604"/>
      <c r="F7" s="604" t="s">
        <v>179</v>
      </c>
      <c r="G7" s="604"/>
      <c r="H7" s="605" t="s">
        <v>356</v>
      </c>
      <c r="I7" s="709"/>
      <c r="J7" s="711" t="s">
        <v>367</v>
      </c>
      <c r="L7" s="930" t="s">
        <v>132</v>
      </c>
      <c r="M7" s="713">
        <f>'E1'!$AX$2</f>
        <v>43465</v>
      </c>
    </row>
    <row r="8" spans="1:16" ht="12.75" customHeight="1">
      <c r="C8"/>
      <c r="F8" s="487"/>
      <c r="I8"/>
    </row>
    <row r="9" spans="1:16" ht="12.75" customHeight="1">
      <c r="B9" s="497" t="s">
        <v>97</v>
      </c>
      <c r="D9" s="606">
        <f>H21</f>
        <v>5.1399999999999994E-2</v>
      </c>
      <c r="E9" s="499"/>
      <c r="F9" s="606">
        <f>1-F10</f>
        <v>9.9999999999999978E-2</v>
      </c>
      <c r="G9" s="499"/>
      <c r="H9" s="606">
        <f>F9*D9</f>
        <v>5.1399999999999979E-3</v>
      </c>
      <c r="J9" s="514"/>
    </row>
    <row r="10" spans="1:16" ht="12.75" customHeight="1">
      <c r="B10" s="497" t="s">
        <v>180</v>
      </c>
      <c r="D10" s="606">
        <f>H34</f>
        <v>0.13685540105398533</v>
      </c>
      <c r="E10" s="499"/>
      <c r="F10" s="1012">
        <v>0.9</v>
      </c>
      <c r="G10" s="499"/>
      <c r="H10" s="606">
        <f>F10*D10</f>
        <v>0.1231698609485868</v>
      </c>
      <c r="J10" s="514" t="s">
        <v>334</v>
      </c>
    </row>
    <row r="11" spans="1:16" ht="12.75" customHeight="1">
      <c r="B11" s="502"/>
      <c r="C11" s="502"/>
      <c r="D11" s="642"/>
      <c r="E11" s="642"/>
      <c r="F11" s="642"/>
      <c r="G11" s="642"/>
      <c r="H11" s="642"/>
    </row>
    <row r="12" spans="1:16" ht="12.75" customHeight="1">
      <c r="B12" s="643" t="s">
        <v>368</v>
      </c>
      <c r="C12" s="643"/>
      <c r="D12" s="644"/>
      <c r="E12" s="644"/>
      <c r="F12" s="644"/>
      <c r="G12" s="644"/>
      <c r="H12" s="491">
        <f>SUM(H9:H10)</f>
        <v>0.12830986094858679</v>
      </c>
    </row>
    <row r="13" spans="1:16" ht="12.75" customHeight="1"/>
    <row r="14" spans="1:16" ht="12.75" customHeight="1">
      <c r="B14" s="645" t="s">
        <v>369</v>
      </c>
      <c r="C14" s="646"/>
      <c r="D14" s="646"/>
      <c r="E14" s="646"/>
      <c r="F14" s="646"/>
      <c r="G14" s="646"/>
      <c r="H14" s="979">
        <f>MROUND(H12,0.5%)</f>
        <v>0.13</v>
      </c>
      <c r="J14" s="647"/>
      <c r="L14" s="504" t="s">
        <v>470</v>
      </c>
    </row>
    <row r="15" spans="1:16" ht="12.75" customHeight="1"/>
    <row r="16" spans="1:16" s="487" customFormat="1" ht="12.75" customHeight="1">
      <c r="B16" s="712" t="s">
        <v>181</v>
      </c>
      <c r="C16" s="648"/>
      <c r="D16" s="648"/>
      <c r="E16" s="648"/>
      <c r="F16" s="648"/>
      <c r="G16" s="648"/>
      <c r="H16" s="649"/>
    </row>
    <row r="17" spans="2:23" ht="12.75" customHeight="1">
      <c r="P17" s="601" t="s">
        <v>354</v>
      </c>
    </row>
    <row r="18" spans="2:23" ht="12.75" customHeight="1">
      <c r="B18" s="57" t="s">
        <v>370</v>
      </c>
      <c r="H18" s="650">
        <f>M18</f>
        <v>5.1399999999999994E-2</v>
      </c>
      <c r="J18" s="651" t="s">
        <v>335</v>
      </c>
      <c r="L18" s="250" t="s">
        <v>353</v>
      </c>
      <c r="M18" s="600">
        <f>_xll.ciqfunctions.udf.CIQSP(P18, "IQ_LASTSALEPRICE",$M$7)/100</f>
        <v>5.1399999999999994E-2</v>
      </c>
      <c r="P18" s="602" t="s">
        <v>355</v>
      </c>
    </row>
    <row r="19" spans="2:23" ht="12.75" customHeight="1">
      <c r="B19" s="57" t="s">
        <v>153</v>
      </c>
      <c r="H19" s="650">
        <v>0</v>
      </c>
      <c r="J19" s="647"/>
    </row>
    <row r="20" spans="2:23" ht="12.75" customHeight="1">
      <c r="B20" s="502"/>
      <c r="C20" s="502"/>
      <c r="D20" s="502"/>
      <c r="E20" s="502"/>
      <c r="F20" s="502"/>
      <c r="G20" s="502"/>
      <c r="H20" s="642"/>
    </row>
    <row r="21" spans="2:23" ht="12.75" customHeight="1">
      <c r="B21" s="643" t="s">
        <v>371</v>
      </c>
      <c r="C21" s="490"/>
      <c r="D21" s="490"/>
      <c r="E21" s="490"/>
      <c r="F21" s="490"/>
      <c r="G21" s="490"/>
      <c r="H21" s="491">
        <f>H18*(1-H19)</f>
        <v>5.1399999999999994E-2</v>
      </c>
    </row>
    <row r="22" spans="2:23" ht="12.75" customHeight="1"/>
    <row r="23" spans="2:23" ht="12.75" customHeight="1">
      <c r="B23" s="712" t="s">
        <v>185</v>
      </c>
      <c r="C23" s="648"/>
      <c r="D23" s="648"/>
      <c r="E23" s="648"/>
      <c r="F23" s="648"/>
      <c r="G23" s="648"/>
      <c r="H23" s="649"/>
    </row>
    <row r="24" spans="2:23" ht="12.75" customHeight="1"/>
    <row r="25" spans="2:23" ht="12.75" customHeight="1">
      <c r="B25" s="57" t="s">
        <v>146</v>
      </c>
      <c r="D25" s="487"/>
      <c r="E25" s="487"/>
      <c r="F25" s="487"/>
      <c r="H25" s="652">
        <f>'Beta Calc'!I35</f>
        <v>0.51340829385077469</v>
      </c>
      <c r="J25" s="647" t="s">
        <v>416</v>
      </c>
      <c r="L25" s="57" t="s">
        <v>372</v>
      </c>
    </row>
    <row r="26" spans="2:23" ht="12.75" customHeight="1">
      <c r="B26" s="57" t="s">
        <v>373</v>
      </c>
      <c r="F26" s="653" t="s">
        <v>374</v>
      </c>
      <c r="H26" s="654">
        <f>H25*(1+(1-H19)*(F9)/F10)</f>
        <v>0.57045365983419416</v>
      </c>
      <c r="J26" s="651" t="s">
        <v>336</v>
      </c>
    </row>
    <row r="27" spans="2:23" ht="12.75" customHeight="1">
      <c r="B27" s="57" t="s">
        <v>161</v>
      </c>
      <c r="F27" s="653" t="s">
        <v>375</v>
      </c>
      <c r="H27" s="650">
        <f>H67</f>
        <v>6.0400000000000002E-2</v>
      </c>
      <c r="J27" s="651" t="s">
        <v>376</v>
      </c>
    </row>
    <row r="28" spans="2:23" ht="12.75" customHeight="1">
      <c r="F28" s="653"/>
      <c r="H28" s="655"/>
      <c r="J28" s="487"/>
    </row>
    <row r="29" spans="2:23" ht="12.75" customHeight="1">
      <c r="B29" s="57" t="s">
        <v>377</v>
      </c>
      <c r="F29" s="653" t="s">
        <v>378</v>
      </c>
      <c r="H29" s="498">
        <f>H26*H27</f>
        <v>3.4455401053985327E-2</v>
      </c>
    </row>
    <row r="30" spans="2:23" ht="12.75" customHeight="1">
      <c r="B30" s="57" t="s">
        <v>164</v>
      </c>
      <c r="H30" s="656">
        <f>P32</f>
        <v>2.87E-2</v>
      </c>
      <c r="J30" s="647"/>
    </row>
    <row r="31" spans="2:23" ht="12.75" customHeight="1">
      <c r="B31" s="57" t="s">
        <v>168</v>
      </c>
      <c r="H31" s="650">
        <f>H61</f>
        <v>5.3699999999999998E-2</v>
      </c>
      <c r="J31" s="651" t="s">
        <v>379</v>
      </c>
      <c r="N31" s="607" t="s">
        <v>357</v>
      </c>
      <c r="O31" s="608" t="s">
        <v>358</v>
      </c>
      <c r="P31" s="609" t="s">
        <v>359</v>
      </c>
      <c r="Q31" s="610" t="s">
        <v>360</v>
      </c>
      <c r="R31" s="611"/>
      <c r="S31" s="611"/>
      <c r="T31" s="611"/>
      <c r="U31" s="611"/>
      <c r="V31" s="612"/>
      <c r="W31" s="613"/>
    </row>
    <row r="32" spans="2:23" ht="12.75" customHeight="1">
      <c r="B32" s="57" t="s">
        <v>380</v>
      </c>
      <c r="H32" s="650">
        <v>0.02</v>
      </c>
      <c r="J32" s="651" t="s">
        <v>381</v>
      </c>
      <c r="N32" s="250" t="s">
        <v>167</v>
      </c>
      <c r="O32" s="250">
        <v>20</v>
      </c>
      <c r="P32" s="614">
        <f>_xll.ciqfunctions.udf.CIQSP(N32, "IQ_LASTSALEPRICE",$M$7)/100</f>
        <v>2.87E-2</v>
      </c>
      <c r="Q32" s="615" t="s">
        <v>361</v>
      </c>
      <c r="R32" s="250"/>
      <c r="S32" s="250"/>
      <c r="T32" s="250"/>
      <c r="U32" s="250"/>
      <c r="V32" s="250"/>
      <c r="W32" s="250"/>
    </row>
    <row r="33" spans="1:28" ht="12.75" customHeight="1">
      <c r="B33" s="502"/>
      <c r="C33" s="502"/>
      <c r="D33" s="502"/>
      <c r="E33" s="502"/>
      <c r="F33" s="502"/>
      <c r="G33" s="502"/>
      <c r="H33" s="502"/>
    </row>
    <row r="34" spans="1:28" ht="12.75" customHeight="1">
      <c r="B34" s="643" t="s">
        <v>382</v>
      </c>
      <c r="C34" s="490"/>
      <c r="D34" s="490"/>
      <c r="E34" s="490"/>
      <c r="F34" s="490"/>
      <c r="G34" s="490"/>
      <c r="H34" s="491">
        <f>SUM(H29:H32)</f>
        <v>0.13685540105398533</v>
      </c>
    </row>
    <row r="35" spans="1:28" ht="12.75" customHeight="1"/>
    <row r="36" spans="1:28" ht="12.75" customHeight="1">
      <c r="B36" s="522" t="s">
        <v>246</v>
      </c>
    </row>
    <row r="37" spans="1:28" ht="12.75" customHeight="1">
      <c r="B37" s="523" t="s">
        <v>383</v>
      </c>
    </row>
    <row r="38" spans="1:28" ht="12.75" customHeight="1">
      <c r="B38" s="523" t="s">
        <v>384</v>
      </c>
    </row>
    <row r="39" spans="1:28" ht="12.75" customHeight="1">
      <c r="B39" s="523" t="s">
        <v>385</v>
      </c>
    </row>
    <row r="40" spans="1:28" ht="12.75" customHeight="1">
      <c r="B40" s="523" t="s">
        <v>504</v>
      </c>
    </row>
    <row r="41" spans="1:28" ht="12.75" customHeight="1">
      <c r="B41" s="523" t="s">
        <v>505</v>
      </c>
    </row>
    <row r="42" spans="1:28" ht="12.75" customHeight="1">
      <c r="B42" s="630" t="s">
        <v>386</v>
      </c>
    </row>
    <row r="43" spans="1:28" ht="12.75" customHeight="1">
      <c r="B43" s="523" t="s">
        <v>387</v>
      </c>
    </row>
    <row r="44" spans="1:28" ht="12.75" customHeight="1">
      <c r="B44" s="523"/>
    </row>
    <row r="45" spans="1:28" ht="12.75" customHeight="1"/>
    <row r="46" spans="1:28">
      <c r="A46" s="1015" t="s">
        <v>506</v>
      </c>
      <c r="B46" s="1016"/>
      <c r="C46" s="490"/>
      <c r="D46" s="1017" t="s">
        <v>497</v>
      </c>
      <c r="E46" s="490"/>
      <c r="F46" s="1017" t="s">
        <v>498</v>
      </c>
      <c r="G46" s="490"/>
      <c r="H46" s="1018" t="s">
        <v>389</v>
      </c>
      <c r="L46" s="631" t="s">
        <v>496</v>
      </c>
      <c r="M46" s="632"/>
      <c r="N46" s="490"/>
      <c r="O46" s="633" t="s">
        <v>497</v>
      </c>
      <c r="P46" s="490"/>
      <c r="Q46" s="633" t="s">
        <v>498</v>
      </c>
      <c r="R46" s="490"/>
      <c r="S46" s="634" t="s">
        <v>389</v>
      </c>
      <c r="U46" s="57" t="s">
        <v>388</v>
      </c>
      <c r="X46" s="57" t="s">
        <v>497</v>
      </c>
      <c r="Z46" s="57" t="s">
        <v>498</v>
      </c>
      <c r="AB46" s="57" t="s">
        <v>389</v>
      </c>
    </row>
    <row r="47" spans="1:28">
      <c r="A47" s="1019" t="s">
        <v>390</v>
      </c>
      <c r="B47" s="1020"/>
      <c r="D47" s="1021">
        <v>2763.7190000000001</v>
      </c>
      <c r="F47" s="1021">
        <v>11978.971</v>
      </c>
      <c r="H47" s="1022">
        <v>9.5999999999999992E-3</v>
      </c>
      <c r="L47" s="635" t="s">
        <v>390</v>
      </c>
      <c r="M47" s="636"/>
      <c r="O47" s="637">
        <v>2392.6889999999999</v>
      </c>
      <c r="Q47" s="637">
        <v>10711.194</v>
      </c>
      <c r="S47" s="638">
        <v>1.0200000000000001E-2</v>
      </c>
      <c r="U47" s="57" t="s">
        <v>390</v>
      </c>
      <c r="X47" s="57">
        <v>2090.5659999999998</v>
      </c>
      <c r="Z47" s="57">
        <v>9611.1869999999999</v>
      </c>
      <c r="AB47" s="57">
        <v>0.01</v>
      </c>
    </row>
    <row r="48" spans="1:28">
      <c r="A48" s="1023" t="s">
        <v>391</v>
      </c>
      <c r="B48" s="1020"/>
      <c r="D48" s="1021">
        <v>657.70500000000004</v>
      </c>
      <c r="F48" s="1021">
        <v>2759.9389999999999</v>
      </c>
      <c r="H48" s="1022">
        <v>1.6400000000000001E-2</v>
      </c>
      <c r="L48" s="635" t="s">
        <v>391</v>
      </c>
      <c r="M48" s="636"/>
      <c r="O48" s="637">
        <v>569.279</v>
      </c>
      <c r="Q48" s="637">
        <v>2390.8989999999999</v>
      </c>
      <c r="S48" s="638">
        <v>1.7500000000000002E-2</v>
      </c>
      <c r="U48" s="57" t="s">
        <v>391</v>
      </c>
      <c r="X48" s="57">
        <v>448.50200000000001</v>
      </c>
      <c r="Z48" s="57">
        <v>2083.6019999999999</v>
      </c>
      <c r="AB48" s="57">
        <v>1.7000000000000001E-2</v>
      </c>
    </row>
    <row r="49" spans="1:28">
      <c r="A49" s="1023" t="s">
        <v>392</v>
      </c>
      <c r="B49" s="1020"/>
      <c r="D49" s="1021">
        <v>2.5310000000000001</v>
      </c>
      <c r="F49" s="1021">
        <v>656.84500000000003</v>
      </c>
      <c r="H49" s="1022">
        <v>3.4799999999999998E-2</v>
      </c>
      <c r="L49" s="635" t="s">
        <v>392</v>
      </c>
      <c r="M49" s="636"/>
      <c r="O49" s="637">
        <v>2.516</v>
      </c>
      <c r="Q49" s="637">
        <v>567.84299999999996</v>
      </c>
      <c r="S49" s="638">
        <v>3.6700000000000003E-2</v>
      </c>
      <c r="U49" s="57" t="s">
        <v>392</v>
      </c>
      <c r="X49" s="57">
        <v>1.9630000000000001</v>
      </c>
      <c r="Z49" s="57">
        <v>448.07900000000001</v>
      </c>
      <c r="AB49" s="57">
        <v>3.5799999999999998E-2</v>
      </c>
    </row>
    <row r="50" spans="1:28">
      <c r="A50" s="1023"/>
      <c r="B50" s="1020"/>
      <c r="D50" s="1020"/>
      <c r="F50" s="1020"/>
      <c r="H50" s="1024"/>
      <c r="L50" s="635"/>
      <c r="M50" s="636"/>
      <c r="O50" s="636"/>
      <c r="Q50" s="636"/>
      <c r="S50" s="639"/>
    </row>
    <row r="51" spans="1:28">
      <c r="A51" s="1023" t="s">
        <v>393</v>
      </c>
      <c r="B51" s="1020"/>
      <c r="D51" s="1020"/>
      <c r="F51" s="1020"/>
      <c r="H51" s="1024"/>
      <c r="L51" s="635" t="s">
        <v>393</v>
      </c>
      <c r="M51" s="636"/>
      <c r="O51" s="636"/>
      <c r="Q51" s="636"/>
      <c r="S51" s="639"/>
      <c r="U51" s="57" t="s">
        <v>393</v>
      </c>
    </row>
    <row r="52" spans="1:28">
      <c r="A52" s="1023" t="s">
        <v>394</v>
      </c>
      <c r="B52" s="1020"/>
      <c r="D52" s="1021">
        <v>25142.833999999999</v>
      </c>
      <c r="F52" s="1021">
        <v>790050.07299999997</v>
      </c>
      <c r="H52" s="1022">
        <v>0</v>
      </c>
      <c r="L52" s="635" t="s">
        <v>394</v>
      </c>
      <c r="M52" s="636"/>
      <c r="O52" s="637">
        <v>24361.659</v>
      </c>
      <c r="Q52" s="637">
        <v>609163.49800000002</v>
      </c>
      <c r="S52" s="638">
        <v>-3.5000000000000001E-3</v>
      </c>
      <c r="U52" s="57" t="s">
        <v>394</v>
      </c>
      <c r="X52" s="57">
        <v>22035.312999999998</v>
      </c>
      <c r="Z52" s="57">
        <v>629010.25399999996</v>
      </c>
      <c r="AB52" s="57">
        <v>-3.5999999999999999E-3</v>
      </c>
    </row>
    <row r="53" spans="1:28">
      <c r="A53" s="1023">
        <v>2</v>
      </c>
      <c r="B53" s="1020"/>
      <c r="D53" s="1021">
        <v>12067.589</v>
      </c>
      <c r="F53" s="1021">
        <v>25096.258000000002</v>
      </c>
      <c r="H53" s="1022">
        <v>5.5999999999999999E-3</v>
      </c>
      <c r="L53" s="635">
        <v>2</v>
      </c>
      <c r="M53" s="636"/>
      <c r="O53" s="637">
        <v>10784.101000000001</v>
      </c>
      <c r="Q53" s="637">
        <v>24233.746999999999</v>
      </c>
      <c r="S53" s="638">
        <v>6.1000000000000004E-3</v>
      </c>
      <c r="U53" s="57">
        <v>2</v>
      </c>
      <c r="X53" s="57">
        <v>9618.0529999999999</v>
      </c>
      <c r="Z53" s="57">
        <v>21809.433000000001</v>
      </c>
      <c r="AB53" s="57">
        <v>5.7000000000000002E-3</v>
      </c>
    </row>
    <row r="54" spans="1:28">
      <c r="A54" s="1023">
        <v>3</v>
      </c>
      <c r="B54" s="1020"/>
      <c r="D54" s="1021">
        <v>6557.5190000000002</v>
      </c>
      <c r="F54" s="57">
        <v>11978.971</v>
      </c>
      <c r="H54" s="1022">
        <v>8.6999999999999994E-3</v>
      </c>
      <c r="L54" s="635">
        <v>3</v>
      </c>
      <c r="M54" s="636"/>
      <c r="O54" s="637">
        <v>5683.991</v>
      </c>
      <c r="Q54" s="57">
        <v>10711.194</v>
      </c>
      <c r="S54" s="638">
        <v>8.8999999999999999E-3</v>
      </c>
      <c r="U54" s="57">
        <v>3</v>
      </c>
      <c r="X54" s="57">
        <v>5205.8410000000003</v>
      </c>
      <c r="Z54" s="57">
        <v>9611.1869999999999</v>
      </c>
      <c r="AB54" s="57">
        <v>8.6E-3</v>
      </c>
    </row>
    <row r="55" spans="1:28">
      <c r="A55" s="1023">
        <v>4</v>
      </c>
      <c r="B55" s="1020"/>
      <c r="D55" s="1021">
        <v>4097.96</v>
      </c>
      <c r="F55" s="57">
        <v>6545.5479999999998</v>
      </c>
      <c r="H55" s="1022">
        <v>8.9999999999999993E-3</v>
      </c>
      <c r="L55" s="635">
        <v>4</v>
      </c>
      <c r="M55" s="636"/>
      <c r="O55" s="637">
        <v>3520.5659999999998</v>
      </c>
      <c r="Q55" s="57">
        <v>5676.7160000000003</v>
      </c>
      <c r="S55" s="638">
        <v>9.7999999999999997E-3</v>
      </c>
      <c r="U55" s="57">
        <v>4</v>
      </c>
      <c r="X55" s="57">
        <v>3195.8180000000002</v>
      </c>
      <c r="Z55" s="57">
        <v>5199.9520000000002</v>
      </c>
      <c r="AB55" s="57">
        <v>9.9000000000000008E-3</v>
      </c>
    </row>
    <row r="56" spans="1:28">
      <c r="A56" s="1023">
        <v>5</v>
      </c>
      <c r="B56" s="1020"/>
      <c r="D56" s="1021">
        <v>2763.7190000000001</v>
      </c>
      <c r="F56" s="1021">
        <v>4091.971</v>
      </c>
      <c r="H56" s="1022">
        <v>1.38E-2</v>
      </c>
      <c r="L56" s="635">
        <v>5</v>
      </c>
      <c r="M56" s="636"/>
      <c r="O56" s="637">
        <v>2392.6889999999999</v>
      </c>
      <c r="Q56" s="637">
        <v>3512.913</v>
      </c>
      <c r="S56" s="638">
        <v>1.5100000000000001E-2</v>
      </c>
      <c r="U56" s="57">
        <v>5</v>
      </c>
      <c r="X56" s="57">
        <v>2090.5659999999998</v>
      </c>
      <c r="Z56" s="57">
        <v>3187.48</v>
      </c>
      <c r="AB56" s="57">
        <v>1.49E-2</v>
      </c>
    </row>
    <row r="57" spans="1:28">
      <c r="A57" s="1023">
        <v>6</v>
      </c>
      <c r="B57" s="1020"/>
      <c r="D57" s="1021">
        <v>1815.68</v>
      </c>
      <c r="F57" s="1021">
        <v>2759.9389999999999</v>
      </c>
      <c r="H57" s="1022">
        <v>1.6E-2</v>
      </c>
      <c r="L57" s="635">
        <v>6</v>
      </c>
      <c r="M57" s="636"/>
      <c r="O57" s="637">
        <v>1571.193</v>
      </c>
      <c r="Q57" s="637">
        <v>2390.8989999999999</v>
      </c>
      <c r="S57" s="638">
        <v>1.66E-2</v>
      </c>
      <c r="U57" s="57">
        <v>6</v>
      </c>
      <c r="X57" s="57">
        <v>1400.931</v>
      </c>
      <c r="Z57" s="57">
        <v>2083.6419999999998</v>
      </c>
      <c r="AB57" s="57">
        <v>1.6299999999999999E-2</v>
      </c>
    </row>
    <row r="58" spans="1:28">
      <c r="A58" s="1023">
        <v>7</v>
      </c>
      <c r="B58" s="1020"/>
      <c r="D58" s="1021">
        <v>1175.3689999999999</v>
      </c>
      <c r="F58" s="1021">
        <v>1814.568</v>
      </c>
      <c r="H58" s="1022">
        <v>1.5800000000000002E-2</v>
      </c>
      <c r="L58" s="635">
        <v>7</v>
      </c>
      <c r="M58" s="636"/>
      <c r="O58" s="637">
        <v>1033.3409999999999</v>
      </c>
      <c r="Q58" s="637">
        <v>1569.9839999999999</v>
      </c>
      <c r="S58" s="638">
        <v>1.72E-2</v>
      </c>
      <c r="U58" s="57">
        <v>7</v>
      </c>
      <c r="X58" s="57">
        <v>845.50900000000001</v>
      </c>
      <c r="Z58" s="57">
        <v>1400.2080000000001</v>
      </c>
      <c r="AB58" s="57">
        <v>1.6199999999999999E-2</v>
      </c>
    </row>
    <row r="59" spans="1:28">
      <c r="A59" s="1023">
        <v>8</v>
      </c>
      <c r="B59" s="1020"/>
      <c r="D59" s="1021">
        <v>657.70500000000004</v>
      </c>
      <c r="F59" s="1021">
        <v>1170.0630000000001</v>
      </c>
      <c r="H59" s="1022">
        <v>1.8800000000000001E-2</v>
      </c>
      <c r="L59" s="635">
        <v>8</v>
      </c>
      <c r="M59" s="636"/>
      <c r="O59" s="637">
        <v>569.279</v>
      </c>
      <c r="Q59" s="637">
        <v>1030.4259999999999</v>
      </c>
      <c r="S59" s="638">
        <v>2.0799999999999999E-2</v>
      </c>
      <c r="U59" s="57">
        <v>8</v>
      </c>
      <c r="X59" s="57">
        <v>448.50200000000001</v>
      </c>
      <c r="Z59" s="57">
        <v>844.47500000000002</v>
      </c>
      <c r="AB59" s="57">
        <v>2.0400000000000001E-2</v>
      </c>
    </row>
    <row r="60" spans="1:28">
      <c r="A60" s="1023">
        <v>9</v>
      </c>
      <c r="B60" s="1020"/>
      <c r="D60" s="1021">
        <v>299.39999999999998</v>
      </c>
      <c r="F60" s="1021">
        <v>656.84500000000003</v>
      </c>
      <c r="H60" s="1022">
        <v>2.5000000000000001E-2</v>
      </c>
      <c r="L60" s="635">
        <v>9</v>
      </c>
      <c r="M60" s="636"/>
      <c r="O60" s="637">
        <v>263.71499999999997</v>
      </c>
      <c r="Q60" s="637">
        <v>567.84299999999996</v>
      </c>
      <c r="S60" s="638">
        <v>2.6800000000000001E-2</v>
      </c>
      <c r="U60" s="57">
        <v>9</v>
      </c>
      <c r="X60" s="57">
        <v>209.88</v>
      </c>
      <c r="Z60" s="57">
        <v>448.07900000000001</v>
      </c>
      <c r="AB60" s="57">
        <v>2.5399999999999999E-2</v>
      </c>
    </row>
    <row r="61" spans="1:28">
      <c r="A61" s="1023" t="s">
        <v>395</v>
      </c>
      <c r="B61" s="1020"/>
      <c r="D61" s="1021">
        <v>2.5310000000000001</v>
      </c>
      <c r="F61" s="1021">
        <v>299.29000000000002</v>
      </c>
      <c r="H61" s="1022">
        <v>5.3699999999999998E-2</v>
      </c>
      <c r="L61" s="635" t="s">
        <v>395</v>
      </c>
      <c r="M61" s="636"/>
      <c r="O61" s="637">
        <v>2.516</v>
      </c>
      <c r="Q61" s="637">
        <v>262.89100000000002</v>
      </c>
      <c r="S61" s="638">
        <v>5.5899999999999998E-2</v>
      </c>
      <c r="U61" s="57" t="s">
        <v>395</v>
      </c>
      <c r="X61" s="57">
        <v>1.9630000000000001</v>
      </c>
      <c r="Z61" s="57">
        <v>209.40600000000001</v>
      </c>
      <c r="AB61" s="57">
        <v>5.6000000000000001E-2</v>
      </c>
    </row>
    <row r="62" spans="1:28">
      <c r="A62" s="1023"/>
      <c r="B62" s="1020"/>
      <c r="D62" s="1021"/>
      <c r="F62" s="1021"/>
      <c r="H62" s="1022"/>
      <c r="L62" s="635"/>
      <c r="M62" s="636"/>
      <c r="O62" s="637"/>
      <c r="Q62" s="637"/>
      <c r="S62" s="638"/>
    </row>
    <row r="63" spans="1:28">
      <c r="A63" s="1023" t="s">
        <v>396</v>
      </c>
      <c r="B63" s="1020"/>
      <c r="D63" s="1021"/>
      <c r="F63" s="1021"/>
      <c r="H63" s="1022"/>
      <c r="L63" s="635" t="s">
        <v>396</v>
      </c>
      <c r="M63" s="636"/>
      <c r="O63" s="637"/>
      <c r="Q63" s="637"/>
      <c r="S63" s="638"/>
      <c r="U63" s="57" t="s">
        <v>396</v>
      </c>
    </row>
    <row r="64" spans="1:28">
      <c r="A64" s="1023" t="s">
        <v>397</v>
      </c>
      <c r="B64" s="1020"/>
      <c r="D64" s="1021">
        <v>166.505</v>
      </c>
      <c r="F64" s="1021">
        <v>299.29000000000002</v>
      </c>
      <c r="H64" s="1022">
        <v>3.8600000000000002E-2</v>
      </c>
      <c r="L64" s="635" t="s">
        <v>397</v>
      </c>
      <c r="M64" s="636"/>
      <c r="O64" s="637">
        <v>127.29600000000001</v>
      </c>
      <c r="Q64" s="637">
        <v>262.89100000000002</v>
      </c>
      <c r="S64" s="638">
        <v>4.0899999999999999E-2</v>
      </c>
      <c r="U64" s="57" t="s">
        <v>397</v>
      </c>
      <c r="X64" s="57">
        <v>108.962</v>
      </c>
      <c r="Z64" s="57">
        <v>209.40600000000001</v>
      </c>
      <c r="AB64" s="57">
        <v>4.0399999999999998E-2</v>
      </c>
    </row>
    <row r="65" spans="1:28">
      <c r="A65" s="1025" t="s">
        <v>398</v>
      </c>
      <c r="B65" s="1026"/>
      <c r="C65" s="1027"/>
      <c r="D65" s="1028">
        <v>2.5310000000000001</v>
      </c>
      <c r="E65" s="1027"/>
      <c r="F65" s="1028">
        <v>166.34899999999999</v>
      </c>
      <c r="G65" s="1027"/>
      <c r="H65" s="1029">
        <v>8.4099999999999994E-2</v>
      </c>
      <c r="L65" s="1030" t="s">
        <v>398</v>
      </c>
      <c r="M65" s="1031"/>
      <c r="N65" s="1027"/>
      <c r="O65" s="1032">
        <v>2.516</v>
      </c>
      <c r="P65" s="1027"/>
      <c r="Q65" s="1032">
        <v>127.279</v>
      </c>
      <c r="R65" s="1027"/>
      <c r="S65" s="1033">
        <v>8.6400000000000005E-2</v>
      </c>
      <c r="U65" s="57" t="s">
        <v>398</v>
      </c>
      <c r="X65" s="57">
        <v>1.9630000000000001</v>
      </c>
      <c r="Z65" s="57">
        <v>108.598</v>
      </c>
      <c r="AB65" s="57">
        <v>8.7599999999999997E-2</v>
      </c>
    </row>
    <row r="66" spans="1:28">
      <c r="A66" s="472"/>
      <c r="B66" s="657"/>
      <c r="C66" s="657"/>
      <c r="D66" s="657"/>
      <c r="E66" s="657"/>
      <c r="F66" s="657"/>
      <c r="G66" s="657"/>
      <c r="H66" s="658"/>
      <c r="L66" s="472"/>
      <c r="M66" s="657"/>
      <c r="N66" s="657"/>
      <c r="O66" s="657"/>
      <c r="P66" s="657"/>
      <c r="Q66" s="657"/>
      <c r="R66" s="657"/>
      <c r="S66" s="658"/>
    </row>
    <row r="67" spans="1:28" ht="51">
      <c r="A67" s="786"/>
      <c r="B67" s="1034" t="s">
        <v>399</v>
      </c>
      <c r="C67" s="1027"/>
      <c r="D67" s="1027"/>
      <c r="E67" s="1027"/>
      <c r="F67" s="1027"/>
      <c r="G67" s="1027"/>
      <c r="H67" s="1035">
        <v>6.0400000000000002E-2</v>
      </c>
      <c r="L67" s="786"/>
      <c r="M67" s="1034" t="s">
        <v>399</v>
      </c>
      <c r="N67" s="1027"/>
      <c r="O67" s="1027"/>
      <c r="P67" s="1027"/>
      <c r="Q67" s="1027"/>
      <c r="R67" s="1027"/>
      <c r="S67" s="1035">
        <v>5.9700000000000003E-2</v>
      </c>
      <c r="V67" s="57" t="s">
        <v>399</v>
      </c>
      <c r="AB67" s="57">
        <v>6.0299999999999999E-2</v>
      </c>
    </row>
    <row r="80" spans="1:28">
      <c r="B80" s="499"/>
    </row>
  </sheetData>
  <conditionalFormatting sqref="I4">
    <cfRule type="cellIs" dxfId="156" priority="4" stopIfTrue="1" operator="equal">
      <formula>"input"</formula>
    </cfRule>
  </conditionalFormatting>
  <conditionalFormatting sqref="I4">
    <cfRule type="cellIs" dxfId="155" priority="3" stopIfTrue="1" operator="equal">
      <formula>"input"</formula>
    </cfRule>
  </conditionalFormatting>
  <conditionalFormatting sqref="B4:H4">
    <cfRule type="cellIs" dxfId="154" priority="5" stopIfTrue="1" operator="equal">
      <formula>"input"</formula>
    </cfRule>
  </conditionalFormatting>
  <conditionalFormatting sqref="J4">
    <cfRule type="cellIs" dxfId="153" priority="2" stopIfTrue="1" operator="equal">
      <formula>"input"</formula>
    </cfRule>
  </conditionalFormatting>
  <conditionalFormatting sqref="J4">
    <cfRule type="cellIs" dxfId="152" priority="1" stopIfTrue="1" operator="equal">
      <formula>"input"</formula>
    </cfRule>
  </conditionalFormatting>
  <pageMargins left="0.7" right="0.7" top="0.75" bottom="0.75" header="0.3" footer="0.3"/>
  <pageSetup scale="90" orientation="landscape"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I52"/>
  <sheetViews>
    <sheetView showGridLines="0" view="pageBreakPreview" zoomScaleNormal="100" zoomScaleSheetLayoutView="100" workbookViewId="0"/>
  </sheetViews>
  <sheetFormatPr defaultRowHeight="15" outlineLevelRow="1"/>
  <cols>
    <col min="1" max="1" width="2.42578125" customWidth="1"/>
    <col min="2" max="2" width="39.42578125" customWidth="1"/>
    <col min="3" max="3" width="2.42578125" customWidth="1"/>
    <col min="4" max="4" width="10" customWidth="1"/>
    <col min="5" max="5" width="0" hidden="1" customWidth="1"/>
    <col min="6" max="6" width="1.140625" hidden="1" customWidth="1"/>
    <col min="7" max="7" width="2.42578125" customWidth="1"/>
    <col min="8" max="8" width="9.85546875" customWidth="1"/>
    <col min="9" max="9" width="10.28515625" customWidth="1"/>
    <col min="10" max="10" width="2.42578125" customWidth="1"/>
    <col min="11" max="11" width="11.42578125" customWidth="1"/>
    <col min="12" max="12" width="10.7109375" customWidth="1"/>
    <col min="13" max="14" width="9.42578125" customWidth="1"/>
    <col min="15" max="15" width="10.28515625" customWidth="1"/>
    <col min="16" max="16" width="10.5703125" customWidth="1"/>
    <col min="17" max="17" width="9.42578125" customWidth="1"/>
    <col min="18" max="18" width="11" customWidth="1"/>
    <col min="19" max="19" width="2.42578125" customWidth="1"/>
    <col min="20" max="22" width="9.28515625" customWidth="1"/>
    <col min="23" max="23" width="1.5703125" customWidth="1"/>
    <col min="24" max="24" width="15.140625" bestFit="1" customWidth="1"/>
    <col min="25" max="25" width="10.7109375" bestFit="1" customWidth="1"/>
    <col min="26" max="26" width="11" customWidth="1"/>
    <col min="27" max="27" width="11.28515625" bestFit="1" customWidth="1"/>
    <col min="28" max="28" width="11.42578125" customWidth="1"/>
    <col min="29" max="29" width="12.42578125" bestFit="1" customWidth="1"/>
    <col min="30" max="30" width="11.42578125" customWidth="1"/>
  </cols>
  <sheetData>
    <row r="1" spans="2:35" s="57" customFormat="1" ht="10.7" customHeight="1" thickBot="1"/>
    <row r="2" spans="2:35" s="57" customFormat="1" ht="16.5" customHeight="1" thickTop="1">
      <c r="B2" s="82" t="str">
        <f>Outline!B2</f>
        <v>Satellite Healthcare WB Santa Cruz Valuation</v>
      </c>
      <c r="C2" s="82"/>
      <c r="D2" s="82"/>
      <c r="E2" s="82"/>
      <c r="F2" s="82"/>
      <c r="G2" s="82"/>
      <c r="H2" s="82"/>
      <c r="I2" s="82"/>
      <c r="J2" s="82"/>
      <c r="K2" s="82"/>
      <c r="L2" s="82"/>
      <c r="M2" s="82"/>
      <c r="N2" s="82"/>
      <c r="O2" s="82"/>
      <c r="P2" s="82"/>
      <c r="Q2" s="82"/>
      <c r="R2" s="82"/>
      <c r="X2" s="472" t="s">
        <v>132</v>
      </c>
      <c r="Y2" s="659">
        <f>'E1'!$AX$2</f>
        <v>43465</v>
      </c>
    </row>
    <row r="3" spans="2:35" s="57" customFormat="1" ht="15.75" customHeight="1">
      <c r="B3" s="89" t="str">
        <f>Outline!C41</f>
        <v>Workpaper 2</v>
      </c>
      <c r="C3" s="89"/>
      <c r="D3" s="89"/>
      <c r="E3" s="89"/>
      <c r="F3" s="89"/>
      <c r="G3" s="89"/>
      <c r="H3" s="89"/>
      <c r="I3" s="89"/>
      <c r="J3" s="89"/>
      <c r="K3" s="89"/>
      <c r="L3" s="89"/>
      <c r="M3" s="89"/>
      <c r="N3" s="89"/>
      <c r="O3" s="89"/>
      <c r="P3" s="89"/>
      <c r="Q3" s="89"/>
      <c r="R3" s="89"/>
      <c r="X3" s="785" t="s">
        <v>134</v>
      </c>
      <c r="Y3" s="475" t="s">
        <v>135</v>
      </c>
      <c r="AD3"/>
      <c r="AE3"/>
      <c r="AF3"/>
      <c r="AG3"/>
    </row>
    <row r="4" spans="2:35" s="57" customFormat="1" ht="16.5" customHeight="1" thickBot="1">
      <c r="B4" s="91" t="s">
        <v>400</v>
      </c>
      <c r="C4" s="91"/>
      <c r="D4" s="91"/>
      <c r="E4" s="91"/>
      <c r="F4" s="91"/>
      <c r="G4" s="91"/>
      <c r="H4" s="91"/>
      <c r="I4" s="629"/>
      <c r="J4" s="629"/>
      <c r="K4" s="629"/>
      <c r="L4" s="629"/>
      <c r="M4" s="629"/>
      <c r="N4" s="629"/>
      <c r="O4" s="629"/>
      <c r="P4" s="629"/>
      <c r="Q4" s="629"/>
      <c r="R4" s="94" t="s">
        <v>66</v>
      </c>
      <c r="X4" s="785" t="s">
        <v>446</v>
      </c>
      <c r="Y4" s="475" t="s">
        <v>440</v>
      </c>
      <c r="AD4"/>
      <c r="AE4"/>
      <c r="AF4"/>
      <c r="AG4"/>
    </row>
    <row r="5" spans="2:35" s="57" customFormat="1" ht="12.75" customHeight="1" thickTop="1">
      <c r="X5" s="785" t="s">
        <v>136</v>
      </c>
      <c r="Y5" s="475" t="s">
        <v>137</v>
      </c>
      <c r="AD5"/>
      <c r="AE5"/>
      <c r="AF5"/>
      <c r="AG5"/>
    </row>
    <row r="6" spans="2:35" s="57" customFormat="1" ht="12.75" customHeight="1">
      <c r="X6" s="786" t="s">
        <v>139</v>
      </c>
      <c r="Y6" s="788" t="s">
        <v>140</v>
      </c>
      <c r="AD6"/>
      <c r="AE6"/>
      <c r="AF6"/>
      <c r="AG6"/>
    </row>
    <row r="7" spans="2:35" s="57" customFormat="1" ht="12.75" customHeight="1">
      <c r="D7" s="660" t="s">
        <v>162</v>
      </c>
      <c r="E7" s="661"/>
      <c r="F7" s="661"/>
      <c r="G7" s="661"/>
      <c r="H7" s="661"/>
      <c r="I7" s="662"/>
      <c r="K7" s="660" t="s">
        <v>401</v>
      </c>
      <c r="L7" s="663"/>
      <c r="M7" s="663"/>
      <c r="N7" s="663"/>
      <c r="O7" s="663"/>
      <c r="P7" s="663"/>
      <c r="Q7" s="663"/>
      <c r="R7" s="664"/>
      <c r="V7" s="665">
        <f>'WACC CAPM'!H19</f>
        <v>0</v>
      </c>
      <c r="AD7"/>
      <c r="AE7"/>
      <c r="AF7"/>
      <c r="AG7"/>
    </row>
    <row r="8" spans="2:35" s="496" customFormat="1" ht="41.25" customHeight="1">
      <c r="B8" s="666" t="s">
        <v>402</v>
      </c>
      <c r="D8" s="667" t="s">
        <v>142</v>
      </c>
      <c r="E8" s="668" t="s">
        <v>143</v>
      </c>
      <c r="F8" s="668" t="s">
        <v>144</v>
      </c>
      <c r="G8" s="669"/>
      <c r="H8" s="668" t="s">
        <v>145</v>
      </c>
      <c r="I8" s="670" t="s">
        <v>146</v>
      </c>
      <c r="J8" s="671"/>
      <c r="K8" s="667" t="s">
        <v>147</v>
      </c>
      <c r="L8" s="668" t="s">
        <v>97</v>
      </c>
      <c r="M8" s="668" t="s">
        <v>403</v>
      </c>
      <c r="N8" s="668" t="s">
        <v>404</v>
      </c>
      <c r="O8" s="668" t="s">
        <v>405</v>
      </c>
      <c r="P8" s="668" t="s">
        <v>149</v>
      </c>
      <c r="Q8" s="668" t="s">
        <v>406</v>
      </c>
      <c r="R8" s="670" t="s">
        <v>407</v>
      </c>
      <c r="T8" s="672" t="s">
        <v>151</v>
      </c>
      <c r="U8" s="672" t="s">
        <v>152</v>
      </c>
      <c r="V8" s="673" t="s">
        <v>153</v>
      </c>
      <c r="X8" s="674" t="s">
        <v>154</v>
      </c>
      <c r="Y8" s="675" t="s">
        <v>408</v>
      </c>
      <c r="Z8" s="675" t="s">
        <v>155</v>
      </c>
      <c r="AA8" s="676" t="s">
        <v>494</v>
      </c>
      <c r="AD8"/>
      <c r="AE8"/>
      <c r="AF8"/>
      <c r="AG8"/>
    </row>
    <row r="9" spans="2:35" s="57" customFormat="1" ht="12.75" customHeight="1"/>
    <row r="10" spans="2:35" s="57" customFormat="1" ht="12.75" customHeight="1">
      <c r="B10" s="57" t="str">
        <f>_xll.ciqfunctions.udf.CIQ($X10,"IQ_COMPANY_NAME")</f>
        <v>Fresenius Medical Care AG &amp; Co. KGaA</v>
      </c>
      <c r="D10" s="677">
        <v>2</v>
      </c>
      <c r="E10" s="678" t="s">
        <v>156</v>
      </c>
      <c r="F10" s="678" t="s">
        <v>157</v>
      </c>
      <c r="H10" s="679">
        <f>IF(_xll.ciqfunctions.udf.CIQ($X10, "IQ_BETA_2YR", $Y$2)=0,"n/a",_xll.ciqfunctions.udf.CIQ($X10, "IQ_BETA_2YR", $Y$2))</f>
        <v>0.72067000000000003</v>
      </c>
      <c r="I10" s="617">
        <f>IF(ISERROR(H10/(1+(1-$V10)*(($T10)/$U10))), "n/a", H10/(1+(1-$V10)*(($T10)/$U10)))</f>
        <v>0.51340829385077469</v>
      </c>
      <c r="K10" s="680">
        <f>_xll.ciqfunctions.udf.CIQ($X10, "IQ_MARKETCAP", $Y$2, $Y$5, $Y$6)</f>
        <v>19898.931329999999</v>
      </c>
      <c r="L10" s="680">
        <f>_xll.ciqfunctions.udf.CIQ($X10, "IQ_TOTAL_DEBT", IQ_LTM, $Y$2,$Y$4, $Y$3, $Y$5, $Y$6)</f>
        <v>8562.8604599999999</v>
      </c>
      <c r="M10" s="680">
        <f>_xll.ciqfunctions.udf.CIQ($X10, "IQ_PREF_EQUITY", IQ_LTM, $Y$2, $Y$4, $Y$3, $Y$5, $Y$6)</f>
        <v>0</v>
      </c>
      <c r="N10" s="680">
        <f>_xll.ciqfunctions.udf.CIQ($X10, "IQ_MINORITY_INTEREST_TOTAL", IQ_LTM, $Y$2, $Y$4, $Y$3, $Y$5, $Y$6)</f>
        <v>1312.1436000000001</v>
      </c>
      <c r="O10" s="680">
        <f>SUM(L10:N10)</f>
        <v>9875.0040599999993</v>
      </c>
      <c r="P10" s="680">
        <f>SUM(K10:N10)</f>
        <v>29773.935389999999</v>
      </c>
      <c r="Q10" s="680">
        <f>_xll.ciqfunctions.udf.CIQ($X10, "IQ_CASH_ST_INVEST", IQ_LTM, $Y$2, $Y$4, $Y$3, $Y$5, $Y$6)</f>
        <v>2037.9365600000001</v>
      </c>
      <c r="R10" s="681">
        <f>IF(ISERROR(P10-Q10), "n/a", P10-Q10)</f>
        <v>27735.998829999997</v>
      </c>
      <c r="T10" s="682">
        <f>IFERROR(SUM(L10:M10)/P10,"n/a")</f>
        <v>0.28759585684047528</v>
      </c>
      <c r="U10" s="682">
        <f>IFERROR(1-T10,"n/a")</f>
        <v>0.71240414315952472</v>
      </c>
      <c r="V10" s="682">
        <f>V$7</f>
        <v>0</v>
      </c>
      <c r="X10" s="683" t="str">
        <f>'E1'!AZ10</f>
        <v>XTRA:FME</v>
      </c>
      <c r="Y10" s="680">
        <f>_xll.ciqfunctions.udf.CIQ($X10, "IQ_TEV", $Y$2, $Y$5, $Y$6)</f>
        <v>27622.041020000001</v>
      </c>
      <c r="Z10" s="684">
        <f>R10-Y10</f>
        <v>113.95780999999624</v>
      </c>
      <c r="AA10" s="1011">
        <f>_xll.ciqfunctions.udf.CIQ(X10, "IQ_FIRSTPRICINGDATE")</f>
        <v>36318</v>
      </c>
      <c r="AB10" s="58"/>
      <c r="AC10" s="58"/>
      <c r="AD10" s="58"/>
      <c r="AE10" s="58"/>
      <c r="AF10" s="58"/>
      <c r="AG10" s="58"/>
      <c r="AH10" s="58"/>
      <c r="AI10" s="58"/>
    </row>
    <row r="11" spans="2:35" s="57" customFormat="1" ht="12.75" customHeight="1">
      <c r="B11" s="57" t="str">
        <f>_xll.ciqfunctions.udf.CIQ($X11,"IQ_COMPANY_NAME")</f>
        <v>Fresenius SE &amp; Co. KGaA</v>
      </c>
      <c r="D11" s="677">
        <v>2</v>
      </c>
      <c r="E11" s="678" t="s">
        <v>156</v>
      </c>
      <c r="F11" s="678" t="s">
        <v>157</v>
      </c>
      <c r="H11" s="679">
        <f>IF(_xll.ciqfunctions.udf.CIQ($X11, "IQ_BETA_2YR", $Y$2)=0,"n/a",_xll.ciqfunctions.udf.CIQ($X11, "IQ_BETA_2YR", $Y$2))</f>
        <v>0.81105000000000005</v>
      </c>
      <c r="I11" s="617">
        <f t="shared" ref="I11:I29" si="0">IF(ISERROR(H11/(1+(1-$V11)*(($T11)/$U11))), "n/a", H11/(1+(1-$V11)*(($T11)/$U11)))</f>
        <v>0.51115778789359345</v>
      </c>
      <c r="K11" s="680">
        <f>_xll.ciqfunctions.udf.CIQ($X11, "IQ_MARKETCAP", $Y$2, $Y$5, $Y$6)</f>
        <v>26881.01298</v>
      </c>
      <c r="L11" s="680">
        <f>_xll.ciqfunctions.udf.CIQ($X11, "IQ_TOTAL_DEBT", IQ_LTM, $Y$2,$Y$4, $Y$3, $Y$5, $Y$6)</f>
        <v>22029.74324</v>
      </c>
      <c r="M11" s="680">
        <f>_xll.ciqfunctions.udf.CIQ($X11, "IQ_PREF_EQUITY", IQ_LTM, $Y$2, $Y$4, $Y$3, $Y$5, $Y$6)</f>
        <v>0</v>
      </c>
      <c r="N11" s="680">
        <f>_xll.ciqfunctions.udf.CIQ($X11, "IQ_MINORITY_INTEREST_TOTAL", IQ_LTM, $Y$2, $Y$4, $Y$3, $Y$5, $Y$6)</f>
        <v>10668.060880000001</v>
      </c>
      <c r="O11" s="680">
        <f>SUM(L11:N11)</f>
        <v>32697.804120000001</v>
      </c>
      <c r="P11" s="680">
        <f>SUM(K11:N11)</f>
        <v>59578.8171</v>
      </c>
      <c r="Q11" s="680">
        <f>_xll.ciqfunctions.udf.CIQ($X11, "IQ_CASH_ST_INVEST", IQ_LTM, $Y$2, $Y$4, $Y$3, $Y$5, $Y$6)</f>
        <v>2853.4913499999998</v>
      </c>
      <c r="R11" s="681">
        <f>IF(ISERROR(P11-Q11), "n/a", P11-Q11)</f>
        <v>56725.325750000004</v>
      </c>
      <c r="T11" s="682">
        <f>IFERROR(SUM(L11:M11)/P11,"n/a")</f>
        <v>0.36975798299291845</v>
      </c>
      <c r="U11" s="682">
        <f>IFERROR(1-T11,"n/a")</f>
        <v>0.63024201700708149</v>
      </c>
      <c r="V11" s="682">
        <f>V$7</f>
        <v>0</v>
      </c>
      <c r="X11" s="683" t="str">
        <f>'E1'!AZ11</f>
        <v>DB:FRE</v>
      </c>
      <c r="Y11" s="680">
        <f>_xll.ciqfunctions.udf.CIQ($X11, "IQ_TEV", $Y$2, $Y$5, $Y$6)</f>
        <v>56291.36333</v>
      </c>
      <c r="Z11" s="684">
        <f>R11-Y11</f>
        <v>433.96242000000348</v>
      </c>
      <c r="AA11" s="1011">
        <f>_xll.ciqfunctions.udf.CIQ(X11, "IQ_FIRSTPRICINGDATE")</f>
        <v>33921</v>
      </c>
      <c r="AB11" s="58"/>
      <c r="AC11" s="58"/>
      <c r="AD11" s="58"/>
      <c r="AE11" s="58"/>
      <c r="AF11" s="58"/>
      <c r="AG11" s="58"/>
      <c r="AH11" s="58"/>
      <c r="AI11" s="58"/>
    </row>
    <row r="12" spans="2:35" s="57" customFormat="1" ht="12.75" customHeight="1">
      <c r="B12" s="57" t="str">
        <f>_xll.ciqfunctions.udf.CIQ($X12,"IQ_COMPANY_NAME")</f>
        <v>DaVita Inc.</v>
      </c>
      <c r="D12" s="677">
        <v>2</v>
      </c>
      <c r="E12" s="678" t="s">
        <v>156</v>
      </c>
      <c r="F12" s="678" t="s">
        <v>157</v>
      </c>
      <c r="H12" s="679">
        <f>IF(_xll.ciqfunctions.udf.CIQ($X12, "IQ_BETA_2YR", $Y$2)=0,"n/a",_xll.ciqfunctions.udf.CIQ($X12, "IQ_BETA_2YR", $Y$2))</f>
        <v>1.36147</v>
      </c>
      <c r="I12" s="617">
        <f t="shared" si="0"/>
        <v>0.66666347684989857</v>
      </c>
      <c r="K12" s="680">
        <f>_xll.ciqfunctions.udf.CIQ($X12, "IQ_MARKETCAP", $Y$2, $Y$5, $Y$6)</f>
        <v>8541.5613400000002</v>
      </c>
      <c r="L12" s="680">
        <f>_xll.ciqfunctions.udf.CIQ($X12, "IQ_TOTAL_DEBT", IQ_LTM, $Y$2,$Y$4, $Y$3, $Y$5, $Y$6)</f>
        <v>10224.737999999999</v>
      </c>
      <c r="M12" s="680">
        <f>_xll.ciqfunctions.udf.CIQ($X12, "IQ_PREF_EQUITY", IQ_LTM, $Y$2, $Y$4, $Y$3, $Y$5, $Y$6)</f>
        <v>0</v>
      </c>
      <c r="N12" s="680">
        <f>_xll.ciqfunctions.udf.CIQ($X12, "IQ_MINORITY_INTEREST_TOTAL", IQ_LTM, $Y$2, $Y$4, $Y$3, $Y$5, $Y$6)</f>
        <v>1269.0250000000001</v>
      </c>
      <c r="O12" s="680">
        <f t="shared" ref="O12:O29" si="1">SUM(L12:N12)</f>
        <v>11493.762999999999</v>
      </c>
      <c r="P12" s="680">
        <f t="shared" ref="P12:P29" si="2">SUM(K12:N12)</f>
        <v>20035.324339999999</v>
      </c>
      <c r="Q12" s="680">
        <f>_xll.ciqfunctions.udf.CIQ($X12, "IQ_CASH_ST_INVEST", IQ_LTM, $Y$2, $Y$4, $Y$3, $Y$5, $Y$6)</f>
        <v>452.94499999999999</v>
      </c>
      <c r="R12" s="681">
        <f t="shared" ref="R12:R29" si="3">IF(ISERROR(P12-Q12), "n/a", P12-Q12)</f>
        <v>19582.37934</v>
      </c>
      <c r="T12" s="682">
        <f>IFERROR(SUM(L12:M12)/P12,"n/a")</f>
        <v>0.51033553669937748</v>
      </c>
      <c r="U12" s="682">
        <f>IFERROR(1-T12,"n/a")</f>
        <v>0.48966446330062252</v>
      </c>
      <c r="V12" s="682">
        <f>V$7</f>
        <v>0</v>
      </c>
      <c r="X12" s="683" t="str">
        <f>'E1'!AZ12</f>
        <v>NYSE:DVA</v>
      </c>
      <c r="Y12" s="680">
        <f>_xll.ciqfunctions.udf.CIQ($X12, "IQ_TEV", $Y$2, $Y$5, $Y$6)</f>
        <v>19582.37934</v>
      </c>
      <c r="Z12" s="684">
        <f>R12-Y12</f>
        <v>0</v>
      </c>
      <c r="AA12" s="1011">
        <f>_xll.ciqfunctions.udf.CIQ(X12, "IQ_FIRSTPRICINGDATE")</f>
        <v>35003</v>
      </c>
      <c r="AB12" s="685"/>
      <c r="AF12" s="686"/>
    </row>
    <row r="13" spans="2:35" s="57" customFormat="1" ht="12.75" customHeight="1">
      <c r="B13" s="57" t="str">
        <f>_xll.ciqfunctions.udf.CIQ($X13,"IQ_COMPANY_NAME")</f>
        <v>NxStage Medical, Inc.</v>
      </c>
      <c r="D13" s="677">
        <v>2</v>
      </c>
      <c r="E13" s="678" t="s">
        <v>156</v>
      </c>
      <c r="F13" s="678" t="s">
        <v>157</v>
      </c>
      <c r="H13" s="679">
        <f>IF(_xll.ciqfunctions.udf.CIQ($X13, "IQ_BETA_2YR", $Y$2)=0,"n/a",_xll.ciqfunctions.udf.CIQ($X13, "IQ_BETA_2YR", $Y$2))</f>
        <v>9.3119999999999994E-2</v>
      </c>
      <c r="I13" s="617">
        <f t="shared" si="0"/>
        <v>9.2475411989584727E-2</v>
      </c>
      <c r="K13" s="680">
        <f>_xll.ciqfunctions.udf.CIQ($X13, "IQ_MARKETCAP", $Y$2, $Y$5, $Y$6)</f>
        <v>1908.5158899999999</v>
      </c>
      <c r="L13" s="680">
        <f>_xll.ciqfunctions.udf.CIQ($X13, "IQ_TOTAL_DEBT", IQ_LTM, $Y$2,$Y$4, $Y$3, $Y$5, $Y$6)</f>
        <v>13.305999999999999</v>
      </c>
      <c r="M13" s="680">
        <f>_xll.ciqfunctions.udf.CIQ($X13, "IQ_PREF_EQUITY", IQ_LTM, $Y$2, $Y$4, $Y$3, $Y$5, $Y$6)</f>
        <v>0</v>
      </c>
      <c r="N13" s="680">
        <f>_xll.ciqfunctions.udf.CIQ($X13, "IQ_MINORITY_INTEREST_TOTAL", IQ_LTM, $Y$2, $Y$4, $Y$3, $Y$5, $Y$6)</f>
        <v>0.42099999999999999</v>
      </c>
      <c r="O13" s="680">
        <f t="shared" si="1"/>
        <v>13.726999999999999</v>
      </c>
      <c r="P13" s="680">
        <f t="shared" si="2"/>
        <v>1922.24289</v>
      </c>
      <c r="Q13" s="680">
        <f>_xll.ciqfunctions.udf.CIQ($X13, "IQ_CASH_ST_INVEST", IQ_LTM, $Y$2, $Y$4, $Y$3, $Y$5, $Y$6)</f>
        <v>81.944000000000003</v>
      </c>
      <c r="R13" s="681">
        <f t="shared" si="3"/>
        <v>1840.29889</v>
      </c>
      <c r="T13" s="682">
        <f>IFERROR(SUM(L13:M13)/P13,"n/a")</f>
        <v>6.9221221049749855E-3</v>
      </c>
      <c r="U13" s="682">
        <f>IFERROR(1-T13,"n/a")</f>
        <v>0.993077877895025</v>
      </c>
      <c r="V13" s="682">
        <f>V$7</f>
        <v>0</v>
      </c>
      <c r="X13" s="683" t="str">
        <f>'E1'!AZ13</f>
        <v>IQ115544</v>
      </c>
      <c r="Y13" s="680">
        <f>_xll.ciqfunctions.udf.CIQ($X13, "IQ_TEV", $Y$2, $Y$5, $Y$6)</f>
        <v>1840.29889</v>
      </c>
      <c r="Z13" s="684">
        <f>R13-Y13</f>
        <v>0</v>
      </c>
      <c r="AA13" s="1011">
        <f>_xll.ciqfunctions.udf.CIQ(X13, "IQ_FIRSTPRICINGDATE")</f>
        <v>38652</v>
      </c>
      <c r="AB13" s="685"/>
      <c r="AF13" s="686"/>
    </row>
    <row r="14" spans="2:35" s="57" customFormat="1" ht="12.75" customHeight="1">
      <c r="B14" s="57" t="str">
        <f>_xll.ciqfunctions.udf.CIQ($X14,"IQ_COMPANY_NAME")</f>
        <v>American Renal Associates Holdings, Inc.</v>
      </c>
      <c r="D14" s="677">
        <v>2</v>
      </c>
      <c r="E14" s="678" t="s">
        <v>156</v>
      </c>
      <c r="F14" s="678" t="s">
        <v>157</v>
      </c>
      <c r="H14" s="679">
        <f>IF(_xll.ciqfunctions.udf.CIQ($X14, "IQ_BETA_2YR", $Y$2)=0,"n/a",_xll.ciqfunctions.udf.CIQ($X14, "IQ_BETA_2YR", $Y$2))</f>
        <v>1.1034299999999999</v>
      </c>
      <c r="I14" s="617">
        <f t="shared" si="0"/>
        <v>0.61232973757360842</v>
      </c>
      <c r="K14" s="680">
        <f>_xll.ciqfunctions.udf.CIQ($X14, "IQ_MARKETCAP", $Y$2, $Y$5, $Y$6)</f>
        <v>374.59658999999999</v>
      </c>
      <c r="L14" s="680">
        <f>_xll.ciqfunctions.udf.CIQ($X14, "IQ_TOTAL_DEBT", IQ_LTM, $Y$2,$Y$4, $Y$3, $Y$5, $Y$6)</f>
        <v>553.95600000000002</v>
      </c>
      <c r="M14" s="680">
        <f>_xll.ciqfunctions.udf.CIQ($X14, "IQ_PREF_EQUITY", IQ_LTM, $Y$2, $Y$4, $Y$3, $Y$5, $Y$6)</f>
        <v>0</v>
      </c>
      <c r="N14" s="680">
        <f>_xll.ciqfunctions.udf.CIQ($X14, "IQ_MINORITY_INTEREST_TOTAL", IQ_LTM, $Y$2, $Y$4, $Y$3, $Y$5, $Y$6)</f>
        <v>316.10500000000002</v>
      </c>
      <c r="O14" s="680">
        <f t="shared" si="1"/>
        <v>870.06100000000004</v>
      </c>
      <c r="P14" s="680">
        <f t="shared" si="2"/>
        <v>1244.65759</v>
      </c>
      <c r="Q14" s="680">
        <f>_xll.ciqfunctions.udf.CIQ($X14, "IQ_CASH_ST_INVEST", IQ_LTM, $Y$2, $Y$4, $Y$3, $Y$5, $Y$6)</f>
        <v>62.899000000000001</v>
      </c>
      <c r="R14" s="681">
        <f t="shared" si="3"/>
        <v>1181.7585899999999</v>
      </c>
      <c r="T14" s="682">
        <f>IFERROR(SUM(L14:M14)/P14,"n/a")</f>
        <v>0.4450669842458439</v>
      </c>
      <c r="U14" s="682">
        <f>IFERROR(1-T14,"n/a")</f>
        <v>0.5549330157541561</v>
      </c>
      <c r="V14" s="682">
        <f>V$7</f>
        <v>0</v>
      </c>
      <c r="X14" s="683" t="str">
        <f>'E1'!AZ14</f>
        <v>NYSE:ARA</v>
      </c>
      <c r="Y14" s="680">
        <f>_xll.ciqfunctions.udf.CIQ($X14, "IQ_TEV", $Y$2, $Y$5, $Y$6)</f>
        <v>1181.7585899999999</v>
      </c>
      <c r="Z14" s="684">
        <f>R14-Y14</f>
        <v>0</v>
      </c>
      <c r="AA14" s="1011">
        <f>_xll.ciqfunctions.udf.CIQ(X14, "IQ_FIRSTPRICINGDATE")</f>
        <v>42482</v>
      </c>
      <c r="AB14" s="685"/>
      <c r="AF14" s="686"/>
    </row>
    <row r="15" spans="2:35" s="57" customFormat="1" ht="12.75" hidden="1" customHeight="1" outlineLevel="1">
      <c r="B15" s="57" t="s">
        <v>417</v>
      </c>
      <c r="D15" s="677">
        <v>2</v>
      </c>
      <c r="E15" s="678" t="s">
        <v>156</v>
      </c>
      <c r="F15" s="678" t="s">
        <v>157</v>
      </c>
      <c r="H15" s="679" t="str">
        <f>_xll.ciqfunctions.udf.CIQ($X15, "IQ_BETA_2YR", $Y$2)</f>
        <v>(Invalid Identifier)</v>
      </c>
      <c r="I15" s="617" t="str">
        <f t="shared" si="0"/>
        <v>n/a</v>
      </c>
      <c r="K15" s="680" t="str">
        <f>_xll.ciqfunctions.udf.CIQ($X15, "IQ_MARKETCAP", $Y$2, $Y$5, $Y$6)</f>
        <v>(Invalid Identifier)</v>
      </c>
      <c r="L15" s="680" t="str">
        <f>_xll.ciqfunctions.udf.CIQ($X15, "IQ_TOTAL_DEBT", IQ_LTM, $Y$2,$Y$4, $Y$3, $Y$5, $Y$6)</f>
        <v>(Invalid Identifier)</v>
      </c>
      <c r="M15" s="680" t="str">
        <f>_xll.ciqfunctions.udf.CIQ($X15, "IQ_PREF_EQUITY", IQ_LTM, $Y$2, $Y$4, $Y$3, $Y$5, $Y$6)</f>
        <v>(Invalid Identifier)</v>
      </c>
      <c r="N15" s="680" t="str">
        <f>_xll.ciqfunctions.udf.CIQ($X15, "IQ_MINORITY_INTEREST_TOTAL", IQ_LTM, $Y$2, $Y$4, $Y$3, $Y$5, $Y$6)</f>
        <v>(Invalid Identifier)</v>
      </c>
      <c r="O15" s="680">
        <f t="shared" si="1"/>
        <v>0</v>
      </c>
      <c r="P15" s="680">
        <f t="shared" si="2"/>
        <v>0</v>
      </c>
      <c r="Q15" s="680" t="str">
        <f>_xll.ciqfunctions.udf.CIQ($X15, "IQ_CASH_ST_INVEST", IQ_LTM, $Y$2, $Y$4, $Y$3, $Y$5, $Y$6)</f>
        <v>(Invalid Identifier)</v>
      </c>
      <c r="R15" s="681" t="str">
        <f t="shared" si="3"/>
        <v>n/a</v>
      </c>
      <c r="T15" s="682" t="s">
        <v>418</v>
      </c>
      <c r="U15" s="682" t="s">
        <v>418</v>
      </c>
      <c r="V15" s="682">
        <v>0.4</v>
      </c>
      <c r="X15" s="683">
        <f>'E1'!AZ15</f>
        <v>0</v>
      </c>
      <c r="Y15" s="680" t="str">
        <f>_xll.ciqfunctions.udf.CIQ($X15, "IQ_TEV", $Y$2, $Y$5, $Y$6)</f>
        <v>(Invalid Identifier)</v>
      </c>
      <c r="Z15" s="684" t="e">
        <v>#VALUE!</v>
      </c>
      <c r="AB15" s="685"/>
      <c r="AF15" s="686"/>
    </row>
    <row r="16" spans="2:35" s="57" customFormat="1" ht="12.75" hidden="1" customHeight="1" outlineLevel="1">
      <c r="B16" s="57" t="s">
        <v>417</v>
      </c>
      <c r="D16" s="677">
        <v>2</v>
      </c>
      <c r="E16" s="678" t="s">
        <v>156</v>
      </c>
      <c r="F16" s="678" t="s">
        <v>157</v>
      </c>
      <c r="H16" s="679" t="str">
        <f>_xll.ciqfunctions.udf.CIQ($X16, "IQ_BETA_2YR", $Y$2)</f>
        <v>(Invalid Identifier)</v>
      </c>
      <c r="I16" s="617" t="str">
        <f t="shared" si="0"/>
        <v>n/a</v>
      </c>
      <c r="K16" s="680" t="str">
        <f>_xll.ciqfunctions.udf.CIQ($X16, "IQ_MARKETCAP", $Y$2, $Y$5, $Y$6)</f>
        <v>(Invalid Identifier)</v>
      </c>
      <c r="L16" s="680" t="str">
        <f>_xll.ciqfunctions.udf.CIQ($X16, "IQ_TOTAL_DEBT", IQ_LTM, $Y$2,$Y$4, $Y$3, $Y$5, $Y$6)</f>
        <v>(Invalid Identifier)</v>
      </c>
      <c r="M16" s="680" t="str">
        <f>_xll.ciqfunctions.udf.CIQ($X16, "IQ_PREF_EQUITY", IQ_LTM, $Y$2, $Y$4, $Y$3, $Y$5, $Y$6)</f>
        <v>(Invalid Identifier)</v>
      </c>
      <c r="N16" s="680" t="str">
        <f>_xll.ciqfunctions.udf.CIQ($X16, "IQ_MINORITY_INTEREST_TOTAL", IQ_LTM, $Y$2, $Y$4, $Y$3, $Y$5, $Y$6)</f>
        <v>(Invalid Identifier)</v>
      </c>
      <c r="O16" s="680">
        <f t="shared" si="1"/>
        <v>0</v>
      </c>
      <c r="P16" s="680">
        <f t="shared" si="2"/>
        <v>0</v>
      </c>
      <c r="Q16" s="680" t="str">
        <f>_xll.ciqfunctions.udf.CIQ($X16, "IQ_CASH_ST_INVEST", IQ_LTM, $Y$2, $Y$4, $Y$3, $Y$5, $Y$6)</f>
        <v>(Invalid Identifier)</v>
      </c>
      <c r="R16" s="681" t="str">
        <f t="shared" si="3"/>
        <v>n/a</v>
      </c>
      <c r="T16" s="682" t="s">
        <v>418</v>
      </c>
      <c r="U16" s="682" t="s">
        <v>418</v>
      </c>
      <c r="V16" s="682">
        <v>0.4</v>
      </c>
      <c r="X16" s="683">
        <f>'E1'!AZ16</f>
        <v>0</v>
      </c>
      <c r="Y16" s="680" t="str">
        <f>_xll.ciqfunctions.udf.CIQ($X16, "IQ_TEV", $Y$2, $Y$5, $Y$6)</f>
        <v>(Invalid Identifier)</v>
      </c>
      <c r="Z16" s="684" t="e">
        <v>#VALUE!</v>
      </c>
      <c r="AB16" s="685"/>
      <c r="AF16" s="686"/>
    </row>
    <row r="17" spans="2:32" s="57" customFormat="1" ht="12.75" hidden="1" customHeight="1" outlineLevel="1">
      <c r="B17" s="57" t="s">
        <v>417</v>
      </c>
      <c r="D17" s="677">
        <v>2</v>
      </c>
      <c r="E17" s="678" t="s">
        <v>156</v>
      </c>
      <c r="F17" s="678" t="s">
        <v>157</v>
      </c>
      <c r="H17" s="679" t="str">
        <f>_xll.ciqfunctions.udf.CIQ($X17, "IQ_BETA_2YR", $Y$2)</f>
        <v>(Invalid Identifier)</v>
      </c>
      <c r="I17" s="617" t="str">
        <f t="shared" si="0"/>
        <v>n/a</v>
      </c>
      <c r="K17" s="680" t="str">
        <f>_xll.ciqfunctions.udf.CIQ($X17, "IQ_MARKETCAP", $Y$2, $Y$5, $Y$6)</f>
        <v>(Invalid Identifier)</v>
      </c>
      <c r="L17" s="680" t="str">
        <f>_xll.ciqfunctions.udf.CIQ($X17, "IQ_TOTAL_DEBT", IQ_LTM, $Y$2,$Y$4, $Y$3, $Y$5, $Y$6)</f>
        <v>(Invalid Identifier)</v>
      </c>
      <c r="M17" s="680" t="str">
        <f>_xll.ciqfunctions.udf.CIQ($X17, "IQ_PREF_EQUITY", IQ_LTM, $Y$2, $Y$4, $Y$3, $Y$5, $Y$6)</f>
        <v>(Invalid Identifier)</v>
      </c>
      <c r="N17" s="680" t="str">
        <f>_xll.ciqfunctions.udf.CIQ($X17, "IQ_MINORITY_INTEREST_TOTAL", IQ_LTM, $Y$2, $Y$4, $Y$3, $Y$5, $Y$6)</f>
        <v>(Invalid Identifier)</v>
      </c>
      <c r="O17" s="680">
        <f t="shared" si="1"/>
        <v>0</v>
      </c>
      <c r="P17" s="680">
        <f t="shared" si="2"/>
        <v>0</v>
      </c>
      <c r="Q17" s="680" t="str">
        <f>_xll.ciqfunctions.udf.CIQ($X17, "IQ_CASH_ST_INVEST", IQ_LTM, $Y$2, $Y$4, $Y$3, $Y$5, $Y$6)</f>
        <v>(Invalid Identifier)</v>
      </c>
      <c r="R17" s="681" t="str">
        <f t="shared" si="3"/>
        <v>n/a</v>
      </c>
      <c r="T17" s="682" t="s">
        <v>418</v>
      </c>
      <c r="U17" s="682" t="s">
        <v>418</v>
      </c>
      <c r="V17" s="682">
        <v>0.4</v>
      </c>
      <c r="X17" s="683">
        <f>'E1'!AZ17</f>
        <v>0</v>
      </c>
      <c r="Y17" s="680" t="str">
        <f>_xll.ciqfunctions.udf.CIQ($X17, "IQ_TEV", $Y$2, $Y$5, $Y$6)</f>
        <v>(Invalid Identifier)</v>
      </c>
      <c r="Z17" s="684" t="e">
        <v>#VALUE!</v>
      </c>
      <c r="AB17" s="685"/>
      <c r="AF17" s="686"/>
    </row>
    <row r="18" spans="2:32" s="57" customFormat="1" ht="12.75" hidden="1" customHeight="1" outlineLevel="1">
      <c r="B18" s="57" t="s">
        <v>417</v>
      </c>
      <c r="D18" s="677">
        <v>2</v>
      </c>
      <c r="E18" s="678" t="s">
        <v>156</v>
      </c>
      <c r="F18" s="678" t="s">
        <v>157</v>
      </c>
      <c r="H18" s="679" t="str">
        <f>_xll.ciqfunctions.udf.CIQ($X18, "IQ_BETA_2YR", $Y$2)</f>
        <v>(Invalid Identifier)</v>
      </c>
      <c r="I18" s="617" t="str">
        <f t="shared" si="0"/>
        <v>n/a</v>
      </c>
      <c r="K18" s="680" t="str">
        <f>_xll.ciqfunctions.udf.CIQ($X18, "IQ_MARKETCAP", $Y$2, $Y$5, $Y$6)</f>
        <v>(Invalid Identifier)</v>
      </c>
      <c r="L18" s="680" t="str">
        <f>_xll.ciqfunctions.udf.CIQ($X18, "IQ_TOTAL_DEBT", IQ_LTM, $Y$2,$Y$4, $Y$3, $Y$5, $Y$6)</f>
        <v>(Invalid Identifier)</v>
      </c>
      <c r="M18" s="680" t="str">
        <f>_xll.ciqfunctions.udf.CIQ($X18, "IQ_PREF_EQUITY", IQ_LTM, $Y$2, $Y$4, $Y$3, $Y$5, $Y$6)</f>
        <v>(Invalid Identifier)</v>
      </c>
      <c r="N18" s="680" t="str">
        <f>_xll.ciqfunctions.udf.CIQ($X18, "IQ_MINORITY_INTEREST_TOTAL", IQ_LTM, $Y$2, $Y$4, $Y$3, $Y$5, $Y$6)</f>
        <v>(Invalid Identifier)</v>
      </c>
      <c r="O18" s="680">
        <f t="shared" si="1"/>
        <v>0</v>
      </c>
      <c r="P18" s="680">
        <f t="shared" si="2"/>
        <v>0</v>
      </c>
      <c r="Q18" s="680" t="str">
        <f>_xll.ciqfunctions.udf.CIQ($X18, "IQ_CASH_ST_INVEST", IQ_LTM, $Y$2, $Y$4, $Y$3, $Y$5, $Y$6)</f>
        <v>(Invalid Identifier)</v>
      </c>
      <c r="R18" s="681" t="str">
        <f t="shared" si="3"/>
        <v>n/a</v>
      </c>
      <c r="T18" s="682" t="s">
        <v>418</v>
      </c>
      <c r="U18" s="682" t="s">
        <v>418</v>
      </c>
      <c r="V18" s="682">
        <v>0.4</v>
      </c>
      <c r="X18" s="683">
        <f>'E1'!AZ18</f>
        <v>0</v>
      </c>
      <c r="Y18" s="680" t="str">
        <f>_xll.ciqfunctions.udf.CIQ($X18, "IQ_TEV", $Y$2, $Y$5, $Y$6)</f>
        <v>(Invalid Identifier)</v>
      </c>
      <c r="Z18" s="684" t="e">
        <v>#VALUE!</v>
      </c>
      <c r="AB18" s="685"/>
      <c r="AF18" s="686"/>
    </row>
    <row r="19" spans="2:32" s="57" customFormat="1" ht="12.75" hidden="1" customHeight="1" outlineLevel="1">
      <c r="B19" s="57" t="s">
        <v>417</v>
      </c>
      <c r="D19" s="677">
        <v>2</v>
      </c>
      <c r="E19" s="678" t="s">
        <v>156</v>
      </c>
      <c r="F19" s="678" t="s">
        <v>157</v>
      </c>
      <c r="H19" s="679" t="str">
        <f>_xll.ciqfunctions.udf.CIQ($X19, "IQ_BETA_2YR", $Y$2)</f>
        <v>(Invalid Identifier)</v>
      </c>
      <c r="I19" s="617" t="str">
        <f t="shared" si="0"/>
        <v>n/a</v>
      </c>
      <c r="K19" s="680" t="str">
        <f>_xll.ciqfunctions.udf.CIQ($X19, "IQ_MARKETCAP", $Y$2, $Y$5, $Y$6)</f>
        <v>(Invalid Identifier)</v>
      </c>
      <c r="L19" s="680" t="str">
        <f>_xll.ciqfunctions.udf.CIQ($X19, "IQ_TOTAL_DEBT", IQ_LTM, $Y$2,$Y$4, $Y$3, $Y$5, $Y$6)</f>
        <v>(Invalid Identifier)</v>
      </c>
      <c r="M19" s="680" t="str">
        <f>_xll.ciqfunctions.udf.CIQ($X19, "IQ_PREF_EQUITY", IQ_LTM, $Y$2, $Y$4, $Y$3, $Y$5, $Y$6)</f>
        <v>(Invalid Identifier)</v>
      </c>
      <c r="N19" s="680" t="str">
        <f>_xll.ciqfunctions.udf.CIQ($X19, "IQ_MINORITY_INTEREST_TOTAL", IQ_LTM, $Y$2, $Y$4, $Y$3, $Y$5, $Y$6)</f>
        <v>(Invalid Identifier)</v>
      </c>
      <c r="O19" s="680">
        <f t="shared" si="1"/>
        <v>0</v>
      </c>
      <c r="P19" s="680">
        <f t="shared" si="2"/>
        <v>0</v>
      </c>
      <c r="Q19" s="680" t="str">
        <f>_xll.ciqfunctions.udf.CIQ($X19, "IQ_CASH_ST_INVEST", IQ_LTM, $Y$2, $Y$4, $Y$3, $Y$5, $Y$6)</f>
        <v>(Invalid Identifier)</v>
      </c>
      <c r="R19" s="681" t="str">
        <f t="shared" si="3"/>
        <v>n/a</v>
      </c>
      <c r="T19" s="682" t="s">
        <v>418</v>
      </c>
      <c r="U19" s="682" t="s">
        <v>418</v>
      </c>
      <c r="V19" s="682">
        <v>0.4</v>
      </c>
      <c r="X19" s="683">
        <f>'E1'!AZ19</f>
        <v>0</v>
      </c>
      <c r="Y19" s="680" t="str">
        <f>_xll.ciqfunctions.udf.CIQ($X19, "IQ_TEV", $Y$2, $Y$5, $Y$6)</f>
        <v>(Invalid Identifier)</v>
      </c>
      <c r="Z19" s="684" t="e">
        <v>#VALUE!</v>
      </c>
      <c r="AB19" s="685"/>
      <c r="AF19" s="686"/>
    </row>
    <row r="20" spans="2:32" s="57" customFormat="1" ht="12.75" hidden="1" customHeight="1" outlineLevel="1">
      <c r="B20" s="57" t="s">
        <v>417</v>
      </c>
      <c r="D20" s="677">
        <v>2</v>
      </c>
      <c r="E20" s="678" t="s">
        <v>156</v>
      </c>
      <c r="F20" s="678" t="s">
        <v>157</v>
      </c>
      <c r="H20" s="679" t="str">
        <f>_xll.ciqfunctions.udf.CIQ($X20, "IQ_BETA_2YR", $Y$2)</f>
        <v>(Invalid Identifier)</v>
      </c>
      <c r="I20" s="617" t="str">
        <f t="shared" si="0"/>
        <v>n/a</v>
      </c>
      <c r="K20" s="680" t="str">
        <f>_xll.ciqfunctions.udf.CIQ($X20, "IQ_MARKETCAP", $Y$2, $Y$5, $Y$6)</f>
        <v>(Invalid Identifier)</v>
      </c>
      <c r="L20" s="680" t="str">
        <f>_xll.ciqfunctions.udf.CIQ($X20, "IQ_TOTAL_DEBT", IQ_LTM, $Y$2,$Y$4, $Y$3, $Y$5, $Y$6)</f>
        <v>(Invalid Identifier)</v>
      </c>
      <c r="M20" s="680" t="str">
        <f>_xll.ciqfunctions.udf.CIQ($X20, "IQ_PREF_EQUITY", IQ_LTM, $Y$2, $Y$4, $Y$3, $Y$5, $Y$6)</f>
        <v>(Invalid Identifier)</v>
      </c>
      <c r="N20" s="680" t="str">
        <f>_xll.ciqfunctions.udf.CIQ($X20, "IQ_MINORITY_INTEREST_TOTAL", IQ_LTM, $Y$2, $Y$4, $Y$3, $Y$5, $Y$6)</f>
        <v>(Invalid Identifier)</v>
      </c>
      <c r="O20" s="680">
        <f t="shared" si="1"/>
        <v>0</v>
      </c>
      <c r="P20" s="680">
        <f t="shared" si="2"/>
        <v>0</v>
      </c>
      <c r="Q20" s="680" t="str">
        <f>_xll.ciqfunctions.udf.CIQ($X20, "IQ_CASH_ST_INVEST", IQ_LTM, $Y$2, $Y$4, $Y$3, $Y$5, $Y$6)</f>
        <v>(Invalid Identifier)</v>
      </c>
      <c r="R20" s="681" t="str">
        <f t="shared" si="3"/>
        <v>n/a</v>
      </c>
      <c r="T20" s="682" t="s">
        <v>418</v>
      </c>
      <c r="U20" s="682" t="s">
        <v>418</v>
      </c>
      <c r="V20" s="682">
        <v>0.4</v>
      </c>
      <c r="X20" s="683">
        <f>'E1'!AZ22</f>
        <v>0</v>
      </c>
      <c r="Y20" s="680" t="str">
        <f>_xll.ciqfunctions.udf.CIQ($X20, "IQ_TEV", $Y$2, $Y$5, $Y$6)</f>
        <v>(Invalid Identifier)</v>
      </c>
      <c r="Z20" s="684" t="e">
        <v>#VALUE!</v>
      </c>
      <c r="AB20" s="685"/>
      <c r="AF20" s="686"/>
    </row>
    <row r="21" spans="2:32" s="57" customFormat="1" ht="12.75" hidden="1" customHeight="1" outlineLevel="1">
      <c r="B21" s="57" t="s">
        <v>417</v>
      </c>
      <c r="D21" s="677">
        <v>2</v>
      </c>
      <c r="E21" s="678" t="s">
        <v>156</v>
      </c>
      <c r="F21" s="678" t="s">
        <v>157</v>
      </c>
      <c r="H21" s="679" t="str">
        <f>_xll.ciqfunctions.udf.CIQ($X21, "IQ_BETA_2YR", $Y$2)</f>
        <v>(Invalid Identifier)</v>
      </c>
      <c r="I21" s="617" t="str">
        <f t="shared" si="0"/>
        <v>n/a</v>
      </c>
      <c r="K21" s="680" t="str">
        <f>_xll.ciqfunctions.udf.CIQ($X21, "IQ_MARKETCAP", $Y$2, $Y$5, $Y$6)</f>
        <v>(Invalid Identifier)</v>
      </c>
      <c r="L21" s="680" t="str">
        <f>_xll.ciqfunctions.udf.CIQ($X21, "IQ_TOTAL_DEBT", IQ_LTM, $Y$2,$Y$4, $Y$3, $Y$5, $Y$6)</f>
        <v>(Invalid Identifier)</v>
      </c>
      <c r="M21" s="680" t="str">
        <f>_xll.ciqfunctions.udf.CIQ($X21, "IQ_PREF_EQUITY", IQ_LTM, $Y$2, $Y$4, $Y$3, $Y$5, $Y$6)</f>
        <v>(Invalid Identifier)</v>
      </c>
      <c r="N21" s="680" t="str">
        <f>_xll.ciqfunctions.udf.CIQ($X21, "IQ_MINORITY_INTEREST_TOTAL", IQ_LTM, $Y$2, $Y$4, $Y$3, $Y$5, $Y$6)</f>
        <v>(Invalid Identifier)</v>
      </c>
      <c r="O21" s="680">
        <f t="shared" si="1"/>
        <v>0</v>
      </c>
      <c r="P21" s="680">
        <f t="shared" si="2"/>
        <v>0</v>
      </c>
      <c r="Q21" s="680" t="str">
        <f>_xll.ciqfunctions.udf.CIQ($X21, "IQ_CASH_ST_INVEST", IQ_LTM, $Y$2, $Y$4, $Y$3, $Y$5, $Y$6)</f>
        <v>(Invalid Identifier)</v>
      </c>
      <c r="R21" s="681" t="str">
        <f t="shared" si="3"/>
        <v>n/a</v>
      </c>
      <c r="T21" s="682" t="s">
        <v>418</v>
      </c>
      <c r="U21" s="682" t="s">
        <v>418</v>
      </c>
      <c r="V21" s="682">
        <v>0.4</v>
      </c>
      <c r="X21" s="683">
        <f>'E1'!AZ23</f>
        <v>0</v>
      </c>
      <c r="Y21" s="680" t="str">
        <f>_xll.ciqfunctions.udf.CIQ($X21, "IQ_TEV", $Y$2, $Y$5, $Y$6)</f>
        <v>(Invalid Identifier)</v>
      </c>
      <c r="Z21" s="684" t="e">
        <v>#VALUE!</v>
      </c>
      <c r="AB21" s="685"/>
      <c r="AF21" s="686"/>
    </row>
    <row r="22" spans="2:32" s="57" customFormat="1" ht="12.75" hidden="1" customHeight="1" outlineLevel="1">
      <c r="B22" s="57" t="s">
        <v>417</v>
      </c>
      <c r="D22" s="677">
        <v>2</v>
      </c>
      <c r="E22" s="678" t="s">
        <v>156</v>
      </c>
      <c r="F22" s="678" t="s">
        <v>157</v>
      </c>
      <c r="H22" s="679" t="str">
        <f>_xll.ciqfunctions.udf.CIQ($X22, "IQ_BETA_2YR", $Y$2)</f>
        <v>(Invalid Identifier)</v>
      </c>
      <c r="I22" s="617" t="str">
        <f t="shared" si="0"/>
        <v>n/a</v>
      </c>
      <c r="K22" s="680" t="str">
        <f>_xll.ciqfunctions.udf.CIQ($X22, "IQ_MARKETCAP", $Y$2, $Y$5, $Y$6)</f>
        <v>(Invalid Identifier)</v>
      </c>
      <c r="L22" s="680" t="str">
        <f>_xll.ciqfunctions.udf.CIQ($X22, "IQ_TOTAL_DEBT", IQ_LTM, $Y$2,$Y$4, $Y$3, $Y$5, $Y$6)</f>
        <v>(Invalid Identifier)</v>
      </c>
      <c r="M22" s="680" t="str">
        <f>_xll.ciqfunctions.udf.CIQ($X22, "IQ_PREF_EQUITY", IQ_LTM, $Y$2, $Y$4, $Y$3, $Y$5, $Y$6)</f>
        <v>(Invalid Identifier)</v>
      </c>
      <c r="N22" s="680" t="str">
        <f>_xll.ciqfunctions.udf.CIQ($X22, "IQ_MINORITY_INTEREST_TOTAL", IQ_LTM, $Y$2, $Y$4, $Y$3, $Y$5, $Y$6)</f>
        <v>(Invalid Identifier)</v>
      </c>
      <c r="O22" s="680">
        <f t="shared" si="1"/>
        <v>0</v>
      </c>
      <c r="P22" s="680">
        <f t="shared" si="2"/>
        <v>0</v>
      </c>
      <c r="Q22" s="680" t="str">
        <f>_xll.ciqfunctions.udf.CIQ($X22, "IQ_CASH_ST_INVEST", IQ_LTM, $Y$2, $Y$4, $Y$3, $Y$5, $Y$6)</f>
        <v>(Invalid Identifier)</v>
      </c>
      <c r="R22" s="681" t="str">
        <f t="shared" si="3"/>
        <v>n/a</v>
      </c>
      <c r="T22" s="682" t="s">
        <v>418</v>
      </c>
      <c r="U22" s="682" t="s">
        <v>418</v>
      </c>
      <c r="V22" s="682">
        <v>0.4</v>
      </c>
      <c r="X22" s="683">
        <f>'E1'!AZ24</f>
        <v>0</v>
      </c>
      <c r="Y22" s="680" t="str">
        <f>_xll.ciqfunctions.udf.CIQ($X22, "IQ_TEV", $Y$2, $Y$5, $Y$6)</f>
        <v>(Invalid Identifier)</v>
      </c>
      <c r="Z22" s="684" t="e">
        <v>#VALUE!</v>
      </c>
      <c r="AB22" s="685"/>
      <c r="AF22" s="686"/>
    </row>
    <row r="23" spans="2:32" s="57" customFormat="1" ht="12.75" hidden="1" customHeight="1" outlineLevel="1">
      <c r="B23" s="57" t="s">
        <v>417</v>
      </c>
      <c r="D23" s="677">
        <v>2</v>
      </c>
      <c r="E23" s="678" t="s">
        <v>156</v>
      </c>
      <c r="F23" s="678" t="s">
        <v>157</v>
      </c>
      <c r="H23" s="679" t="str">
        <f>_xll.ciqfunctions.udf.CIQ($X23, "IQ_BETA_2YR", $Y$2)</f>
        <v>(Invalid Identifier)</v>
      </c>
      <c r="I23" s="617" t="str">
        <f t="shared" si="0"/>
        <v>n/a</v>
      </c>
      <c r="K23" s="680" t="str">
        <f>_xll.ciqfunctions.udf.CIQ($X23, "IQ_MARKETCAP", $Y$2, $Y$5, $Y$6)</f>
        <v>(Invalid Identifier)</v>
      </c>
      <c r="L23" s="680" t="str">
        <f>_xll.ciqfunctions.udf.CIQ($X23, "IQ_TOTAL_DEBT", IQ_LTM, $Y$2,$Y$4, $Y$3, $Y$5, $Y$6)</f>
        <v>(Invalid Identifier)</v>
      </c>
      <c r="M23" s="680" t="str">
        <f>_xll.ciqfunctions.udf.CIQ($X23, "IQ_PREF_EQUITY", IQ_LTM, $Y$2, $Y$4, $Y$3, $Y$5, $Y$6)</f>
        <v>(Invalid Identifier)</v>
      </c>
      <c r="N23" s="680" t="str">
        <f>_xll.ciqfunctions.udf.CIQ($X23, "IQ_MINORITY_INTEREST_TOTAL", IQ_LTM, $Y$2, $Y$4, $Y$3, $Y$5, $Y$6)</f>
        <v>(Invalid Identifier)</v>
      </c>
      <c r="O23" s="680">
        <f t="shared" si="1"/>
        <v>0</v>
      </c>
      <c r="P23" s="680">
        <f t="shared" si="2"/>
        <v>0</v>
      </c>
      <c r="Q23" s="680" t="str">
        <f>_xll.ciqfunctions.udf.CIQ($X23, "IQ_CASH_ST_INVEST", IQ_LTM, $Y$2, $Y$4, $Y$3, $Y$5, $Y$6)</f>
        <v>(Invalid Identifier)</v>
      </c>
      <c r="R23" s="681" t="str">
        <f t="shared" si="3"/>
        <v>n/a</v>
      </c>
      <c r="T23" s="682" t="s">
        <v>418</v>
      </c>
      <c r="U23" s="682" t="s">
        <v>418</v>
      </c>
      <c r="V23" s="682">
        <v>0.4</v>
      </c>
      <c r="X23" s="683">
        <f>'E1'!AZ25</f>
        <v>0</v>
      </c>
      <c r="Y23" s="680" t="str">
        <f>_xll.ciqfunctions.udf.CIQ($X23, "IQ_TEV", $Y$2, $Y$5, $Y$6)</f>
        <v>(Invalid Identifier)</v>
      </c>
      <c r="Z23" s="684" t="e">
        <v>#VALUE!</v>
      </c>
      <c r="AB23" s="685"/>
      <c r="AF23" s="686"/>
    </row>
    <row r="24" spans="2:32" s="57" customFormat="1" ht="12.75" hidden="1" customHeight="1" outlineLevel="1">
      <c r="B24" s="57" t="s">
        <v>417</v>
      </c>
      <c r="D24" s="677">
        <v>2</v>
      </c>
      <c r="E24" s="678" t="s">
        <v>156</v>
      </c>
      <c r="F24" s="678" t="s">
        <v>157</v>
      </c>
      <c r="H24" s="679" t="str">
        <f>_xll.ciqfunctions.udf.CIQ($X24, "IQ_BETA_2YR", $Y$2)</f>
        <v>(Invalid Identifier)</v>
      </c>
      <c r="I24" s="617" t="str">
        <f t="shared" si="0"/>
        <v>n/a</v>
      </c>
      <c r="K24" s="680" t="str">
        <f>_xll.ciqfunctions.udf.CIQ($X24, "IQ_MARKETCAP", $Y$2, $Y$5, $Y$6)</f>
        <v>(Invalid Identifier)</v>
      </c>
      <c r="L24" s="680" t="str">
        <f>_xll.ciqfunctions.udf.CIQ($X24, "IQ_TOTAL_DEBT", IQ_LTM, $Y$2,$Y$4, $Y$3, $Y$5, $Y$6)</f>
        <v>(Invalid Identifier)</v>
      </c>
      <c r="M24" s="680" t="str">
        <f>_xll.ciqfunctions.udf.CIQ($X24, "IQ_PREF_EQUITY", IQ_LTM, $Y$2, $Y$4, $Y$3, $Y$5, $Y$6)</f>
        <v>(Invalid Identifier)</v>
      </c>
      <c r="N24" s="680" t="str">
        <f>_xll.ciqfunctions.udf.CIQ($X24, "IQ_MINORITY_INTEREST_TOTAL", IQ_LTM, $Y$2, $Y$4, $Y$3, $Y$5, $Y$6)</f>
        <v>(Invalid Identifier)</v>
      </c>
      <c r="O24" s="680">
        <f t="shared" si="1"/>
        <v>0</v>
      </c>
      <c r="P24" s="680">
        <f t="shared" si="2"/>
        <v>0</v>
      </c>
      <c r="Q24" s="680" t="str">
        <f>_xll.ciqfunctions.udf.CIQ($X24, "IQ_CASH_ST_INVEST", IQ_LTM, $Y$2, $Y$4, $Y$3, $Y$5, $Y$6)</f>
        <v>(Invalid Identifier)</v>
      </c>
      <c r="R24" s="681" t="str">
        <f t="shared" si="3"/>
        <v>n/a</v>
      </c>
      <c r="T24" s="682" t="s">
        <v>418</v>
      </c>
      <c r="U24" s="682" t="s">
        <v>418</v>
      </c>
      <c r="V24" s="682">
        <v>0.4</v>
      </c>
      <c r="X24" s="683">
        <f>'E1'!AZ26</f>
        <v>0</v>
      </c>
      <c r="Y24" s="680" t="str">
        <f>_xll.ciqfunctions.udf.CIQ($X24, "IQ_TEV", $Y$2, $Y$5, $Y$6)</f>
        <v>(Invalid Identifier)</v>
      </c>
      <c r="Z24" s="684" t="e">
        <v>#VALUE!</v>
      </c>
      <c r="AB24" s="685"/>
      <c r="AF24" s="686"/>
    </row>
    <row r="25" spans="2:32" s="57" customFormat="1" ht="12.75" hidden="1" customHeight="1" outlineLevel="1">
      <c r="B25" s="57" t="s">
        <v>417</v>
      </c>
      <c r="D25" s="677">
        <v>2</v>
      </c>
      <c r="E25" s="678" t="s">
        <v>156</v>
      </c>
      <c r="F25" s="678" t="s">
        <v>157</v>
      </c>
      <c r="H25" s="679" t="str">
        <f>_xll.ciqfunctions.udf.CIQ($X25, "IQ_BETA_2YR", $Y$2)</f>
        <v>(Invalid Identifier)</v>
      </c>
      <c r="I25" s="617" t="str">
        <f t="shared" si="0"/>
        <v>n/a</v>
      </c>
      <c r="K25" s="680" t="str">
        <f>_xll.ciqfunctions.udf.CIQ($X25, "IQ_MARKETCAP", $Y$2, $Y$5, $Y$6)</f>
        <v>(Invalid Identifier)</v>
      </c>
      <c r="L25" s="680" t="str">
        <f>_xll.ciqfunctions.udf.CIQ($X25, "IQ_TOTAL_DEBT", IQ_LTM, $Y$2,$Y$4, $Y$3, $Y$5, $Y$6)</f>
        <v>(Invalid Identifier)</v>
      </c>
      <c r="M25" s="680" t="str">
        <f>_xll.ciqfunctions.udf.CIQ($X25, "IQ_PREF_EQUITY", IQ_LTM, $Y$2, $Y$4, $Y$3, $Y$5, $Y$6)</f>
        <v>(Invalid Identifier)</v>
      </c>
      <c r="N25" s="680" t="str">
        <f>_xll.ciqfunctions.udf.CIQ($X25, "IQ_MINORITY_INTEREST_TOTAL", IQ_LTM, $Y$2, $Y$4, $Y$3, $Y$5, $Y$6)</f>
        <v>(Invalid Identifier)</v>
      </c>
      <c r="O25" s="680">
        <f t="shared" si="1"/>
        <v>0</v>
      </c>
      <c r="P25" s="680">
        <f t="shared" si="2"/>
        <v>0</v>
      </c>
      <c r="Q25" s="680" t="str">
        <f>_xll.ciqfunctions.udf.CIQ($X25, "IQ_CASH_ST_INVEST", IQ_LTM, $Y$2, $Y$4, $Y$3, $Y$5, $Y$6)</f>
        <v>(Invalid Identifier)</v>
      </c>
      <c r="R25" s="681" t="str">
        <f t="shared" si="3"/>
        <v>n/a</v>
      </c>
      <c r="T25" s="682" t="s">
        <v>418</v>
      </c>
      <c r="U25" s="682" t="s">
        <v>418</v>
      </c>
      <c r="V25" s="682">
        <v>0.4</v>
      </c>
      <c r="X25" s="683">
        <f>'E1'!AZ27</f>
        <v>0</v>
      </c>
      <c r="Y25" s="680" t="str">
        <f>_xll.ciqfunctions.udf.CIQ($X25, "IQ_TEV", $Y$2, $Y$5, $Y$6)</f>
        <v>(Invalid Identifier)</v>
      </c>
      <c r="Z25" s="684" t="e">
        <v>#VALUE!</v>
      </c>
      <c r="AB25" s="685"/>
      <c r="AF25" s="686"/>
    </row>
    <row r="26" spans="2:32" s="57" customFormat="1" ht="12.75" hidden="1" customHeight="1" outlineLevel="1">
      <c r="B26" s="57" t="s">
        <v>417</v>
      </c>
      <c r="D26" s="677">
        <v>2</v>
      </c>
      <c r="E26" s="678" t="s">
        <v>156</v>
      </c>
      <c r="F26" s="678" t="s">
        <v>157</v>
      </c>
      <c r="H26" s="679" t="str">
        <f>_xll.ciqfunctions.udf.CIQ($X26, "IQ_BETA_2YR", $Y$2)</f>
        <v>(Invalid Identifier)</v>
      </c>
      <c r="I26" s="617" t="str">
        <f t="shared" si="0"/>
        <v>n/a</v>
      </c>
      <c r="K26" s="680" t="str">
        <f>_xll.ciqfunctions.udf.CIQ($X26, "IQ_MARKETCAP", $Y$2, $Y$5, $Y$6)</f>
        <v>(Invalid Identifier)</v>
      </c>
      <c r="L26" s="680" t="str">
        <f>_xll.ciqfunctions.udf.CIQ($X26, "IQ_TOTAL_DEBT", IQ_LTM, $Y$2,$Y$4, $Y$3, $Y$5, $Y$6)</f>
        <v>(Invalid Identifier)</v>
      </c>
      <c r="M26" s="680" t="str">
        <f>_xll.ciqfunctions.udf.CIQ($X26, "IQ_PREF_EQUITY", IQ_LTM, $Y$2, $Y$4, $Y$3, $Y$5, $Y$6)</f>
        <v>(Invalid Identifier)</v>
      </c>
      <c r="N26" s="680" t="str">
        <f>_xll.ciqfunctions.udf.CIQ($X26, "IQ_MINORITY_INTEREST_TOTAL", IQ_LTM, $Y$2, $Y$4, $Y$3, $Y$5, $Y$6)</f>
        <v>(Invalid Identifier)</v>
      </c>
      <c r="O26" s="680">
        <f t="shared" si="1"/>
        <v>0</v>
      </c>
      <c r="P26" s="680">
        <f t="shared" si="2"/>
        <v>0</v>
      </c>
      <c r="Q26" s="680" t="str">
        <f>_xll.ciqfunctions.udf.CIQ($X26, "IQ_CASH_ST_INVEST", IQ_LTM, $Y$2, $Y$4, $Y$3, $Y$5, $Y$6)</f>
        <v>(Invalid Identifier)</v>
      </c>
      <c r="R26" s="681" t="str">
        <f t="shared" si="3"/>
        <v>n/a</v>
      </c>
      <c r="T26" s="682" t="s">
        <v>418</v>
      </c>
      <c r="U26" s="682" t="s">
        <v>418</v>
      </c>
      <c r="V26" s="682">
        <v>0.4</v>
      </c>
      <c r="X26" s="683">
        <f>'E1'!AZ28</f>
        <v>0</v>
      </c>
      <c r="Y26" s="680" t="str">
        <f>_xll.ciqfunctions.udf.CIQ($X26, "IQ_TEV", $Y$2, $Y$5, $Y$6)</f>
        <v>(Invalid Identifier)</v>
      </c>
      <c r="Z26" s="684" t="e">
        <v>#VALUE!</v>
      </c>
      <c r="AB26" s="685"/>
      <c r="AF26" s="686"/>
    </row>
    <row r="27" spans="2:32" s="57" customFormat="1" ht="12.75" hidden="1" customHeight="1" outlineLevel="1">
      <c r="B27" s="57" t="s">
        <v>417</v>
      </c>
      <c r="D27" s="677">
        <v>2</v>
      </c>
      <c r="E27" s="678" t="s">
        <v>156</v>
      </c>
      <c r="F27" s="678" t="s">
        <v>157</v>
      </c>
      <c r="H27" s="679" t="str">
        <f>_xll.ciqfunctions.udf.CIQ($X27, "IQ_BETA_2YR", $Y$2)</f>
        <v>(Invalid Identifier)</v>
      </c>
      <c r="I27" s="617" t="str">
        <f t="shared" si="0"/>
        <v>n/a</v>
      </c>
      <c r="K27" s="680" t="str">
        <f>_xll.ciqfunctions.udf.CIQ($X27, "IQ_MARKETCAP", $Y$2, $Y$5, $Y$6)</f>
        <v>(Invalid Identifier)</v>
      </c>
      <c r="L27" s="680" t="str">
        <f>_xll.ciqfunctions.udf.CIQ($X27, "IQ_TOTAL_DEBT", IQ_LTM, $Y$2,$Y$4, $Y$3, $Y$5, $Y$6)</f>
        <v>(Invalid Identifier)</v>
      </c>
      <c r="M27" s="680" t="str">
        <f>_xll.ciqfunctions.udf.CIQ($X27, "IQ_PREF_EQUITY", IQ_LTM, $Y$2, $Y$4, $Y$3, $Y$5, $Y$6)</f>
        <v>(Invalid Identifier)</v>
      </c>
      <c r="N27" s="680" t="str">
        <f>_xll.ciqfunctions.udf.CIQ($X27, "IQ_MINORITY_INTEREST_TOTAL", IQ_LTM, $Y$2, $Y$4, $Y$3, $Y$5, $Y$6)</f>
        <v>(Invalid Identifier)</v>
      </c>
      <c r="O27" s="680">
        <f t="shared" si="1"/>
        <v>0</v>
      </c>
      <c r="P27" s="680">
        <f t="shared" si="2"/>
        <v>0</v>
      </c>
      <c r="Q27" s="680" t="str">
        <f>_xll.ciqfunctions.udf.CIQ($X27, "IQ_CASH_ST_INVEST", IQ_LTM, $Y$2, $Y$4, $Y$3, $Y$5, $Y$6)</f>
        <v>(Invalid Identifier)</v>
      </c>
      <c r="R27" s="681" t="str">
        <f t="shared" si="3"/>
        <v>n/a</v>
      </c>
      <c r="T27" s="682" t="s">
        <v>418</v>
      </c>
      <c r="U27" s="682" t="s">
        <v>418</v>
      </c>
      <c r="V27" s="682">
        <v>0.4</v>
      </c>
      <c r="X27" s="683">
        <f>'E1'!AZ29</f>
        <v>0</v>
      </c>
      <c r="Y27" s="680" t="str">
        <f>_xll.ciqfunctions.udf.CIQ($X27, "IQ_TEV", $Y$2, $Y$5, $Y$6)</f>
        <v>(Invalid Identifier)</v>
      </c>
      <c r="Z27" s="684" t="e">
        <v>#VALUE!</v>
      </c>
      <c r="AB27" s="685"/>
      <c r="AF27" s="686"/>
    </row>
    <row r="28" spans="2:32" s="57" customFormat="1" ht="12.75" hidden="1" customHeight="1" outlineLevel="1">
      <c r="B28" s="57" t="s">
        <v>417</v>
      </c>
      <c r="D28" s="677">
        <v>2</v>
      </c>
      <c r="E28" s="678" t="s">
        <v>156</v>
      </c>
      <c r="F28" s="678" t="s">
        <v>157</v>
      </c>
      <c r="H28" s="679" t="str">
        <f>_xll.ciqfunctions.udf.CIQ($X28, "IQ_BETA_2YR", $Y$2)</f>
        <v>(Invalid Identifier)</v>
      </c>
      <c r="I28" s="617" t="str">
        <f t="shared" si="0"/>
        <v>n/a</v>
      </c>
      <c r="K28" s="680" t="str">
        <f>_xll.ciqfunctions.udf.CIQ($X28, "IQ_MARKETCAP", $Y$2, $Y$5, $Y$6)</f>
        <v>(Invalid Identifier)</v>
      </c>
      <c r="L28" s="680" t="str">
        <f>_xll.ciqfunctions.udf.CIQ($X28, "IQ_TOTAL_DEBT", IQ_LTM, $Y$2,$Y$4, $Y$3, $Y$5, $Y$6)</f>
        <v>(Invalid Identifier)</v>
      </c>
      <c r="M28" s="680" t="str">
        <f>_xll.ciqfunctions.udf.CIQ($X28, "IQ_PREF_EQUITY", IQ_LTM, $Y$2, $Y$4, $Y$3, $Y$5, $Y$6)</f>
        <v>(Invalid Identifier)</v>
      </c>
      <c r="N28" s="680" t="str">
        <f>_xll.ciqfunctions.udf.CIQ($X28, "IQ_MINORITY_INTEREST_TOTAL", IQ_LTM, $Y$2, $Y$4, $Y$3, $Y$5, $Y$6)</f>
        <v>(Invalid Identifier)</v>
      </c>
      <c r="O28" s="680">
        <f t="shared" si="1"/>
        <v>0</v>
      </c>
      <c r="P28" s="680">
        <f t="shared" si="2"/>
        <v>0</v>
      </c>
      <c r="Q28" s="680" t="str">
        <f>_xll.ciqfunctions.udf.CIQ($X28, "IQ_CASH_ST_INVEST", IQ_LTM, $Y$2, $Y$4, $Y$3, $Y$5, $Y$6)</f>
        <v>(Invalid Identifier)</v>
      </c>
      <c r="R28" s="681" t="str">
        <f t="shared" si="3"/>
        <v>n/a</v>
      </c>
      <c r="T28" s="682" t="s">
        <v>418</v>
      </c>
      <c r="U28" s="682" t="s">
        <v>418</v>
      </c>
      <c r="V28" s="682">
        <v>0.4</v>
      </c>
      <c r="X28" s="683">
        <f>'E1'!AZ30</f>
        <v>0</v>
      </c>
      <c r="Y28" s="680" t="str">
        <f>_xll.ciqfunctions.udf.CIQ($X28, "IQ_TEV", $Y$2, $Y$5, $Y$6)</f>
        <v>(Invalid Identifier)</v>
      </c>
      <c r="Z28" s="684" t="e">
        <v>#VALUE!</v>
      </c>
      <c r="AB28" s="685"/>
      <c r="AF28" s="686"/>
    </row>
    <row r="29" spans="2:32" s="57" customFormat="1" ht="12.75" hidden="1" customHeight="1" outlineLevel="1">
      <c r="B29" s="57" t="s">
        <v>417</v>
      </c>
      <c r="D29" s="677">
        <v>2</v>
      </c>
      <c r="E29" s="678" t="s">
        <v>156</v>
      </c>
      <c r="F29" s="678" t="s">
        <v>157</v>
      </c>
      <c r="H29" s="679" t="str">
        <f>_xll.ciqfunctions.udf.CIQ($X29, "IQ_BETA_2YR", $Y$2)</f>
        <v>(Invalid Identifier)</v>
      </c>
      <c r="I29" s="617" t="str">
        <f t="shared" si="0"/>
        <v>n/a</v>
      </c>
      <c r="K29" s="680" t="str">
        <f>_xll.ciqfunctions.udf.CIQ($X29, "IQ_MARKETCAP", $Y$2, $Y$5, $Y$6)</f>
        <v>(Invalid Identifier)</v>
      </c>
      <c r="L29" s="680" t="str">
        <f>_xll.ciqfunctions.udf.CIQ($X29, "IQ_TOTAL_DEBT", IQ_LTM, $Y$2,$Y$4, $Y$3, $Y$5, $Y$6)</f>
        <v>(Invalid Identifier)</v>
      </c>
      <c r="M29" s="680" t="str">
        <f>_xll.ciqfunctions.udf.CIQ($X29, "IQ_PREF_EQUITY", IQ_LTM, $Y$2, $Y$4, $Y$3, $Y$5, $Y$6)</f>
        <v>(Invalid Identifier)</v>
      </c>
      <c r="N29" s="680" t="str">
        <f>_xll.ciqfunctions.udf.CIQ($X29, "IQ_MINORITY_INTEREST_TOTAL", IQ_LTM, $Y$2, $Y$4, $Y$3, $Y$5, $Y$6)</f>
        <v>(Invalid Identifier)</v>
      </c>
      <c r="O29" s="680">
        <f t="shared" si="1"/>
        <v>0</v>
      </c>
      <c r="P29" s="680">
        <f t="shared" si="2"/>
        <v>0</v>
      </c>
      <c r="Q29" s="680" t="str">
        <f>_xll.ciqfunctions.udf.CIQ($X29, "IQ_CASH_ST_INVEST", IQ_LTM, $Y$2, $Y$4, $Y$3, $Y$5, $Y$6)</f>
        <v>(Invalid Identifier)</v>
      </c>
      <c r="R29" s="681" t="str">
        <f t="shared" si="3"/>
        <v>n/a</v>
      </c>
      <c r="T29" s="682" t="s">
        <v>418</v>
      </c>
      <c r="U29" s="682" t="s">
        <v>418</v>
      </c>
      <c r="V29" s="682">
        <v>0.4</v>
      </c>
      <c r="X29" s="683">
        <f>'E1'!AZ31</f>
        <v>0</v>
      </c>
      <c r="Y29" s="680" t="str">
        <f>_xll.ciqfunctions.udf.CIQ($X29, "IQ_TEV", $Y$2, $Y$5, $Y$6)</f>
        <v>(Invalid Identifier)</v>
      </c>
      <c r="Z29" s="684" t="e">
        <v>#VALUE!</v>
      </c>
      <c r="AB29" s="685"/>
      <c r="AF29" s="686"/>
    </row>
    <row r="30" spans="2:32" s="57" customFormat="1" ht="12.75" customHeight="1" collapsed="1">
      <c r="K30" s="680"/>
      <c r="L30" s="680"/>
      <c r="M30" s="680"/>
      <c r="N30" s="680"/>
      <c r="O30" s="680"/>
      <c r="P30" s="680"/>
      <c r="Q30" s="680"/>
      <c r="R30" s="680"/>
      <c r="S30" s="487"/>
      <c r="T30" s="487"/>
      <c r="U30" s="487"/>
      <c r="V30" s="487"/>
    </row>
    <row r="31" spans="2:32" s="57" customFormat="1" ht="12.75" customHeight="1">
      <c r="K31" s="680"/>
      <c r="L31" s="680"/>
      <c r="M31" s="680"/>
      <c r="N31" s="680"/>
      <c r="O31" s="680"/>
      <c r="P31" s="680"/>
      <c r="Q31" s="680"/>
      <c r="R31" s="680"/>
      <c r="S31" s="487"/>
      <c r="T31" s="487"/>
      <c r="U31" s="487"/>
      <c r="V31" s="487"/>
    </row>
    <row r="32" spans="2:32" s="57" customFormat="1" ht="12.75" customHeight="1">
      <c r="B32" s="687" t="s">
        <v>82</v>
      </c>
      <c r="C32" s="688"/>
      <c r="D32" s="688"/>
      <c r="E32" s="688"/>
      <c r="F32" s="688"/>
      <c r="G32" s="688"/>
      <c r="H32" s="689">
        <f>MAX(H10:H14)</f>
        <v>1.36147</v>
      </c>
      <c r="I32" s="689">
        <f>MAX(I10:I14)</f>
        <v>0.66666347684989857</v>
      </c>
      <c r="J32" s="688"/>
      <c r="K32" s="690">
        <f t="shared" ref="K32:R32" si="4">MAX(K10:K14)</f>
        <v>26881.01298</v>
      </c>
      <c r="L32" s="690">
        <f t="shared" si="4"/>
        <v>22029.74324</v>
      </c>
      <c r="M32" s="690">
        <f t="shared" si="4"/>
        <v>0</v>
      </c>
      <c r="N32" s="690">
        <f t="shared" si="4"/>
        <v>10668.060880000001</v>
      </c>
      <c r="O32" s="690">
        <f t="shared" si="4"/>
        <v>32697.804120000001</v>
      </c>
      <c r="P32" s="690">
        <f t="shared" si="4"/>
        <v>59578.8171</v>
      </c>
      <c r="Q32" s="690">
        <f t="shared" si="4"/>
        <v>2853.4913499999998</v>
      </c>
      <c r="R32" s="691">
        <f t="shared" si="4"/>
        <v>56725.325750000004</v>
      </c>
      <c r="S32" s="692"/>
      <c r="T32" s="931">
        <f>MAX(T10:T14)</f>
        <v>0.51033553669937748</v>
      </c>
      <c r="U32" s="931">
        <f>MAX(U10:U14)</f>
        <v>0.993077877895025</v>
      </c>
      <c r="V32" s="692"/>
    </row>
    <row r="33" spans="2:26" s="57" customFormat="1" ht="12.75" customHeight="1">
      <c r="B33" s="693" t="s">
        <v>81</v>
      </c>
      <c r="C33" s="694"/>
      <c r="D33" s="694"/>
      <c r="E33" s="694"/>
      <c r="F33" s="694"/>
      <c r="G33" s="694"/>
      <c r="H33" s="695">
        <f>MIN(H10:H14)</f>
        <v>9.3119999999999994E-2</v>
      </c>
      <c r="I33" s="695">
        <f>MIN(I10:I14)</f>
        <v>9.2475411989584727E-2</v>
      </c>
      <c r="J33" s="694"/>
      <c r="K33" s="696">
        <f t="shared" ref="K33:R33" si="5">MIN(K10:K14)</f>
        <v>374.59658999999999</v>
      </c>
      <c r="L33" s="696">
        <f t="shared" si="5"/>
        <v>13.305999999999999</v>
      </c>
      <c r="M33" s="696">
        <f t="shared" si="5"/>
        <v>0</v>
      </c>
      <c r="N33" s="696">
        <f t="shared" si="5"/>
        <v>0.42099999999999999</v>
      </c>
      <c r="O33" s="696">
        <f t="shared" si="5"/>
        <v>13.726999999999999</v>
      </c>
      <c r="P33" s="696">
        <f t="shared" si="5"/>
        <v>1244.65759</v>
      </c>
      <c r="Q33" s="696">
        <f t="shared" si="5"/>
        <v>62.899000000000001</v>
      </c>
      <c r="R33" s="697">
        <f t="shared" si="5"/>
        <v>1181.7585899999999</v>
      </c>
      <c r="S33" s="692"/>
      <c r="T33" s="932">
        <f>MIN(T10:T14)</f>
        <v>6.9221221049749855E-3</v>
      </c>
      <c r="U33" s="932">
        <f>MIN(U10:U14)</f>
        <v>0.48966446330062252</v>
      </c>
      <c r="V33" s="692"/>
    </row>
    <row r="34" spans="2:26" s="57" customFormat="1" ht="12.75" customHeight="1">
      <c r="B34" s="693" t="s">
        <v>158</v>
      </c>
      <c r="C34" s="694"/>
      <c r="D34" s="694"/>
      <c r="E34" s="694"/>
      <c r="F34" s="694"/>
      <c r="G34" s="694"/>
      <c r="H34" s="695">
        <f>AVERAGE(H10:H14)</f>
        <v>0.81794799999999979</v>
      </c>
      <c r="I34" s="695">
        <f>AVERAGE(I10:I14)</f>
        <v>0.47920694163149202</v>
      </c>
      <c r="J34" s="694"/>
      <c r="K34" s="696">
        <f t="shared" ref="K34:R34" si="6">AVERAGE(K10:K14)</f>
        <v>11520.923626</v>
      </c>
      <c r="L34" s="696">
        <f t="shared" si="6"/>
        <v>8276.9207399999977</v>
      </c>
      <c r="M34" s="696">
        <f t="shared" si="6"/>
        <v>0</v>
      </c>
      <c r="N34" s="696">
        <f t="shared" si="6"/>
        <v>2713.1510960000001</v>
      </c>
      <c r="O34" s="696">
        <f t="shared" si="6"/>
        <v>10990.071835999999</v>
      </c>
      <c r="P34" s="696">
        <f t="shared" si="6"/>
        <v>22510.995461999999</v>
      </c>
      <c r="Q34" s="696">
        <f t="shared" si="6"/>
        <v>1097.8431820000001</v>
      </c>
      <c r="R34" s="697">
        <f t="shared" si="6"/>
        <v>21413.152280000002</v>
      </c>
      <c r="S34" s="692"/>
      <c r="T34" s="932">
        <f>AVERAGE(T10:T14)</f>
        <v>0.32393569657671806</v>
      </c>
      <c r="U34" s="932">
        <f>AVERAGE(U10:U14)</f>
        <v>0.67606430342328194</v>
      </c>
      <c r="V34" s="692"/>
    </row>
    <row r="35" spans="2:26" s="57" customFormat="1" ht="12.75" customHeight="1">
      <c r="B35" s="693" t="s">
        <v>83</v>
      </c>
      <c r="C35" s="694"/>
      <c r="D35" s="694"/>
      <c r="E35" s="694"/>
      <c r="F35" s="694"/>
      <c r="G35" s="694"/>
      <c r="H35" s="695">
        <f>MEDIAN(H10:H14)</f>
        <v>0.81105000000000005</v>
      </c>
      <c r="I35" s="695">
        <f>MEDIAN(I10:I14)</f>
        <v>0.51340829385077469</v>
      </c>
      <c r="J35" s="694"/>
      <c r="K35" s="696">
        <f t="shared" ref="K35:R35" si="7">MEDIAN(K10:K14)</f>
        <v>8541.5613400000002</v>
      </c>
      <c r="L35" s="696">
        <f t="shared" si="7"/>
        <v>8562.8604599999999</v>
      </c>
      <c r="M35" s="696">
        <f t="shared" si="7"/>
        <v>0</v>
      </c>
      <c r="N35" s="696">
        <f t="shared" si="7"/>
        <v>1269.0250000000001</v>
      </c>
      <c r="O35" s="696">
        <f t="shared" si="7"/>
        <v>9875.0040599999993</v>
      </c>
      <c r="P35" s="696">
        <f t="shared" si="7"/>
        <v>20035.324339999999</v>
      </c>
      <c r="Q35" s="696">
        <f t="shared" si="7"/>
        <v>452.94499999999999</v>
      </c>
      <c r="R35" s="697">
        <f t="shared" si="7"/>
        <v>19582.37934</v>
      </c>
      <c r="S35" s="692"/>
      <c r="T35" s="932">
        <f>MEDIAN(T10:T14)</f>
        <v>0.36975798299291845</v>
      </c>
      <c r="U35" s="932">
        <f>MEDIAN(U10:U14)</f>
        <v>0.63024201700708149</v>
      </c>
      <c r="V35" s="692"/>
    </row>
    <row r="36" spans="2:26" s="57" customFormat="1" ht="12.75" customHeight="1">
      <c r="B36" s="693" t="s">
        <v>409</v>
      </c>
      <c r="C36" s="694"/>
      <c r="D36" s="694"/>
      <c r="E36" s="694"/>
      <c r="F36" s="694"/>
      <c r="G36" s="694"/>
      <c r="H36" s="695">
        <f>QUARTILE(H10:H14,1)</f>
        <v>0.72067000000000003</v>
      </c>
      <c r="I36" s="695">
        <f>QUARTILE(I10:I14,1)</f>
        <v>0.51115778789359345</v>
      </c>
      <c r="J36" s="694"/>
      <c r="K36" s="696">
        <f t="shared" ref="K36:R36" si="8">QUARTILE(K10:K14,1)</f>
        <v>1908.5158899999999</v>
      </c>
      <c r="L36" s="696">
        <f t="shared" si="8"/>
        <v>553.95600000000002</v>
      </c>
      <c r="M36" s="696">
        <f t="shared" si="8"/>
        <v>0</v>
      </c>
      <c r="N36" s="696">
        <f t="shared" si="8"/>
        <v>316.10500000000002</v>
      </c>
      <c r="O36" s="696">
        <f t="shared" si="8"/>
        <v>870.06100000000004</v>
      </c>
      <c r="P36" s="696">
        <f t="shared" si="8"/>
        <v>1922.24289</v>
      </c>
      <c r="Q36" s="696">
        <f t="shared" si="8"/>
        <v>81.944000000000003</v>
      </c>
      <c r="R36" s="697">
        <f t="shared" si="8"/>
        <v>1840.29889</v>
      </c>
      <c r="S36" s="692"/>
      <c r="T36" s="932">
        <f>QUARTILE(T10:T14,1)</f>
        <v>0.28759585684047528</v>
      </c>
      <c r="U36" s="932">
        <f>QUARTILE(U10:U14,1)</f>
        <v>0.5549330157541561</v>
      </c>
      <c r="V36" s="692"/>
    </row>
    <row r="37" spans="2:26" s="57" customFormat="1" ht="12.75" customHeight="1">
      <c r="B37" s="698" t="s">
        <v>410</v>
      </c>
      <c r="C37" s="699"/>
      <c r="D37" s="699"/>
      <c r="E37" s="699"/>
      <c r="F37" s="699"/>
      <c r="G37" s="699"/>
      <c r="H37" s="700">
        <f>QUARTILE(H10:H14,3)</f>
        <v>1.1034299999999999</v>
      </c>
      <c r="I37" s="700">
        <f>QUARTILE(I10:I14,3)</f>
        <v>0.61232973757360842</v>
      </c>
      <c r="J37" s="699"/>
      <c r="K37" s="701">
        <f t="shared" ref="K37:R37" si="9">QUARTILE(K10:K14,3)</f>
        <v>19898.931329999999</v>
      </c>
      <c r="L37" s="701">
        <f t="shared" si="9"/>
        <v>10224.737999999999</v>
      </c>
      <c r="M37" s="701">
        <f t="shared" si="9"/>
        <v>0</v>
      </c>
      <c r="N37" s="701">
        <f t="shared" si="9"/>
        <v>1312.1436000000001</v>
      </c>
      <c r="O37" s="701">
        <f t="shared" si="9"/>
        <v>11493.762999999999</v>
      </c>
      <c r="P37" s="701">
        <f t="shared" si="9"/>
        <v>29773.935389999999</v>
      </c>
      <c r="Q37" s="701">
        <f t="shared" si="9"/>
        <v>2037.9365600000001</v>
      </c>
      <c r="R37" s="702">
        <f t="shared" si="9"/>
        <v>27735.998829999997</v>
      </c>
      <c r="S37" s="692"/>
      <c r="T37" s="933">
        <f>QUARTILE(T10:T14,3)</f>
        <v>0.4450669842458439</v>
      </c>
      <c r="U37" s="933">
        <f>QUARTILE(U10:U14,3)</f>
        <v>0.71240414315952472</v>
      </c>
      <c r="V37" s="692"/>
    </row>
    <row r="38" spans="2:26" s="57" customFormat="1" ht="12.75" customHeight="1">
      <c r="S38" s="487"/>
      <c r="T38" s="487"/>
      <c r="U38" s="487"/>
      <c r="V38" s="487"/>
    </row>
    <row r="39" spans="2:26" s="57" customFormat="1" ht="12.75" customHeight="1">
      <c r="S39" s="487"/>
      <c r="T39" s="487"/>
      <c r="U39" s="487"/>
      <c r="V39" s="487"/>
    </row>
    <row r="40" spans="2:26" s="57" customFormat="1" ht="12.75" customHeight="1">
      <c r="B40" s="522" t="s">
        <v>411</v>
      </c>
      <c r="S40" s="487"/>
    </row>
    <row r="41" spans="2:26" s="57" customFormat="1" ht="12.75" customHeight="1">
      <c r="S41" s="487"/>
    </row>
    <row r="42" spans="2:26" s="57" customFormat="1" ht="12.75" customHeight="1"/>
    <row r="45" spans="2:26">
      <c r="B45" s="703" t="s">
        <v>412</v>
      </c>
      <c r="C45" s="704"/>
      <c r="D45" s="704"/>
      <c r="E45" s="704"/>
      <c r="F45" s="704"/>
      <c r="G45" s="704"/>
      <c r="H45" s="704"/>
      <c r="I45" s="704"/>
      <c r="J45" s="704"/>
      <c r="K45" s="704"/>
      <c r="L45" s="704"/>
      <c r="M45" s="704"/>
      <c r="N45" s="704"/>
      <c r="O45" s="704"/>
      <c r="P45" s="704"/>
      <c r="Q45" s="704"/>
      <c r="R45" s="704"/>
      <c r="S45" s="704"/>
      <c r="T45" s="704"/>
      <c r="U45" s="704"/>
      <c r="V45" s="704"/>
      <c r="W45" s="704"/>
      <c r="X45" s="704"/>
      <c r="Y45" s="704"/>
      <c r="Z45" s="705"/>
    </row>
    <row r="46" spans="2:26" ht="3" customHeight="1"/>
    <row r="47" spans="2:26">
      <c r="E47" s="706" t="s">
        <v>156</v>
      </c>
      <c r="F47" s="707" t="s">
        <v>413</v>
      </c>
    </row>
    <row r="48" spans="2:26">
      <c r="E48" s="706" t="s">
        <v>414</v>
      </c>
      <c r="F48" s="707" t="s">
        <v>157</v>
      </c>
    </row>
    <row r="49" spans="5:5">
      <c r="E49" s="706" t="s">
        <v>415</v>
      </c>
    </row>
    <row r="50" spans="5:5">
      <c r="E50" s="706" t="str">
        <f>"IQ20246097"</f>
        <v>IQ20246097</v>
      </c>
    </row>
    <row r="52" spans="5:5" ht="3" customHeight="1"/>
  </sheetData>
  <conditionalFormatting sqref="B11:B29">
    <cfRule type="cellIs" dxfId="151" priority="16" operator="equal">
      <formula>"(Invalid Identifier)"</formula>
    </cfRule>
  </conditionalFormatting>
  <conditionalFormatting sqref="K4:Q4">
    <cfRule type="cellIs" dxfId="150" priority="11" stopIfTrue="1" operator="equal">
      <formula>"input"</formula>
    </cfRule>
  </conditionalFormatting>
  <conditionalFormatting sqref="K4:Q4">
    <cfRule type="cellIs" dxfId="149" priority="12" stopIfTrue="1" operator="equal">
      <formula>"input"</formula>
    </cfRule>
  </conditionalFormatting>
  <conditionalFormatting sqref="I4">
    <cfRule type="cellIs" dxfId="148" priority="7" stopIfTrue="1" operator="equal">
      <formula>"input"</formula>
    </cfRule>
  </conditionalFormatting>
  <conditionalFormatting sqref="I4">
    <cfRule type="cellIs" dxfId="147" priority="6" stopIfTrue="1" operator="equal">
      <formula>"input"</formula>
    </cfRule>
  </conditionalFormatting>
  <conditionalFormatting sqref="C4:H4">
    <cfRule type="cellIs" dxfId="146" priority="8" stopIfTrue="1" operator="equal">
      <formula>"input"</formula>
    </cfRule>
  </conditionalFormatting>
  <conditionalFormatting sqref="J4">
    <cfRule type="cellIs" dxfId="145" priority="5" stopIfTrue="1" operator="equal">
      <formula>"input"</formula>
    </cfRule>
  </conditionalFormatting>
  <conditionalFormatting sqref="J4">
    <cfRule type="cellIs" dxfId="144" priority="4" stopIfTrue="1" operator="equal">
      <formula>"input"</formula>
    </cfRule>
  </conditionalFormatting>
  <conditionalFormatting sqref="B4">
    <cfRule type="cellIs" dxfId="143" priority="3" stopIfTrue="1" operator="equal">
      <formula>"input"</formula>
    </cfRule>
  </conditionalFormatting>
  <conditionalFormatting sqref="R4">
    <cfRule type="cellIs" dxfId="142" priority="2" stopIfTrue="1" operator="equal">
      <formula>"input"</formula>
    </cfRule>
  </conditionalFormatting>
  <conditionalFormatting sqref="B10">
    <cfRule type="cellIs" dxfId="141" priority="1" operator="equal">
      <formula>"(Invalid Identifier)"</formula>
    </cfRule>
  </conditionalFormatting>
  <pageMargins left="0.7" right="0.7" top="0.75" bottom="0.75" header="0.3" footer="0.3"/>
  <pageSetup scale="75" fitToWidth="0" fitToHeight="0" orientation="landscape"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K79"/>
  <sheetViews>
    <sheetView workbookViewId="0"/>
  </sheetViews>
  <sheetFormatPr defaultColWidth="9.140625" defaultRowHeight="12.75" outlineLevelRow="1" outlineLevelCol="1"/>
  <cols>
    <col min="1" max="1" width="1.42578125" style="250" customWidth="1"/>
    <col min="2" max="2" width="2.5703125" style="250" customWidth="1"/>
    <col min="3" max="3" width="35.5703125" style="250" customWidth="1"/>
    <col min="4" max="4" width="1.5703125" style="250" hidden="1" customWidth="1" outlineLevel="1"/>
    <col min="5" max="6" width="9.42578125" style="250" hidden="1" customWidth="1" outlineLevel="1"/>
    <col min="7" max="7" width="10" style="250" hidden="1" customWidth="1" outlineLevel="1"/>
    <col min="8" max="8" width="3.5703125" style="250" hidden="1" customWidth="1" outlineLevel="1" collapsed="1"/>
    <col min="9" max="9" width="17.42578125" style="250" customWidth="1" collapsed="1"/>
    <col min="10" max="10" width="17.42578125" style="250" customWidth="1"/>
    <col min="11" max="11" width="1.5703125" style="250" customWidth="1"/>
    <col min="12" max="13" width="17.42578125" style="250" customWidth="1"/>
    <col min="14" max="14" width="19.28515625" style="250" customWidth="1"/>
    <col min="15" max="15" width="1.5703125" style="250" customWidth="1"/>
    <col min="16" max="16" width="10.85546875" style="250" customWidth="1"/>
    <col min="17" max="17" width="12" style="250" customWidth="1"/>
    <col min="18" max="18" width="9.42578125" style="250" customWidth="1"/>
    <col min="19" max="19" width="11.42578125" style="250" customWidth="1"/>
    <col min="20" max="20" width="9.42578125" style="250" customWidth="1"/>
    <col min="21" max="21" width="1.5703125" style="250" customWidth="1"/>
    <col min="22" max="22" width="15.140625" style="250" bestFit="1" customWidth="1"/>
    <col min="23" max="23" width="16.42578125" style="250" bestFit="1" customWidth="1"/>
    <col min="24" max="24" width="10.140625" style="250" bestFit="1" customWidth="1"/>
    <col min="25" max="25" width="8.5703125" style="250" bestFit="1" customWidth="1"/>
    <col min="26" max="27" width="9.140625" style="250"/>
    <col min="28" max="28" width="12.7109375" style="250" bestFit="1" customWidth="1"/>
    <col min="29" max="29" width="21.5703125" style="250" bestFit="1" customWidth="1"/>
    <col min="30" max="30" width="16.28515625" style="250" bestFit="1" customWidth="1"/>
    <col min="31" max="35" width="15.28515625" style="250" customWidth="1"/>
    <col min="36" max="36" width="13.140625" style="250" customWidth="1"/>
    <col min="37" max="37" width="12" style="250" customWidth="1"/>
    <col min="38" max="16384" width="9.140625" style="250"/>
  </cols>
  <sheetData>
    <row r="1" spans="1:30" s="227" customFormat="1" ht="21" thickBot="1">
      <c r="A1" s="225"/>
      <c r="B1" s="226"/>
      <c r="C1" s="226"/>
      <c r="D1" s="226"/>
      <c r="E1" s="226"/>
      <c r="F1" s="226"/>
      <c r="G1" s="226"/>
      <c r="H1" s="226"/>
      <c r="I1" s="226"/>
      <c r="J1" s="226"/>
      <c r="K1" s="226"/>
      <c r="L1" s="226"/>
      <c r="M1" s="226"/>
      <c r="N1" s="226"/>
      <c r="V1" s="227" t="s">
        <v>133</v>
      </c>
      <c r="W1" s="228">
        <v>42513</v>
      </c>
    </row>
    <row r="2" spans="1:30" s="231" customFormat="1" ht="21" thickTop="1">
      <c r="A2" s="229"/>
      <c r="B2" s="82" t="str">
        <f>Outline!B2</f>
        <v>Satellite Healthcare WB Santa Cruz Valuation</v>
      </c>
      <c r="C2" s="82"/>
      <c r="D2" s="82"/>
      <c r="E2" s="82"/>
      <c r="F2" s="82"/>
      <c r="G2" s="82"/>
      <c r="H2" s="230"/>
      <c r="I2" s="82"/>
      <c r="J2" s="82"/>
      <c r="K2" s="82"/>
      <c r="L2" s="82"/>
      <c r="M2" s="82"/>
      <c r="N2" s="85">
        <f>A3</f>
        <v>0</v>
      </c>
      <c r="V2" s="232" t="s">
        <v>134</v>
      </c>
      <c r="W2" s="233" t="s">
        <v>135</v>
      </c>
    </row>
    <row r="3" spans="1:30" s="235" customFormat="1" ht="18.75">
      <c r="A3" s="234"/>
      <c r="B3" s="89" t="str">
        <f>Outline!C40</f>
        <v>Workpaper 1</v>
      </c>
      <c r="C3" s="89"/>
      <c r="D3" s="89"/>
      <c r="E3" s="89"/>
      <c r="F3" s="89"/>
      <c r="G3" s="89"/>
      <c r="H3" s="89"/>
      <c r="I3" s="89"/>
      <c r="J3" s="89"/>
      <c r="K3" s="89"/>
      <c r="L3" s="89"/>
      <c r="M3" s="89"/>
      <c r="N3" s="89"/>
      <c r="V3" s="236" t="s">
        <v>136</v>
      </c>
      <c r="W3" s="237" t="s">
        <v>137</v>
      </c>
    </row>
    <row r="4" spans="1:30" s="238" customFormat="1" ht="16.5" thickBot="1">
      <c r="A4" s="229"/>
      <c r="B4" s="91" t="s">
        <v>138</v>
      </c>
      <c r="C4" s="91"/>
      <c r="D4" s="91"/>
      <c r="E4" s="91"/>
      <c r="F4" s="91"/>
      <c r="G4" s="91"/>
      <c r="H4" s="91"/>
      <c r="I4" s="91"/>
      <c r="J4" s="91"/>
      <c r="K4" s="91"/>
      <c r="L4" s="91"/>
      <c r="M4" s="91"/>
      <c r="N4" s="91"/>
      <c r="V4" s="239" t="s">
        <v>139</v>
      </c>
      <c r="W4" s="240" t="s">
        <v>140</v>
      </c>
    </row>
    <row r="5" spans="1:30" s="238" customFormat="1" ht="15.75" thickTop="1"/>
    <row r="6" spans="1:30" s="238" customFormat="1" ht="15">
      <c r="T6" s="241">
        <v>0.4</v>
      </c>
    </row>
    <row r="7" spans="1:30" s="242" customFormat="1" ht="29.25" customHeight="1">
      <c r="C7" s="243" t="s">
        <v>141</v>
      </c>
      <c r="D7" s="244"/>
      <c r="E7" s="243" t="s">
        <v>142</v>
      </c>
      <c r="F7" s="243" t="s">
        <v>143</v>
      </c>
      <c r="G7" s="243" t="s">
        <v>144</v>
      </c>
      <c r="H7" s="244"/>
      <c r="I7" s="245" t="s">
        <v>145</v>
      </c>
      <c r="J7" s="245" t="s">
        <v>146</v>
      </c>
      <c r="K7" s="244"/>
      <c r="L7" s="243" t="s">
        <v>147</v>
      </c>
      <c r="M7" s="243" t="s">
        <v>97</v>
      </c>
      <c r="N7" s="243" t="s">
        <v>148</v>
      </c>
      <c r="O7" s="244"/>
      <c r="P7" s="243" t="s">
        <v>149</v>
      </c>
      <c r="Q7" s="246" t="s">
        <v>150</v>
      </c>
      <c r="R7" s="246" t="s">
        <v>151</v>
      </c>
      <c r="S7" s="246" t="s">
        <v>152</v>
      </c>
      <c r="T7" s="246" t="s">
        <v>153</v>
      </c>
      <c r="V7" s="247" t="s">
        <v>154</v>
      </c>
      <c r="W7" s="248" t="s">
        <v>80</v>
      </c>
      <c r="X7" s="248" t="s">
        <v>155</v>
      </c>
      <c r="Y7" s="249"/>
    </row>
    <row r="8" spans="1:30">
      <c r="I8" s="251"/>
      <c r="J8" s="251"/>
    </row>
    <row r="9" spans="1:30">
      <c r="C9" s="268"/>
      <c r="E9" s="253"/>
      <c r="F9" s="254"/>
      <c r="G9" s="254"/>
      <c r="I9" s="269"/>
      <c r="J9" s="256"/>
      <c r="L9" s="270"/>
      <c r="M9" s="260"/>
      <c r="N9" s="271"/>
      <c r="P9" s="260"/>
      <c r="Q9" s="261"/>
      <c r="R9" s="262"/>
      <c r="S9" s="262"/>
      <c r="T9" s="262"/>
      <c r="V9" s="263"/>
      <c r="W9" s="272"/>
      <c r="X9" s="265"/>
      <c r="Z9" s="266"/>
      <c r="AD9" s="267"/>
    </row>
    <row r="10" spans="1:30">
      <c r="C10" s="252" t="str">
        <f>'E1'!B11</f>
        <v>Fresenius SE &amp; Co. KGaA</v>
      </c>
      <c r="E10" s="253">
        <v>2</v>
      </c>
      <c r="F10" s="254" t="s">
        <v>156</v>
      </c>
      <c r="G10" s="254" t="s">
        <v>157</v>
      </c>
      <c r="I10" s="269">
        <f>_xll.ciqfunctions.udf.CIQ($V10,"iq_beta_"&amp;E10&amp;"yr",$W$1)</f>
        <v>0</v>
      </c>
      <c r="J10" s="256">
        <f>IF(ISERROR(I10/(1+(1-$T10)*(($R10)/$S10))), "n/a", I10/(1+(1-$T10)*(($R10)/$S10)))</f>
        <v>0</v>
      </c>
      <c r="L10" s="257">
        <f>'E1'!C11*'E1'!D11</f>
        <v>26881.012066436804</v>
      </c>
      <c r="M10" s="258">
        <f>'E1'!E11</f>
        <v>21735.745360000001</v>
      </c>
      <c r="N10" s="259">
        <f>M10/L10</f>
        <v>0.80859103467829996</v>
      </c>
      <c r="P10" s="260">
        <f>SUM(L10:M10)</f>
        <v>48616.757426436801</v>
      </c>
      <c r="Q10" s="261">
        <f>$W$1-365*E10</f>
        <v>41783</v>
      </c>
      <c r="R10" s="262">
        <f>SUM(M10:M10)/P10</f>
        <v>0.44708340314322453</v>
      </c>
      <c r="S10" s="262">
        <f>1-R10</f>
        <v>0.55291659685677552</v>
      </c>
      <c r="T10" s="262">
        <f>T$6</f>
        <v>0.4</v>
      </c>
      <c r="V10" s="263" t="s">
        <v>239</v>
      </c>
      <c r="W10" s="264">
        <f>'E1'!I11</f>
        <v>45515.085796436804</v>
      </c>
      <c r="X10" s="265"/>
      <c r="Z10" s="266"/>
      <c r="AD10" s="267"/>
    </row>
    <row r="11" spans="1:30">
      <c r="C11" s="268"/>
      <c r="E11" s="253"/>
      <c r="F11" s="254"/>
      <c r="G11" s="254"/>
      <c r="I11" s="269"/>
      <c r="J11" s="256"/>
      <c r="L11" s="260"/>
      <c r="M11" s="260"/>
      <c r="N11" s="271"/>
      <c r="P11" s="260"/>
      <c r="Q11" s="261"/>
      <c r="R11" s="262"/>
      <c r="S11" s="262"/>
      <c r="T11" s="262"/>
      <c r="V11" s="263"/>
      <c r="W11" s="272"/>
      <c r="X11" s="265"/>
      <c r="Z11" s="266"/>
      <c r="AD11" s="267"/>
    </row>
    <row r="12" spans="1:30">
      <c r="C12" s="252" t="str">
        <f>'E1'!B12</f>
        <v>DaVita Inc.</v>
      </c>
      <c r="E12" s="253">
        <v>2</v>
      </c>
      <c r="F12" s="254" t="s">
        <v>156</v>
      </c>
      <c r="G12" s="254" t="s">
        <v>157</v>
      </c>
      <c r="I12" s="269">
        <f>_xll.ciqfunctions.udf.CIQ($V12,"iq_beta_"&amp;E12&amp;"yr",$W$1)</f>
        <v>0.72655000000000003</v>
      </c>
      <c r="J12" s="256">
        <f>IF(ISERROR(I12/(1+(1-$T12)*(($R12)/$S12))), "n/a", I12/(1+(1-$T12)*(($R12)/$S12)))</f>
        <v>0.4249755351400481</v>
      </c>
      <c r="L12" s="257">
        <f>'E1'!C12*'E1'!D12</f>
        <v>8541.561340799999</v>
      </c>
      <c r="M12" s="258">
        <f>'E1'!E12</f>
        <v>10102.216</v>
      </c>
      <c r="N12" s="259">
        <f>M12/L12</f>
        <v>1.1827130423737999</v>
      </c>
      <c r="P12" s="260">
        <f>SUM(L12:M12)</f>
        <v>18643.777340799999</v>
      </c>
      <c r="Q12" s="261">
        <f>$W$1-365*E12</f>
        <v>41783</v>
      </c>
      <c r="R12" s="262">
        <f>SUM(M12:M12)/P12</f>
        <v>0.54185457245792856</v>
      </c>
      <c r="S12" s="262">
        <f>1-R12</f>
        <v>0.45814542754207144</v>
      </c>
      <c r="T12" s="262">
        <f>T$6</f>
        <v>0.4</v>
      </c>
      <c r="V12" s="263" t="s">
        <v>238</v>
      </c>
      <c r="W12" s="264">
        <f>'E1'!I12</f>
        <v>18320.739340799999</v>
      </c>
      <c r="X12" s="265"/>
      <c r="Z12" s="266"/>
      <c r="AD12" s="267"/>
    </row>
    <row r="13" spans="1:30">
      <c r="C13" s="268"/>
      <c r="E13" s="253"/>
      <c r="F13" s="254"/>
      <c r="G13" s="254"/>
      <c r="I13" s="269"/>
      <c r="J13" s="256"/>
      <c r="L13" s="260"/>
      <c r="M13" s="260"/>
      <c r="N13" s="271"/>
      <c r="P13" s="260"/>
      <c r="Q13" s="261"/>
      <c r="R13" s="262"/>
      <c r="S13" s="262"/>
      <c r="T13" s="262"/>
      <c r="V13" s="263"/>
      <c r="W13" s="272"/>
      <c r="X13" s="265"/>
      <c r="Z13" s="266"/>
      <c r="AD13" s="267"/>
    </row>
    <row r="14" spans="1:30">
      <c r="C14" s="252" t="str">
        <f>'E1'!B13</f>
        <v>NxStage Medical, Inc.</v>
      </c>
      <c r="E14" s="253">
        <v>2</v>
      </c>
      <c r="F14" s="254" t="s">
        <v>156</v>
      </c>
      <c r="G14" s="254" t="s">
        <v>157</v>
      </c>
      <c r="I14" s="269">
        <f>_xll.ciqfunctions.udf.CIQ($V14,"iq_beta_"&amp;E14&amp;"yr",$W$1)</f>
        <v>0</v>
      </c>
      <c r="J14" s="256">
        <f>IF(ISERROR(I14/(1+(1-$T14)*(($R14)/$S14))), "n/a", I14/(1+(1-$T14)*(($R14)/$S14)))</f>
        <v>0</v>
      </c>
      <c r="L14" s="257">
        <f>'E1'!C13*'E1'!D13</f>
        <v>1908.5158278000001</v>
      </c>
      <c r="M14" s="258">
        <f>'E1'!E13</f>
        <v>13.305999999999999</v>
      </c>
      <c r="N14" s="259">
        <f>M14/L14</f>
        <v>6.9719096934806142E-3</v>
      </c>
      <c r="P14" s="260">
        <f>SUM(L14:M14)</f>
        <v>1921.8218278000002</v>
      </c>
      <c r="Q14" s="261">
        <f>$W$1-365*E14</f>
        <v>41783</v>
      </c>
      <c r="R14" s="262">
        <f>SUM(M14:M14)/P14</f>
        <v>6.9236387096466706E-3</v>
      </c>
      <c r="S14" s="262">
        <f>1-R14</f>
        <v>0.99307636129035337</v>
      </c>
      <c r="T14" s="262">
        <f>T$6</f>
        <v>0.4</v>
      </c>
      <c r="V14" s="263" t="s">
        <v>332</v>
      </c>
      <c r="W14" s="264">
        <f>'E1'!I13</f>
        <v>1839.8778278000002</v>
      </c>
      <c r="X14" s="265"/>
      <c r="Z14" s="266"/>
      <c r="AD14" s="267"/>
    </row>
    <row r="15" spans="1:30">
      <c r="C15" s="252"/>
      <c r="E15" s="253"/>
      <c r="F15" s="254"/>
      <c r="G15" s="254"/>
      <c r="I15" s="269"/>
      <c r="J15" s="256"/>
      <c r="L15" s="257"/>
      <c r="M15" s="258"/>
      <c r="N15" s="259"/>
      <c r="P15" s="260"/>
      <c r="Q15" s="261"/>
      <c r="R15" s="262"/>
      <c r="S15" s="262"/>
      <c r="T15" s="262"/>
      <c r="V15" s="263"/>
      <c r="W15" s="264"/>
      <c r="X15" s="265"/>
      <c r="Z15" s="266"/>
      <c r="AD15" s="267"/>
    </row>
    <row r="16" spans="1:30">
      <c r="C16" s="252" t="str">
        <f>'E1'!B14</f>
        <v>American Renal Associates Holdings, Inc.</v>
      </c>
      <c r="E16" s="253">
        <v>2</v>
      </c>
      <c r="F16" s="254" t="s">
        <v>156</v>
      </c>
      <c r="G16" s="254" t="s">
        <v>157</v>
      </c>
      <c r="I16" s="269" t="str">
        <f>_xll.ciqfunctions.udf.CIQ($V16,"iq_beta_"&amp;E16&amp;"yr",$W$1)</f>
        <v>(Invalid Identifier)</v>
      </c>
      <c r="J16" s="256" t="str">
        <f>IF(ISERROR(I16/(1+(1-$T16)*(($R16)/$S16))), "n/a", I16/(1+(1-$T16)*(($R16)/$S16)))</f>
        <v>n/a</v>
      </c>
      <c r="L16" s="257">
        <f>'E1'!C14*'E1'!D14</f>
        <v>374.59664639999994</v>
      </c>
      <c r="M16" s="258">
        <f>'E1'!E14</f>
        <v>553.95600000000002</v>
      </c>
      <c r="N16" s="259">
        <f>M16/L16</f>
        <v>1.4788066185955051</v>
      </c>
      <c r="P16" s="260">
        <f>SUM(L16:M16)</f>
        <v>928.55264639999996</v>
      </c>
      <c r="Q16" s="261">
        <f>$W$1-365*E16</f>
        <v>41783</v>
      </c>
      <c r="R16" s="262">
        <f>SUM(M16:M16)/P16</f>
        <v>0.59658006699748078</v>
      </c>
      <c r="S16" s="262">
        <f>1-R16</f>
        <v>0.40341993300251922</v>
      </c>
      <c r="T16" s="262">
        <f>T$6</f>
        <v>0.4</v>
      </c>
      <c r="V16" s="263" t="s">
        <v>237</v>
      </c>
      <c r="W16" s="264">
        <f>'E1'!I14</f>
        <v>866.6806464</v>
      </c>
      <c r="X16" s="265"/>
      <c r="Z16" s="266"/>
      <c r="AD16" s="267"/>
    </row>
    <row r="17" spans="3:26">
      <c r="C17" s="252"/>
      <c r="E17" s="253"/>
      <c r="F17" s="254"/>
      <c r="G17" s="254"/>
      <c r="I17" s="269"/>
      <c r="J17" s="256"/>
      <c r="L17" s="257"/>
      <c r="M17" s="258"/>
      <c r="N17" s="259"/>
      <c r="P17" s="260"/>
      <c r="Q17" s="261"/>
      <c r="R17" s="262"/>
      <c r="S17" s="262"/>
      <c r="T17" s="262"/>
      <c r="W17" s="264"/>
      <c r="X17" s="265"/>
    </row>
    <row r="18" spans="3:26">
      <c r="C18" s="252" t="e">
        <f>'E1'!#REF!</f>
        <v>#REF!</v>
      </c>
      <c r="E18" s="253">
        <v>2</v>
      </c>
      <c r="F18" s="254" t="s">
        <v>156</v>
      </c>
      <c r="G18" s="254" t="s">
        <v>157</v>
      </c>
      <c r="I18" s="269">
        <f>_xll.ciqfunctions.udf.CIQ($V18,"iq_beta_"&amp;E18&amp;"yr",$W$1)</f>
        <v>1.1019099999999999</v>
      </c>
      <c r="J18" s="256" t="str">
        <f>IF(ISERROR(I18/(1+(1-$T18)*(($R18)/$S18))), "n/a", I18/(1+(1-$T18)*(($R18)/$S18)))</f>
        <v>n/a</v>
      </c>
      <c r="L18" s="257" t="e">
        <f>'E1'!#REF!*'E1'!#REF!</f>
        <v>#REF!</v>
      </c>
      <c r="M18" s="258" t="e">
        <f>'E1'!#REF!</f>
        <v>#REF!</v>
      </c>
      <c r="N18" s="259" t="e">
        <f>M18/L18</f>
        <v>#REF!</v>
      </c>
      <c r="P18" s="260" t="e">
        <f>SUM(L18:M18)</f>
        <v>#REF!</v>
      </c>
      <c r="Q18" s="261">
        <f>$W$1-365*E18</f>
        <v>41783</v>
      </c>
      <c r="R18" s="262" t="e">
        <f>SUM(M18:M18)/P18</f>
        <v>#REF!</v>
      </c>
      <c r="S18" s="262" t="e">
        <f>1-R18</f>
        <v>#REF!</v>
      </c>
      <c r="T18" s="262">
        <f>T$6</f>
        <v>0.4</v>
      </c>
      <c r="V18" s="263" t="s">
        <v>333</v>
      </c>
      <c r="W18" s="264" t="e">
        <f>'E1'!#REF!</f>
        <v>#REF!</v>
      </c>
      <c r="X18" s="265"/>
    </row>
    <row r="19" spans="3:26">
      <c r="C19" s="252"/>
      <c r="E19" s="253"/>
      <c r="F19" s="254"/>
      <c r="G19" s="254"/>
      <c r="I19" s="255"/>
      <c r="J19" s="256"/>
      <c r="L19" s="260"/>
      <c r="M19" s="273"/>
      <c r="P19" s="260"/>
      <c r="Q19" s="261"/>
      <c r="R19" s="262"/>
      <c r="S19" s="262"/>
      <c r="T19" s="262"/>
      <c r="V19" s="263"/>
      <c r="W19" s="272"/>
      <c r="X19" s="265"/>
    </row>
    <row r="20" spans="3:26">
      <c r="C20" s="252"/>
      <c r="I20" s="251"/>
      <c r="J20" s="251"/>
      <c r="L20" s="260"/>
      <c r="M20" s="260"/>
      <c r="O20" s="274"/>
      <c r="P20" s="260"/>
      <c r="Q20" s="274"/>
      <c r="R20" s="275"/>
      <c r="S20" s="276"/>
      <c r="T20" s="274"/>
    </row>
    <row r="21" spans="3:26">
      <c r="C21" s="277" t="s">
        <v>81</v>
      </c>
      <c r="D21" s="278"/>
      <c r="E21" s="278"/>
      <c r="F21" s="278"/>
      <c r="G21" s="278"/>
      <c r="H21" s="278"/>
      <c r="I21" s="279">
        <f>MIN(I9:I18)</f>
        <v>0</v>
      </c>
      <c r="J21" s="279">
        <f>MIN(J9:J18)</f>
        <v>0</v>
      </c>
      <c r="K21" s="278"/>
      <c r="L21" s="280" t="e">
        <f>MIN(L9:L18)</f>
        <v>#REF!</v>
      </c>
      <c r="M21" s="280" t="e">
        <f>MIN(M9:M18)</f>
        <v>#REF!</v>
      </c>
      <c r="N21" s="624" t="e">
        <f>MIN(N9:N18)</f>
        <v>#REF!</v>
      </c>
      <c r="O21" s="625"/>
      <c r="P21" s="281" t="e">
        <f>MIN(P9:P18)</f>
        <v>#REF!</v>
      </c>
      <c r="Q21" s="274"/>
      <c r="R21" s="282"/>
      <c r="S21" s="283"/>
      <c r="T21" s="274"/>
    </row>
    <row r="22" spans="3:26">
      <c r="C22" s="284" t="s">
        <v>82</v>
      </c>
      <c r="D22" s="285"/>
      <c r="E22" s="285"/>
      <c r="F22" s="285"/>
      <c r="G22" s="285"/>
      <c r="H22" s="285"/>
      <c r="I22" s="286">
        <f>MAX(I9:I18)</f>
        <v>1.1019099999999999</v>
      </c>
      <c r="J22" s="286">
        <f>MAX(J9:J18)</f>
        <v>0.4249755351400481</v>
      </c>
      <c r="K22" s="285"/>
      <c r="L22" s="287" t="e">
        <f>MAX(L9:L18)</f>
        <v>#REF!</v>
      </c>
      <c r="M22" s="287" t="e">
        <f>MAX(M9:M18)</f>
        <v>#REF!</v>
      </c>
      <c r="N22" s="622" t="e">
        <f>MAX(N9:N18)</f>
        <v>#REF!</v>
      </c>
      <c r="O22" s="274"/>
      <c r="P22" s="288" t="e">
        <f>MAX(P9:P18)</f>
        <v>#REF!</v>
      </c>
      <c r="Q22" s="274"/>
      <c r="R22" s="282"/>
      <c r="S22" s="283"/>
      <c r="T22" s="274"/>
    </row>
    <row r="23" spans="3:26">
      <c r="C23" s="284" t="s">
        <v>337</v>
      </c>
      <c r="D23" s="285"/>
      <c r="E23" s="285"/>
      <c r="F23" s="285"/>
      <c r="G23" s="285"/>
      <c r="H23" s="285"/>
      <c r="I23" s="286">
        <f>QUARTILE(I9:I18,1)</f>
        <v>0</v>
      </c>
      <c r="J23" s="286"/>
      <c r="K23" s="285"/>
      <c r="L23" s="287"/>
      <c r="M23" s="287"/>
      <c r="N23" s="622"/>
      <c r="O23" s="274"/>
      <c r="P23" s="288"/>
      <c r="Q23" s="274"/>
      <c r="R23" s="282"/>
      <c r="S23" s="283"/>
      <c r="T23" s="274"/>
    </row>
    <row r="24" spans="3:26" ht="15.75" thickBot="1">
      <c r="C24" s="284" t="s">
        <v>364</v>
      </c>
      <c r="D24" s="285"/>
      <c r="E24" s="285"/>
      <c r="F24" s="285"/>
      <c r="G24" s="285"/>
      <c r="H24" s="285"/>
      <c r="I24" s="286"/>
      <c r="J24" s="286"/>
      <c r="K24" s="285"/>
      <c r="L24" s="287"/>
      <c r="M24" s="287"/>
      <c r="N24" s="622"/>
      <c r="O24" s="274"/>
      <c r="P24" s="288"/>
      <c r="Q24" s="274"/>
      <c r="R24" s="282"/>
      <c r="S24" s="283"/>
      <c r="T24" s="274"/>
      <c r="Y24" s="238"/>
      <c r="Z24" s="238"/>
    </row>
    <row r="25" spans="3:26" ht="15.75" thickBot="1">
      <c r="C25" s="284" t="s">
        <v>83</v>
      </c>
      <c r="D25" s="285"/>
      <c r="E25" s="285"/>
      <c r="F25" s="285"/>
      <c r="G25" s="285"/>
      <c r="H25" s="285"/>
      <c r="I25" s="286">
        <f>MEDIAN(I9:I18)</f>
        <v>0.36327500000000001</v>
      </c>
      <c r="J25" s="623">
        <f>MEDIAN(J9:J18)</f>
        <v>0</v>
      </c>
      <c r="K25" s="285"/>
      <c r="L25" s="287" t="e">
        <f>MEDIAN(L9:L18)</f>
        <v>#REF!</v>
      </c>
      <c r="M25" s="287" t="e">
        <f>MEDIAN(M9:M18)</f>
        <v>#REF!</v>
      </c>
      <c r="N25" s="622" t="e">
        <f>MEDIAN(N9:N18)</f>
        <v>#REF!</v>
      </c>
      <c r="O25" s="274"/>
      <c r="P25" s="288" t="e">
        <f>MEDIAN(P9:P18)</f>
        <v>#REF!</v>
      </c>
      <c r="Q25" s="274"/>
      <c r="R25" s="289" t="e">
        <f>MEDIAN(R9:R18)</f>
        <v>#REF!</v>
      </c>
      <c r="S25" s="290" t="e">
        <f>MEDIAN(S9:S18)</f>
        <v>#REF!</v>
      </c>
      <c r="T25" s="274"/>
      <c r="Y25" s="238"/>
      <c r="Z25" s="238"/>
    </row>
    <row r="26" spans="3:26">
      <c r="C26" s="291" t="s">
        <v>158</v>
      </c>
      <c r="D26" s="292"/>
      <c r="E26" s="292"/>
      <c r="F26" s="292"/>
      <c r="G26" s="292"/>
      <c r="H26" s="292"/>
      <c r="I26" s="293">
        <f>AVERAGE(I9:I18)</f>
        <v>0.45711499999999999</v>
      </c>
      <c r="J26" s="626">
        <f>AVERAGE(J9:J18)</f>
        <v>0.14165851171334937</v>
      </c>
      <c r="K26" s="292"/>
      <c r="L26" s="294" t="e">
        <f>AVERAGE(L9:L18)</f>
        <v>#REF!</v>
      </c>
      <c r="M26" s="294" t="e">
        <f>AVERAGE(M9:M18)</f>
        <v>#REF!</v>
      </c>
      <c r="N26" s="627" t="e">
        <f>AVERAGE(N9:N18)</f>
        <v>#REF!</v>
      </c>
      <c r="O26" s="628"/>
      <c r="P26" s="295" t="e">
        <f>AVERAGE(P9:P18)</f>
        <v>#REF!</v>
      </c>
      <c r="Q26" s="274" t="s">
        <v>362</v>
      </c>
      <c r="R26" s="282">
        <v>0.1</v>
      </c>
      <c r="S26" s="283">
        <f>1-R26</f>
        <v>0.9</v>
      </c>
      <c r="T26" s="274"/>
    </row>
    <row r="27" spans="3:26" ht="15">
      <c r="C27" s="238"/>
      <c r="D27" s="238"/>
      <c r="E27" s="238"/>
      <c r="F27" s="238"/>
      <c r="G27" s="238"/>
      <c r="H27" s="238"/>
      <c r="I27" s="238"/>
      <c r="J27" s="238"/>
      <c r="K27" s="238"/>
      <c r="L27" s="238"/>
      <c r="M27" s="238"/>
      <c r="N27" s="238"/>
      <c r="O27" s="296"/>
      <c r="P27" s="296"/>
      <c r="Q27" s="296"/>
      <c r="R27" s="296"/>
      <c r="S27" s="296"/>
      <c r="T27" s="296"/>
      <c r="U27" s="238"/>
      <c r="V27" s="238"/>
      <c r="W27" s="238"/>
      <c r="X27" s="238"/>
    </row>
    <row r="28" spans="3:26" ht="17.25">
      <c r="C28" s="238"/>
      <c r="D28" s="238"/>
      <c r="E28" s="238"/>
      <c r="F28" s="238"/>
      <c r="G28" s="238"/>
      <c r="H28" s="238"/>
      <c r="I28" s="297" t="s">
        <v>159</v>
      </c>
      <c r="J28" s="297"/>
      <c r="K28" s="238"/>
      <c r="N28" s="238"/>
      <c r="O28" s="296"/>
      <c r="P28" s="296"/>
      <c r="Q28" s="297" t="s">
        <v>160</v>
      </c>
      <c r="R28" s="297"/>
      <c r="S28" s="296"/>
      <c r="T28" s="296"/>
      <c r="U28" s="238"/>
      <c r="V28" s="238"/>
      <c r="W28" s="238"/>
      <c r="X28" s="238"/>
    </row>
    <row r="29" spans="3:26">
      <c r="C29" s="252" t="s">
        <v>161</v>
      </c>
      <c r="D29" s="57"/>
      <c r="I29" s="485">
        <v>6.0299999999999999E-2</v>
      </c>
      <c r="J29" s="251"/>
      <c r="K29" s="251"/>
      <c r="Q29" s="483">
        <v>6.0299999999999999E-2</v>
      </c>
      <c r="R29" s="57"/>
    </row>
    <row r="30" spans="3:26">
      <c r="C30" s="252" t="s">
        <v>162</v>
      </c>
      <c r="D30" s="57"/>
      <c r="I30" s="617">
        <f>J26</f>
        <v>0.14165851171334937</v>
      </c>
      <c r="J30" s="251"/>
      <c r="K30" s="251"/>
      <c r="Q30" s="484">
        <f>I30</f>
        <v>0.14165851171334937</v>
      </c>
      <c r="R30" s="57"/>
    </row>
    <row r="31" spans="3:26">
      <c r="C31" s="252" t="s">
        <v>163</v>
      </c>
      <c r="D31" s="57"/>
      <c r="I31" s="618">
        <f>I29*I30</f>
        <v>8.542008256314966E-3</v>
      </c>
      <c r="N31" s="57"/>
      <c r="Q31" s="485">
        <f>Q29*Q30</f>
        <v>8.542008256314966E-3</v>
      </c>
      <c r="R31" s="57"/>
      <c r="S31" s="298"/>
    </row>
    <row r="32" spans="3:26">
      <c r="C32" s="252"/>
      <c r="D32" s="57"/>
      <c r="I32" s="489"/>
      <c r="N32" s="57"/>
      <c r="Q32" s="485"/>
      <c r="R32" s="57"/>
      <c r="S32" s="298"/>
    </row>
    <row r="33" spans="3:37">
      <c r="C33" s="252" t="s">
        <v>164</v>
      </c>
      <c r="D33" s="57"/>
      <c r="I33" s="619">
        <f>AD42</f>
        <v>2.23E-2</v>
      </c>
      <c r="N33" s="487" t="s">
        <v>165</v>
      </c>
      <c r="Q33" s="486">
        <f>I33</f>
        <v>2.23E-2</v>
      </c>
      <c r="R33" s="487"/>
    </row>
    <row r="34" spans="3:37">
      <c r="C34" s="299" t="s">
        <v>166</v>
      </c>
      <c r="D34" s="465"/>
      <c r="E34" s="300"/>
      <c r="F34" s="300"/>
      <c r="G34" s="300"/>
      <c r="H34" s="300"/>
      <c r="I34" s="488">
        <f>I31+I33</f>
        <v>3.0842008256314966E-2</v>
      </c>
      <c r="J34" s="300"/>
      <c r="K34" s="300"/>
      <c r="N34" s="487"/>
      <c r="Q34" s="488">
        <f>Q31+Q33</f>
        <v>3.0842008256314966E-2</v>
      </c>
      <c r="R34" s="487"/>
    </row>
    <row r="35" spans="3:37">
      <c r="C35" s="252"/>
      <c r="D35" s="57"/>
      <c r="I35" s="486"/>
      <c r="N35" s="487"/>
      <c r="Q35" s="486"/>
      <c r="R35" s="487"/>
    </row>
    <row r="36" spans="3:37">
      <c r="C36" s="252" t="s">
        <v>168</v>
      </c>
      <c r="D36" s="57"/>
      <c r="I36" s="489">
        <v>5.6000000000000001E-2</v>
      </c>
      <c r="N36" s="57"/>
      <c r="Q36" s="489">
        <v>5.6000000000000001E-2</v>
      </c>
      <c r="R36" s="57"/>
      <c r="S36" s="298">
        <f>I36+I31+I33</f>
        <v>8.6842008256314968E-2</v>
      </c>
    </row>
    <row r="37" spans="3:37" outlineLevel="1">
      <c r="C37" s="252" t="s">
        <v>169</v>
      </c>
      <c r="D37" s="57"/>
      <c r="I37" s="616">
        <f>I36*I44</f>
        <v>1.4E-2</v>
      </c>
      <c r="N37" s="57"/>
      <c r="Q37" s="489">
        <f>Q36*L44</f>
        <v>2.8000000000000001E-2</v>
      </c>
      <c r="R37" s="57"/>
      <c r="S37" s="298"/>
    </row>
    <row r="38" spans="3:37">
      <c r="C38" s="252" t="s">
        <v>363</v>
      </c>
      <c r="D38" s="57"/>
      <c r="I38" s="489">
        <v>0.02</v>
      </c>
      <c r="N38" s="57"/>
      <c r="Q38" s="489">
        <f>L48</f>
        <v>1.1484200825631497E-2</v>
      </c>
      <c r="R38" s="57"/>
      <c r="S38" s="301"/>
    </row>
    <row r="39" spans="3:37">
      <c r="C39" s="252"/>
      <c r="D39" s="57"/>
      <c r="I39" s="57"/>
      <c r="N39" s="57"/>
      <c r="Q39" s="57"/>
      <c r="R39" s="57"/>
      <c r="S39" s="271">
        <v>0.05</v>
      </c>
      <c r="T39" s="250" t="s">
        <v>170</v>
      </c>
    </row>
    <row r="40" spans="3:37">
      <c r="C40" s="302" t="s">
        <v>171</v>
      </c>
      <c r="D40" s="490"/>
      <c r="E40" s="303"/>
      <c r="F40" s="303"/>
      <c r="G40" s="303"/>
      <c r="H40" s="303"/>
      <c r="I40" s="491">
        <f>SUM(I34:I36,I38)</f>
        <v>0.10684200825631497</v>
      </c>
      <c r="J40" s="303"/>
      <c r="K40" s="303"/>
      <c r="N40" s="57"/>
      <c r="Q40" s="491">
        <f>SUM(Q34:Q38)</f>
        <v>0.12632620908194647</v>
      </c>
      <c r="R40" s="492"/>
      <c r="S40" s="298">
        <f>S36*S39</f>
        <v>4.3421004128157484E-3</v>
      </c>
    </row>
    <row r="41" spans="3:37">
      <c r="C41" s="465"/>
      <c r="D41" s="57"/>
      <c r="I41" s="57"/>
      <c r="J41" s="493"/>
      <c r="L41" s="57"/>
      <c r="M41" s="57"/>
      <c r="N41" s="57"/>
      <c r="AB41" s="607" t="s">
        <v>357</v>
      </c>
      <c r="AC41" s="608" t="s">
        <v>358</v>
      </c>
      <c r="AD41" s="609" t="s">
        <v>359</v>
      </c>
      <c r="AE41" s="610" t="s">
        <v>360</v>
      </c>
      <c r="AF41" s="611"/>
      <c r="AG41" s="611"/>
      <c r="AH41" s="611"/>
      <c r="AI41" s="611"/>
      <c r="AJ41" s="612"/>
      <c r="AK41" s="613"/>
    </row>
    <row r="42" spans="3:37">
      <c r="C42" s="465"/>
      <c r="D42" s="57"/>
      <c r="L42" s="57"/>
      <c r="M42" s="57"/>
      <c r="N42" s="57"/>
      <c r="AB42" s="250" t="s">
        <v>167</v>
      </c>
      <c r="AC42" s="250">
        <v>20</v>
      </c>
      <c r="AD42" s="614">
        <f>_xll.ciqfunctions.udf.CIQSP(AB42, "IQ_LASTSALEPRICE",$W$1)/100</f>
        <v>2.23E-2</v>
      </c>
      <c r="AE42" s="615" t="s">
        <v>361</v>
      </c>
    </row>
    <row r="43" spans="3:37">
      <c r="C43" s="465"/>
      <c r="D43" s="57"/>
      <c r="L43" s="57"/>
      <c r="M43" s="57"/>
      <c r="N43" s="57"/>
    </row>
    <row r="44" spans="3:37">
      <c r="C44" s="465" t="s">
        <v>172</v>
      </c>
      <c r="D44" s="57"/>
      <c r="I44" s="489">
        <v>0.25</v>
      </c>
      <c r="J44" s="304"/>
      <c r="K44" s="304"/>
      <c r="L44" s="489">
        <v>0.5</v>
      </c>
      <c r="M44" s="57"/>
      <c r="N44" s="57"/>
    </row>
    <row r="45" spans="3:37">
      <c r="C45" s="465"/>
      <c r="D45" s="57"/>
      <c r="I45" s="489"/>
      <c r="L45" s="489"/>
      <c r="M45" s="57"/>
      <c r="N45" s="57"/>
    </row>
    <row r="46" spans="3:37">
      <c r="C46" s="465" t="s">
        <v>173</v>
      </c>
      <c r="D46" s="57"/>
      <c r="I46" s="489">
        <f>I34+I36+I37</f>
        <v>0.10084200825631497</v>
      </c>
      <c r="L46" s="489">
        <f>Q34+Q36+Q37</f>
        <v>0.11484200825631496</v>
      </c>
      <c r="M46" s="57"/>
      <c r="N46" s="57"/>
    </row>
    <row r="47" spans="3:37">
      <c r="C47" s="57" t="s">
        <v>174</v>
      </c>
      <c r="D47" s="57"/>
      <c r="I47" s="494">
        <v>0.05</v>
      </c>
      <c r="J47" s="305"/>
      <c r="K47" s="305"/>
      <c r="L47" s="494">
        <v>0.1</v>
      </c>
      <c r="M47" s="57"/>
      <c r="N47" s="57"/>
    </row>
    <row r="48" spans="3:37">
      <c r="C48" s="465" t="s">
        <v>175</v>
      </c>
      <c r="D48" s="57"/>
      <c r="I48" s="621">
        <f>I47*I46</f>
        <v>5.0421004128157485E-3</v>
      </c>
      <c r="L48" s="489">
        <f>L47*L46</f>
        <v>1.1484200825631497E-2</v>
      </c>
      <c r="M48" s="57"/>
      <c r="N48" s="57"/>
    </row>
    <row r="49" spans="3:23">
      <c r="C49" s="465"/>
      <c r="D49" s="57"/>
      <c r="L49" s="57"/>
      <c r="M49" s="57"/>
      <c r="N49" s="57"/>
    </row>
    <row r="50" spans="3:23">
      <c r="C50" s="465"/>
      <c r="D50" s="57"/>
      <c r="L50" s="57"/>
      <c r="M50" s="57"/>
      <c r="N50" s="57"/>
    </row>
    <row r="51" spans="3:23">
      <c r="C51" s="465"/>
      <c r="D51" s="57"/>
      <c r="L51" s="57"/>
      <c r="M51" s="57"/>
      <c r="N51" s="57"/>
    </row>
    <row r="52" spans="3:23">
      <c r="C52" s="465"/>
      <c r="D52" s="57"/>
      <c r="L52" s="57"/>
      <c r="M52" s="57"/>
      <c r="N52" s="57"/>
    </row>
    <row r="53" spans="3:23" ht="13.5" thickBot="1">
      <c r="C53" s="465"/>
      <c r="D53" s="57"/>
      <c r="L53" s="57"/>
      <c r="M53" s="57"/>
      <c r="N53" s="57"/>
    </row>
    <row r="54" spans="3:23" ht="13.5" thickBot="1">
      <c r="C54" s="306" t="s">
        <v>176</v>
      </c>
      <c r="D54" s="306"/>
      <c r="E54" s="306"/>
      <c r="F54" s="306"/>
      <c r="G54" s="306"/>
      <c r="H54" s="306"/>
      <c r="I54" s="306"/>
      <c r="J54" s="306"/>
      <c r="K54" s="306"/>
      <c r="L54" s="306"/>
      <c r="M54" s="306"/>
      <c r="N54" s="306"/>
      <c r="O54" s="285"/>
      <c r="P54" s="285"/>
    </row>
    <row r="55" spans="3:23" ht="13.5" thickBot="1">
      <c r="C55" s="307" t="s">
        <v>177</v>
      </c>
      <c r="D55" s="495"/>
      <c r="I55" s="307" t="s">
        <v>178</v>
      </c>
      <c r="L55" s="307" t="s">
        <v>179</v>
      </c>
      <c r="M55" s="496"/>
      <c r="N55" s="604"/>
      <c r="O55" s="605" t="s">
        <v>356</v>
      </c>
      <c r="P55" s="285"/>
    </row>
    <row r="56" spans="3:23">
      <c r="C56" s="497" t="s">
        <v>97</v>
      </c>
      <c r="D56" s="57"/>
      <c r="I56" s="498">
        <f>N65</f>
        <v>2.8199999999999999E-2</v>
      </c>
      <c r="L56" s="489">
        <f>R26</f>
        <v>0.1</v>
      </c>
      <c r="M56" s="499"/>
      <c r="N56" s="498">
        <f>L56*I56</f>
        <v>2.82E-3</v>
      </c>
    </row>
    <row r="57" spans="3:23">
      <c r="C57" s="497" t="s">
        <v>180</v>
      </c>
      <c r="D57" s="57"/>
      <c r="I57" s="498">
        <f>I40</f>
        <v>0.10684200825631497</v>
      </c>
      <c r="L57" s="489">
        <f>S26</f>
        <v>0.9</v>
      </c>
      <c r="M57" s="499"/>
      <c r="N57" s="620">
        <f>L57*I57</f>
        <v>9.6157807430683473E-2</v>
      </c>
      <c r="O57" s="606">
        <f>M57*K57</f>
        <v>0</v>
      </c>
    </row>
    <row r="58" spans="3:23">
      <c r="C58" s="465"/>
      <c r="D58" s="465"/>
      <c r="L58" s="501">
        <f>SUM(L56:L57)</f>
        <v>1</v>
      </c>
      <c r="M58" s="500"/>
      <c r="N58" s="271">
        <f>SUM(N56:N57)</f>
        <v>9.8977807430683476E-2</v>
      </c>
      <c r="O58" s="606">
        <f>M58*K58</f>
        <v>0</v>
      </c>
    </row>
    <row r="59" spans="3:23" ht="13.5" thickBot="1">
      <c r="C59" s="57"/>
      <c r="D59" s="57"/>
      <c r="L59" s="57"/>
      <c r="M59" s="57"/>
      <c r="N59" s="57"/>
    </row>
    <row r="60" spans="3:23" ht="13.5" thickBot="1">
      <c r="C60" s="308" t="s">
        <v>181</v>
      </c>
      <c r="D60" s="309"/>
      <c r="E60" s="309"/>
      <c r="F60" s="309"/>
      <c r="G60" s="309"/>
      <c r="H60" s="309"/>
      <c r="I60" s="309"/>
      <c r="J60" s="309"/>
      <c r="K60" s="309"/>
      <c r="L60" s="308"/>
      <c r="M60" s="309"/>
      <c r="N60" s="309"/>
    </row>
    <row r="61" spans="3:23" ht="15" customHeight="1">
      <c r="C61" s="57"/>
      <c r="D61" s="57"/>
      <c r="L61" s="57"/>
      <c r="M61" s="57"/>
      <c r="N61" s="57"/>
      <c r="W61" s="601" t="s">
        <v>354</v>
      </c>
    </row>
    <row r="62" spans="3:23">
      <c r="C62" s="57" t="s">
        <v>182</v>
      </c>
      <c r="D62" s="57"/>
      <c r="L62" s="57"/>
      <c r="M62" s="57"/>
      <c r="N62" s="598">
        <f>S62</f>
        <v>4.7E-2</v>
      </c>
      <c r="P62" s="599" t="s">
        <v>335</v>
      </c>
      <c r="R62" s="250" t="s">
        <v>353</v>
      </c>
      <c r="S62" s="600">
        <f>_xll.ciqfunctions.udf.CIQSP(W62, "IQ_LASTSALEPRICE",$W$1)/100</f>
        <v>4.7E-2</v>
      </c>
      <c r="W62" s="602" t="s">
        <v>355</v>
      </c>
    </row>
    <row r="63" spans="3:23">
      <c r="C63" s="57" t="s">
        <v>183</v>
      </c>
      <c r="D63" s="57"/>
      <c r="L63" s="57"/>
      <c r="M63" s="57"/>
      <c r="N63" s="598">
        <v>0.4</v>
      </c>
      <c r="P63" s="251"/>
    </row>
    <row r="64" spans="3:23">
      <c r="C64" s="502"/>
      <c r="D64" s="502"/>
      <c r="L64" s="502"/>
      <c r="M64" s="502"/>
      <c r="N64" s="502"/>
    </row>
    <row r="65" spans="3:14">
      <c r="C65" s="465" t="s">
        <v>184</v>
      </c>
      <c r="D65" s="57"/>
      <c r="L65" s="57"/>
      <c r="M65" s="57"/>
      <c r="N65" s="603">
        <f>N62*(1-N63)</f>
        <v>2.8199999999999999E-2</v>
      </c>
    </row>
    <row r="66" spans="3:14" ht="13.5" thickBot="1">
      <c r="C66" s="57"/>
      <c r="D66" s="57"/>
      <c r="L66" s="57"/>
      <c r="M66" s="57"/>
      <c r="N66" s="57"/>
    </row>
    <row r="67" spans="3:14" ht="13.5" thickBot="1">
      <c r="C67" s="308" t="s">
        <v>185</v>
      </c>
      <c r="D67" s="309"/>
      <c r="E67" s="309"/>
      <c r="F67" s="309"/>
      <c r="G67" s="309"/>
      <c r="H67" s="309"/>
      <c r="I67" s="309"/>
      <c r="J67" s="309"/>
      <c r="K67" s="309"/>
      <c r="L67" s="308"/>
      <c r="M67" s="309"/>
      <c r="N67" s="309"/>
    </row>
    <row r="68" spans="3:14">
      <c r="C68" s="57"/>
      <c r="D68" s="57"/>
      <c r="L68" s="57"/>
      <c r="M68" s="57"/>
      <c r="N68" s="57"/>
    </row>
    <row r="69" spans="3:14">
      <c r="C69" s="57"/>
      <c r="D69" s="57"/>
      <c r="E69" s="57"/>
      <c r="F69" s="57"/>
      <c r="G69" s="57"/>
      <c r="H69" s="57"/>
      <c r="I69" s="57"/>
    </row>
    <row r="70" spans="3:14">
      <c r="C70" s="57"/>
      <c r="D70" s="57"/>
      <c r="E70" s="57"/>
      <c r="F70" s="57"/>
      <c r="G70" s="57"/>
      <c r="H70" s="57"/>
      <c r="I70" s="57"/>
    </row>
    <row r="71" spans="3:14">
      <c r="C71" s="503" t="s">
        <v>186</v>
      </c>
      <c r="D71" s="57"/>
      <c r="E71" s="57"/>
      <c r="F71" s="57"/>
      <c r="G71" s="57"/>
      <c r="H71" s="57"/>
      <c r="I71" s="57"/>
    </row>
    <row r="72" spans="3:14">
      <c r="C72" s="504" t="s">
        <v>187</v>
      </c>
      <c r="D72" s="57"/>
      <c r="E72" s="57"/>
      <c r="F72" s="57"/>
      <c r="G72" s="57"/>
      <c r="H72" s="57"/>
      <c r="I72" s="57"/>
    </row>
    <row r="73" spans="3:14">
      <c r="C73" s="57" t="s">
        <v>188</v>
      </c>
      <c r="D73" s="57"/>
      <c r="E73" s="57"/>
      <c r="F73" s="57"/>
      <c r="G73" s="57"/>
      <c r="H73" s="57"/>
      <c r="I73" s="57"/>
    </row>
    <row r="74" spans="3:14">
      <c r="C74" s="57" t="s">
        <v>189</v>
      </c>
      <c r="D74" s="57"/>
      <c r="E74" s="57"/>
      <c r="F74" s="57"/>
      <c r="G74" s="57"/>
      <c r="H74" s="57"/>
      <c r="I74" s="57"/>
    </row>
    <row r="75" spans="3:14">
      <c r="C75" s="57" t="s">
        <v>190</v>
      </c>
      <c r="D75" s="57"/>
      <c r="E75" s="57"/>
      <c r="F75" s="57"/>
      <c r="G75" s="57"/>
      <c r="H75" s="57"/>
      <c r="I75" s="57"/>
    </row>
    <row r="76" spans="3:14">
      <c r="C76" s="57" t="s">
        <v>191</v>
      </c>
      <c r="D76" s="57"/>
      <c r="E76" s="57"/>
      <c r="F76" s="57"/>
      <c r="G76" s="57"/>
      <c r="H76" s="57"/>
      <c r="I76" s="57"/>
    </row>
    <row r="77" spans="3:14">
      <c r="C77" s="504" t="s">
        <v>192</v>
      </c>
      <c r="D77" s="57"/>
      <c r="E77" s="57"/>
      <c r="F77" s="57"/>
      <c r="G77" s="57"/>
      <c r="H77" s="57"/>
      <c r="I77" s="57"/>
    </row>
    <row r="78" spans="3:14">
      <c r="C78" s="504" t="s">
        <v>193</v>
      </c>
      <c r="D78" s="57"/>
      <c r="E78" s="57"/>
      <c r="F78" s="57"/>
      <c r="G78" s="57"/>
      <c r="H78" s="57"/>
      <c r="I78" s="57"/>
    </row>
    <row r="79" spans="3:14">
      <c r="C79" s="57" t="s">
        <v>194</v>
      </c>
      <c r="D79" s="57"/>
      <c r="E79" s="57"/>
      <c r="F79" s="57"/>
      <c r="G79" s="57"/>
      <c r="H79" s="57"/>
      <c r="I79" s="57"/>
    </row>
  </sheetData>
  <conditionalFormatting sqref="B4:M4">
    <cfRule type="cellIs" dxfId="140" priority="4" stopIfTrue="1" operator="equal">
      <formula>"input"</formula>
    </cfRule>
  </conditionalFormatting>
  <conditionalFormatting sqref="N4">
    <cfRule type="cellIs" dxfId="139" priority="3" stopIfTrue="1" operator="equal">
      <formula>"input"</formula>
    </cfRule>
  </conditionalFormatting>
  <conditionalFormatting sqref="N2">
    <cfRule type="cellIs" dxfId="138" priority="2" stopIfTrue="1" operator="equal">
      <formula>"input"</formula>
    </cfRule>
  </conditionalFormatting>
  <conditionalFormatting sqref="C9:C19">
    <cfRule type="cellIs" dxfId="137" priority="1" operator="equal">
      <formula>"(Invalid Identifier)"</formula>
    </cfRule>
  </conditionalFormatting>
  <dataValidations disablePrompts="1" count="2">
    <dataValidation type="list" allowBlank="1" showInputMessage="1" showErrorMessage="1" sqref="F9:F19">
      <formula1>$M$59:$M$63</formula1>
    </dataValidation>
    <dataValidation type="list" allowBlank="1" showInputMessage="1" showErrorMessage="1" sqref="G9:G19">
      <formula1>$N$59:$N$60</formula1>
    </dataValidation>
  </dataValidations>
  <pageMargins left="0.5" right="0.5" top="0.5" bottom="0.5" header="0.5" footer="0.5"/>
  <pageSetup scale="75" orientation="landscape" r:id="rId1"/>
  <legacy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74"/>
  <sheetViews>
    <sheetView showGridLines="0" view="pageBreakPreview" topLeftCell="AV6" zoomScale="85" zoomScaleNormal="100" zoomScaleSheetLayoutView="85" workbookViewId="0">
      <selection activeCell="BE18" sqref="BE18"/>
    </sheetView>
  </sheetViews>
  <sheetFormatPr defaultColWidth="8" defaultRowHeight="12.75" outlineLevelRow="1"/>
  <cols>
    <col min="1" max="1" width="1.5703125" style="200" customWidth="1"/>
    <col min="2" max="2" width="63" style="200" customWidth="1"/>
    <col min="3" max="8" width="10" style="200" customWidth="1"/>
    <col min="9" max="9" width="2.5703125" style="200" customWidth="1"/>
    <col min="10" max="14" width="10" style="200" customWidth="1"/>
    <col min="15" max="15" width="11.140625" style="200" customWidth="1"/>
    <col min="16" max="16" width="2.5703125" style="200" customWidth="1"/>
    <col min="17" max="22" width="10" style="200" customWidth="1"/>
    <col min="23" max="23" width="2.5703125" style="200" customWidth="1"/>
    <col min="24" max="28" width="10.7109375" style="200" customWidth="1"/>
    <col min="29" max="29" width="10" style="200" customWidth="1"/>
    <col min="30" max="30" width="2.5703125" style="200" customWidth="1"/>
    <col min="31" max="36" width="10" style="200" customWidth="1"/>
    <col min="37" max="37" width="2.42578125" style="200" customWidth="1"/>
    <col min="38" max="42" width="10" style="200" customWidth="1"/>
    <col min="43" max="43" width="2.42578125" style="200" customWidth="1"/>
    <col min="44" max="49" width="10" style="200" customWidth="1"/>
    <col min="50" max="50" width="2.42578125" style="200" customWidth="1"/>
    <col min="51" max="52" width="10" style="200" customWidth="1"/>
    <col min="53" max="53" width="11" style="200" customWidth="1"/>
    <col min="54" max="55" width="10" style="200" customWidth="1"/>
    <col min="56" max="56" width="2.42578125" style="200" customWidth="1"/>
    <col min="57" max="60" width="7.140625" style="200" customWidth="1"/>
    <col min="61" max="61" width="2.42578125" style="200" customWidth="1"/>
    <col min="62" max="65" width="7.140625" style="200" customWidth="1"/>
    <col min="66" max="66" width="2.42578125" style="200" customWidth="1"/>
    <col min="67" max="70" width="7.140625" style="200" customWidth="1"/>
    <col min="71" max="71" width="1.5703125" style="200" customWidth="1"/>
    <col min="72" max="73" width="10.5703125" style="200" customWidth="1"/>
    <col min="74" max="74" width="12.42578125" style="200" bestFit="1" customWidth="1"/>
    <col min="75" max="75" width="14.5703125" style="200" customWidth="1"/>
    <col min="76" max="77" width="8" style="200"/>
    <col min="78" max="78" width="9.140625" style="200" bestFit="1" customWidth="1"/>
    <col min="79" max="16384" width="8" style="200"/>
  </cols>
  <sheetData>
    <row r="1" spans="1:90" s="78" customFormat="1" ht="17.649999999999999" customHeight="1" thickBot="1">
      <c r="A1" s="77"/>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T1" s="717"/>
      <c r="BU1" s="717"/>
      <c r="BV1" s="717"/>
      <c r="BW1" s="172"/>
      <c r="BX1" s="172"/>
    </row>
    <row r="2" spans="1:90" s="81" customFormat="1" ht="16.5" thickTop="1">
      <c r="A2" s="80"/>
      <c r="B2" s="82" t="str">
        <f>Outline!B2</f>
        <v>Satellite Healthcare WB Santa Cruz Valuation</v>
      </c>
      <c r="C2" s="82"/>
      <c r="D2" s="83"/>
      <c r="E2" s="83"/>
      <c r="F2" s="83"/>
      <c r="G2" s="83"/>
      <c r="H2" s="83"/>
      <c r="I2" s="83"/>
      <c r="J2" s="82"/>
      <c r="K2" s="83"/>
      <c r="L2" s="83"/>
      <c r="M2" s="83"/>
      <c r="N2" s="83"/>
      <c r="O2" s="83"/>
      <c r="P2" s="83"/>
      <c r="Q2" s="82"/>
      <c r="R2" s="83"/>
      <c r="S2" s="83"/>
      <c r="T2" s="83"/>
      <c r="U2" s="83"/>
      <c r="V2" s="83"/>
      <c r="W2" s="83"/>
      <c r="X2" s="82"/>
      <c r="Y2" s="83"/>
      <c r="Z2" s="83"/>
      <c r="AA2" s="83"/>
      <c r="AB2" s="83"/>
      <c r="AC2" s="83"/>
      <c r="AD2" s="83"/>
      <c r="AE2" s="83"/>
      <c r="AF2" s="83"/>
      <c r="AG2" s="83"/>
      <c r="AH2" s="83"/>
      <c r="AI2" s="83"/>
      <c r="AJ2" s="83"/>
      <c r="AK2" s="83"/>
      <c r="AL2" s="83"/>
      <c r="AM2" s="83"/>
      <c r="AN2" s="83"/>
      <c r="AO2" s="83"/>
      <c r="AP2" s="83"/>
      <c r="AQ2" s="83"/>
      <c r="AR2" s="82"/>
      <c r="AS2" s="83"/>
      <c r="AT2" s="83"/>
      <c r="AU2" s="83"/>
      <c r="AV2" s="83"/>
      <c r="AW2" s="83"/>
      <c r="AX2" s="83"/>
      <c r="AY2" s="83"/>
      <c r="AZ2" s="83"/>
      <c r="BA2" s="83"/>
      <c r="BB2" s="83"/>
      <c r="BC2" s="83"/>
      <c r="BD2" s="83"/>
      <c r="BE2" s="83"/>
      <c r="BF2" s="83"/>
      <c r="BG2" s="83"/>
      <c r="BH2" s="83"/>
      <c r="BI2" s="83"/>
      <c r="BJ2" s="83"/>
      <c r="BK2" s="83"/>
      <c r="BL2" s="83"/>
      <c r="BM2" s="83"/>
      <c r="BN2" s="83"/>
      <c r="BO2" s="84"/>
      <c r="BP2" s="84"/>
      <c r="BQ2" s="84"/>
      <c r="BR2" s="85"/>
      <c r="BT2" s="97"/>
      <c r="BU2" s="718" t="s">
        <v>132</v>
      </c>
      <c r="BV2" s="719"/>
      <c r="BW2" s="720">
        <f>'E1'!$AX$2</f>
        <v>43465</v>
      </c>
      <c r="BX2" s="97"/>
    </row>
    <row r="3" spans="1:90" s="81" customFormat="1" ht="15.75">
      <c r="A3" s="88"/>
      <c r="B3" s="89" t="str">
        <f>Outline!C42</f>
        <v>Workpaper 3</v>
      </c>
      <c r="C3" s="89"/>
      <c r="D3" s="86"/>
      <c r="E3" s="86"/>
      <c r="F3" s="86"/>
      <c r="G3" s="86"/>
      <c r="H3" s="86"/>
      <c r="I3" s="86"/>
      <c r="J3" s="89"/>
      <c r="K3" s="86"/>
      <c r="L3" s="86"/>
      <c r="M3" s="86"/>
      <c r="N3" s="86"/>
      <c r="O3" s="86"/>
      <c r="P3" s="86"/>
      <c r="Q3" s="89"/>
      <c r="R3" s="86"/>
      <c r="S3" s="86"/>
      <c r="T3" s="86"/>
      <c r="U3" s="86"/>
      <c r="V3" s="86"/>
      <c r="W3" s="86"/>
      <c r="X3" s="89"/>
      <c r="Y3" s="86"/>
      <c r="Z3" s="86"/>
      <c r="AA3" s="86"/>
      <c r="AB3" s="86"/>
      <c r="AC3" s="86"/>
      <c r="AD3" s="86"/>
      <c r="AE3" s="86"/>
      <c r="AF3" s="86"/>
      <c r="AG3" s="86"/>
      <c r="AH3" s="86"/>
      <c r="AI3" s="86"/>
      <c r="AJ3" s="86"/>
      <c r="AK3" s="86"/>
      <c r="AL3" s="86"/>
      <c r="AM3" s="86"/>
      <c r="AN3" s="86"/>
      <c r="AO3" s="86"/>
      <c r="AP3" s="86"/>
      <c r="AQ3" s="86"/>
      <c r="AR3" s="89"/>
      <c r="AS3" s="86"/>
      <c r="AT3" s="86"/>
      <c r="AU3" s="86"/>
      <c r="AV3" s="86"/>
      <c r="AW3" s="86"/>
      <c r="AX3" s="86"/>
      <c r="AY3" s="86"/>
      <c r="AZ3" s="86"/>
      <c r="BA3" s="86"/>
      <c r="BB3" s="86"/>
      <c r="BC3" s="86"/>
      <c r="BD3" s="86"/>
      <c r="BE3" s="86"/>
      <c r="BF3" s="86"/>
      <c r="BG3" s="86"/>
      <c r="BH3" s="86"/>
      <c r="BI3" s="86"/>
      <c r="BJ3" s="86"/>
      <c r="BK3" s="86"/>
      <c r="BL3" s="86"/>
      <c r="BM3" s="86"/>
      <c r="BN3" s="86"/>
      <c r="BO3" s="90"/>
      <c r="BP3" s="90"/>
      <c r="BQ3" s="90"/>
      <c r="BR3" s="90"/>
      <c r="BT3" s="97"/>
      <c r="BU3" s="472" t="s">
        <v>134</v>
      </c>
      <c r="BV3" s="721"/>
      <c r="BW3" s="473" t="s">
        <v>351</v>
      </c>
      <c r="BX3" s="97"/>
    </row>
    <row r="4" spans="1:90" s="81" customFormat="1" ht="16.5" thickBot="1">
      <c r="A4" s="80"/>
      <c r="B4" s="91" t="s">
        <v>426</v>
      </c>
      <c r="C4" s="91"/>
      <c r="D4" s="92"/>
      <c r="E4" s="92"/>
      <c r="F4" s="92"/>
      <c r="G4" s="92"/>
      <c r="H4" s="94" t="str">
        <f>'Beta Calc'!$R$4</f>
        <v>Values in $ Millions</v>
      </c>
      <c r="I4" s="92"/>
      <c r="J4" s="91"/>
      <c r="K4" s="92"/>
      <c r="L4" s="92"/>
      <c r="M4" s="92"/>
      <c r="N4" s="92"/>
      <c r="O4" s="94" t="str">
        <f>'Beta Calc'!$R$4</f>
        <v>Values in $ Millions</v>
      </c>
      <c r="P4" s="92"/>
      <c r="Q4" s="91"/>
      <c r="R4" s="92"/>
      <c r="S4" s="92"/>
      <c r="T4" s="92"/>
      <c r="U4" s="92"/>
      <c r="V4" s="94" t="str">
        <f>'Beta Calc'!$R$4</f>
        <v>Values in $ Millions</v>
      </c>
      <c r="W4" s="92"/>
      <c r="X4" s="91"/>
      <c r="Y4" s="92"/>
      <c r="Z4" s="92"/>
      <c r="AA4" s="92"/>
      <c r="AB4" s="92"/>
      <c r="AC4" s="94" t="str">
        <f>'Beta Calc'!$R$4</f>
        <v>Values in $ Millions</v>
      </c>
      <c r="AD4" s="92"/>
      <c r="AE4" s="92"/>
      <c r="AF4" s="92"/>
      <c r="AG4" s="92"/>
      <c r="AH4" s="92"/>
      <c r="AI4" s="92"/>
      <c r="AJ4" s="94" t="str">
        <f>'Beta Calc'!$R$4</f>
        <v>Values in $ Millions</v>
      </c>
      <c r="AK4" s="92"/>
      <c r="AL4" s="92"/>
      <c r="AM4" s="92"/>
      <c r="AN4" s="92"/>
      <c r="AO4" s="92"/>
      <c r="AP4" s="94" t="str">
        <f>'Beta Calc'!$R$4</f>
        <v>Values in $ Millions</v>
      </c>
      <c r="AQ4" s="92"/>
      <c r="AR4" s="91"/>
      <c r="AS4" s="92"/>
      <c r="AT4" s="92"/>
      <c r="AU4" s="92"/>
      <c r="AV4" s="92"/>
      <c r="AW4" s="94" t="str">
        <f>'Beta Calc'!$R$4</f>
        <v>Values in $ Millions</v>
      </c>
      <c r="AX4" s="92"/>
      <c r="AY4" s="92"/>
      <c r="AZ4" s="92"/>
      <c r="BA4" s="94"/>
      <c r="BB4" s="94"/>
      <c r="BC4" s="94" t="str">
        <f>'Beta Calc'!$R$4</f>
        <v>Values in $ Millions</v>
      </c>
      <c r="BD4" s="92"/>
      <c r="BE4" s="92"/>
      <c r="BF4" s="92"/>
      <c r="BG4" s="92"/>
      <c r="BH4" s="92"/>
      <c r="BI4" s="92"/>
      <c r="BJ4" s="92"/>
      <c r="BK4" s="92"/>
      <c r="BL4" s="92"/>
      <c r="BM4" s="92"/>
      <c r="BN4" s="92"/>
      <c r="BO4" s="93"/>
      <c r="BP4" s="93"/>
      <c r="BQ4" s="93"/>
      <c r="BR4" s="94" t="str">
        <f>'Beta Calc'!$R$4</f>
        <v>Values in $ Millions</v>
      </c>
      <c r="BT4" s="97"/>
      <c r="BU4" s="474" t="s">
        <v>136</v>
      </c>
      <c r="BV4" s="97"/>
      <c r="BW4" s="475" t="s">
        <v>137</v>
      </c>
      <c r="BX4" s="97"/>
    </row>
    <row r="5" spans="1:90" s="81" customFormat="1" ht="16.5" thickTop="1">
      <c r="A5" s="96"/>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5"/>
      <c r="BE5" s="95"/>
      <c r="BF5" s="95"/>
      <c r="BG5" s="95"/>
      <c r="BH5" s="95"/>
      <c r="BI5" s="95"/>
      <c r="BJ5" s="95"/>
      <c r="BK5" s="95"/>
      <c r="BL5" s="95"/>
      <c r="BM5" s="95"/>
      <c r="BN5" s="95"/>
      <c r="BO5" s="97"/>
      <c r="BP5" s="97"/>
      <c r="BQ5" s="97"/>
      <c r="BR5" s="97"/>
      <c r="BS5" s="97"/>
      <c r="BT5" s="97"/>
      <c r="BU5" s="470" t="s">
        <v>139</v>
      </c>
      <c r="BV5" s="716"/>
      <c r="BW5" s="471" t="s">
        <v>140</v>
      </c>
      <c r="BX5" s="97"/>
      <c r="BY5" s="97"/>
      <c r="BZ5" s="97"/>
      <c r="CA5" s="97"/>
      <c r="CB5" s="97"/>
      <c r="CC5" s="97"/>
      <c r="CD5" s="97"/>
      <c r="CE5" s="97"/>
      <c r="CF5" s="97"/>
      <c r="CG5" s="97"/>
      <c r="CH5" s="97"/>
      <c r="CI5" s="97"/>
      <c r="CJ5" s="97"/>
      <c r="CK5" s="97"/>
      <c r="CL5" s="97"/>
    </row>
    <row r="6" spans="1:90" s="97" customFormat="1">
      <c r="A6" s="96"/>
      <c r="BD6" s="95"/>
      <c r="BE6" s="95"/>
      <c r="BF6" s="95"/>
      <c r="BG6" s="95"/>
      <c r="BH6" s="95"/>
      <c r="BI6" s="95"/>
      <c r="BJ6" s="95"/>
      <c r="BK6" s="95"/>
      <c r="BL6" s="95"/>
      <c r="BM6" s="95"/>
      <c r="BN6" s="95"/>
      <c r="BO6" s="95"/>
      <c r="BP6" s="95"/>
      <c r="BQ6" s="95"/>
      <c r="BR6" s="95"/>
      <c r="BS6" s="95"/>
    </row>
    <row r="7" spans="1:90" s="101" customFormat="1">
      <c r="A7" s="100"/>
      <c r="C7" s="102" t="s">
        <v>420</v>
      </c>
      <c r="D7" s="104"/>
      <c r="E7" s="104"/>
      <c r="F7" s="104"/>
      <c r="G7" s="104"/>
      <c r="H7" s="105"/>
      <c r="I7" s="106"/>
      <c r="J7" s="102" t="s">
        <v>49</v>
      </c>
      <c r="K7" s="104"/>
      <c r="L7" s="104"/>
      <c r="M7" s="104"/>
      <c r="N7" s="104"/>
      <c r="O7" s="105"/>
      <c r="P7" s="106"/>
      <c r="Q7" s="102" t="s">
        <v>88</v>
      </c>
      <c r="R7" s="104"/>
      <c r="S7" s="104"/>
      <c r="T7" s="104"/>
      <c r="U7" s="104"/>
      <c r="V7" s="105"/>
      <c r="W7" s="106"/>
      <c r="X7" s="102" t="s">
        <v>421</v>
      </c>
      <c r="Y7" s="104"/>
      <c r="Z7" s="104"/>
      <c r="AA7" s="104"/>
      <c r="AB7" s="104"/>
      <c r="AC7" s="105"/>
      <c r="AD7" s="106"/>
      <c r="AE7" s="102" t="s">
        <v>448</v>
      </c>
      <c r="AF7" s="104"/>
      <c r="AG7" s="104"/>
      <c r="AH7" s="104"/>
      <c r="AI7" s="104"/>
      <c r="AJ7" s="105"/>
      <c r="AK7" s="100"/>
      <c r="AL7" s="102" t="s">
        <v>449</v>
      </c>
      <c r="AM7" s="104"/>
      <c r="AN7" s="105"/>
      <c r="AO7" s="105"/>
      <c r="AP7" s="105"/>
      <c r="AQ7" s="100"/>
      <c r="AR7" s="102" t="s">
        <v>428</v>
      </c>
      <c r="AS7" s="104"/>
      <c r="AT7" s="104"/>
      <c r="AU7" s="104"/>
      <c r="AV7" s="104"/>
      <c r="AW7" s="105"/>
      <c r="AX7" s="100"/>
      <c r="AY7" s="102" t="s">
        <v>429</v>
      </c>
      <c r="AZ7" s="104"/>
      <c r="BA7" s="105"/>
      <c r="BB7" s="105"/>
      <c r="BC7" s="105"/>
      <c r="BD7" s="100"/>
      <c r="BE7" s="107" t="s">
        <v>423</v>
      </c>
      <c r="BF7" s="104"/>
      <c r="BG7" s="724"/>
      <c r="BH7" s="105"/>
      <c r="BI7" s="100"/>
      <c r="BJ7" s="107" t="s">
        <v>424</v>
      </c>
      <c r="BK7" s="104"/>
      <c r="BL7" s="724"/>
      <c r="BM7" s="105"/>
      <c r="BN7" s="95"/>
      <c r="BO7" s="107" t="s">
        <v>425</v>
      </c>
      <c r="BP7" s="104"/>
      <c r="BQ7" s="724"/>
      <c r="BR7" s="105"/>
      <c r="BS7" s="100"/>
      <c r="BU7" s="95"/>
      <c r="BV7" s="95"/>
      <c r="BW7" s="95"/>
      <c r="BX7" s="95"/>
    </row>
    <row r="8" spans="1:90" s="111" customFormat="1" ht="30">
      <c r="B8" s="112" t="s">
        <v>94</v>
      </c>
      <c r="C8" s="732">
        <f>D8+1</f>
        <v>2017</v>
      </c>
      <c r="D8" s="732">
        <f>E8+1</f>
        <v>2016</v>
      </c>
      <c r="E8" s="732">
        <f>F8+1</f>
        <v>2015</v>
      </c>
      <c r="F8" s="732">
        <f>G8+1</f>
        <v>2014</v>
      </c>
      <c r="G8" s="732">
        <v>2013</v>
      </c>
      <c r="H8" s="732" t="s">
        <v>463</v>
      </c>
      <c r="I8" s="114"/>
      <c r="J8" s="732">
        <f>C8</f>
        <v>2017</v>
      </c>
      <c r="K8" s="732">
        <f>D8</f>
        <v>2016</v>
      </c>
      <c r="L8" s="732">
        <f>E8</f>
        <v>2015</v>
      </c>
      <c r="M8" s="732">
        <f>F8</f>
        <v>2014</v>
      </c>
      <c r="N8" s="732">
        <f>G8</f>
        <v>2013</v>
      </c>
      <c r="O8" s="732" t="s">
        <v>463</v>
      </c>
      <c r="P8" s="114"/>
      <c r="Q8" s="732">
        <f>J8</f>
        <v>2017</v>
      </c>
      <c r="R8" s="732">
        <f>K8</f>
        <v>2016</v>
      </c>
      <c r="S8" s="732">
        <f>L8</f>
        <v>2015</v>
      </c>
      <c r="T8" s="732">
        <f>M8</f>
        <v>2014</v>
      </c>
      <c r="U8" s="732">
        <f>N8</f>
        <v>2013</v>
      </c>
      <c r="V8" s="732" t="s">
        <v>463</v>
      </c>
      <c r="W8" s="114"/>
      <c r="X8" s="732">
        <f>Q8</f>
        <v>2017</v>
      </c>
      <c r="Y8" s="732">
        <f>R8</f>
        <v>2016</v>
      </c>
      <c r="Z8" s="732">
        <f>S8</f>
        <v>2015</v>
      </c>
      <c r="AA8" s="732">
        <f>T8</f>
        <v>2014</v>
      </c>
      <c r="AB8" s="732">
        <f>U8</f>
        <v>2013</v>
      </c>
      <c r="AC8" s="953" t="s">
        <v>464</v>
      </c>
      <c r="AD8" s="114"/>
      <c r="AE8" s="732">
        <f>X8</f>
        <v>2017</v>
      </c>
      <c r="AF8" s="732">
        <f>Y8</f>
        <v>2016</v>
      </c>
      <c r="AG8" s="732">
        <f>Z8</f>
        <v>2015</v>
      </c>
      <c r="AH8" s="732">
        <f>AA8</f>
        <v>2014</v>
      </c>
      <c r="AI8" s="732">
        <f>AB8</f>
        <v>2013</v>
      </c>
      <c r="AJ8" s="953" t="s">
        <v>464</v>
      </c>
      <c r="AK8" s="113"/>
      <c r="AL8" s="732">
        <f>AE8</f>
        <v>2017</v>
      </c>
      <c r="AM8" s="732">
        <f>AF8</f>
        <v>2016</v>
      </c>
      <c r="AN8" s="732">
        <f>AG8</f>
        <v>2015</v>
      </c>
      <c r="AO8" s="732">
        <f>AH8</f>
        <v>2014</v>
      </c>
      <c r="AP8" s="732">
        <f>AI8</f>
        <v>2013</v>
      </c>
      <c r="AQ8" s="95"/>
      <c r="AR8" s="732">
        <f>AL8</f>
        <v>2017</v>
      </c>
      <c r="AS8" s="732">
        <f>AM8</f>
        <v>2016</v>
      </c>
      <c r="AT8" s="732">
        <f>AN8</f>
        <v>2015</v>
      </c>
      <c r="AU8" s="732">
        <f>AO8</f>
        <v>2014</v>
      </c>
      <c r="AV8" s="732">
        <f>AP8</f>
        <v>2013</v>
      </c>
      <c r="AW8" s="953" t="s">
        <v>464</v>
      </c>
      <c r="AX8" s="113"/>
      <c r="AY8" s="732">
        <f>AR8</f>
        <v>2017</v>
      </c>
      <c r="AZ8" s="732">
        <f>AS8</f>
        <v>2016</v>
      </c>
      <c r="BA8" s="732">
        <f>AT8</f>
        <v>2015</v>
      </c>
      <c r="BB8" s="732">
        <f>AU8</f>
        <v>2014</v>
      </c>
      <c r="BC8" s="732">
        <f>AV8</f>
        <v>2013</v>
      </c>
      <c r="BD8" s="95"/>
      <c r="BE8" s="732">
        <f>AY8</f>
        <v>2017</v>
      </c>
      <c r="BF8" s="732">
        <f>AZ8</f>
        <v>2016</v>
      </c>
      <c r="BG8" s="732">
        <f>BA8</f>
        <v>2015</v>
      </c>
      <c r="BH8" s="732" t="s">
        <v>458</v>
      </c>
      <c r="BI8" s="95"/>
      <c r="BJ8" s="732">
        <f>BE8</f>
        <v>2017</v>
      </c>
      <c r="BK8" s="732">
        <f>BF8</f>
        <v>2016</v>
      </c>
      <c r="BL8" s="732">
        <f>BG8</f>
        <v>2015</v>
      </c>
      <c r="BM8" s="732" t="s">
        <v>458</v>
      </c>
      <c r="BN8" s="95"/>
      <c r="BO8" s="732">
        <f>BJ8</f>
        <v>2017</v>
      </c>
      <c r="BP8" s="732">
        <f>BK8</f>
        <v>2016</v>
      </c>
      <c r="BQ8" s="732">
        <f>BL8</f>
        <v>2015</v>
      </c>
      <c r="BR8" s="732" t="s">
        <v>458</v>
      </c>
      <c r="BS8" s="113"/>
      <c r="BT8" s="113"/>
      <c r="BU8" s="113"/>
      <c r="BV8" s="113"/>
      <c r="BW8" s="113"/>
    </row>
    <row r="9" spans="1:90" s="117" customFormat="1">
      <c r="A9" s="116"/>
      <c r="B9" s="95"/>
      <c r="C9" s="95"/>
      <c r="D9" s="95"/>
      <c r="I9" s="97"/>
      <c r="J9" s="95"/>
      <c r="K9" s="95"/>
      <c r="P9" s="97"/>
      <c r="Q9" s="95"/>
      <c r="R9" s="95"/>
      <c r="W9" s="97"/>
      <c r="X9" s="95"/>
      <c r="Y9" s="95"/>
      <c r="AD9" s="97"/>
      <c r="AE9" s="95"/>
      <c r="AF9" s="95"/>
      <c r="AK9" s="95"/>
      <c r="AL9" s="95"/>
      <c r="AM9" s="95"/>
      <c r="AN9" s="95"/>
      <c r="AO9" s="95"/>
      <c r="AP9" s="95"/>
      <c r="AQ9" s="95"/>
      <c r="AR9" s="95"/>
      <c r="AS9" s="95"/>
      <c r="AX9" s="95"/>
      <c r="AY9" s="95"/>
      <c r="AZ9" s="95"/>
      <c r="BA9" s="95"/>
      <c r="BB9" s="95"/>
      <c r="BC9" s="95"/>
      <c r="BD9" s="95"/>
      <c r="BE9" s="119"/>
      <c r="BF9" s="119"/>
      <c r="BG9" s="119"/>
      <c r="BH9" s="119"/>
      <c r="BI9" s="95"/>
      <c r="BJ9" s="119"/>
      <c r="BK9" s="119"/>
      <c r="BL9" s="119"/>
      <c r="BM9" s="119"/>
      <c r="BN9" s="119"/>
      <c r="BO9" s="119"/>
      <c r="BP9" s="119"/>
      <c r="BQ9" s="119"/>
      <c r="BR9" s="119"/>
      <c r="BS9" s="119"/>
      <c r="BU9" s="95"/>
      <c r="BV9" s="95"/>
      <c r="BW9" s="95"/>
    </row>
    <row r="10" spans="1:90" s="117" customFormat="1">
      <c r="B10" s="121" t="str">
        <f>_xll.ciqfunctions.udf.CIQ($BY10,"IQ_COMPANY_NAME")</f>
        <v>Fresenius Medical Care AG &amp; Co. KGaA</v>
      </c>
      <c r="C10" s="737">
        <f>_xll.ciqfunctions.udf.CIQ($BY10, "IQ_TOTAL_REV", "FY"&amp;C$8, $BW$2)</f>
        <v>21353.952929999999</v>
      </c>
      <c r="D10" s="737">
        <f>_xll.ciqfunctions.udf.CIQ($BY10, "IQ_TOTAL_REV", "FY"&amp;D$8, $BW$2)</f>
        <v>17491.51801</v>
      </c>
      <c r="E10" s="737">
        <f>_xll.ciqfunctions.udf.CIQ($BY10, "IQ_TOTAL_REV", "FY"&amp;E$8, $BW$2)</f>
        <v>16785.075219999999</v>
      </c>
      <c r="F10" s="737">
        <f>_xll.ciqfunctions.udf.CIQ($BY10, "IQ_TOTAL_REV", "FY"&amp;F$8, $BW$2)</f>
        <v>16134.26</v>
      </c>
      <c r="G10" s="737">
        <f>_xll.ciqfunctions.udf.CIQ($BY10, "IQ_TOTAL_REV", "FY"&amp;G$8, $BW$2)</f>
        <v>14894.375</v>
      </c>
      <c r="H10" s="751">
        <f>IFERROR((C10/G10)^(1/5)-1,"NM")</f>
        <v>7.4709776001959716E-2</v>
      </c>
      <c r="I10" s="735"/>
      <c r="J10" s="737">
        <f>_xll.ciqfunctions.udf.CIQ($BY10, "IQ_EBITDA", "FY"&amp;J$8, $BW$2)</f>
        <v>3639.1918799999999</v>
      </c>
      <c r="K10" s="737">
        <f>_xll.ciqfunctions.udf.CIQ($BY10, "IQ_EBITDA", "FY"&amp;K$8, $BW$2)</f>
        <v>3221.5760599999999</v>
      </c>
      <c r="L10" s="737">
        <f>_xll.ciqfunctions.udf.CIQ($BY10, "IQ_EBITDA", "FY"&amp;L$8, $BW$2)</f>
        <v>3043.6035900000002</v>
      </c>
      <c r="M10" s="737">
        <f>_xll.ciqfunctions.udf.CIQ($BY10, "IQ_EBITDA", "FY"&amp;M$8, $BW$2)</f>
        <v>2929.0230000000001</v>
      </c>
      <c r="N10" s="737">
        <f>_xll.ciqfunctions.udf.CIQ($BY10, "IQ_EBITDA", "FY"&amp;N$8, $BW$2)</f>
        <v>2878.3159999999998</v>
      </c>
      <c r="O10" s="751">
        <f>IFERROR((J10/N10)^(1/5)-1,"NM")</f>
        <v>4.802899135250871E-2</v>
      </c>
      <c r="P10" s="735"/>
      <c r="Q10" s="737">
        <f>_xll.ciqfunctions.udf.CIQ($BY10, "IQ_EBIT", "FY"&amp;Q$8, $BW$2)</f>
        <v>2756.0518699999998</v>
      </c>
      <c r="R10" s="737">
        <f>_xll.ciqfunctions.udf.CIQ($BY10, "IQ_EBIT", "FY"&amp;R$8, $BW$2)</f>
        <v>2481.01235</v>
      </c>
      <c r="S10" s="737">
        <f>_xll.ciqfunctions.udf.CIQ($BY10, "IQ_EBIT", "FY"&amp;S$8, $BW$2)</f>
        <v>2339.6481100000001</v>
      </c>
      <c r="T10" s="737">
        <f>_xll.ciqfunctions.udf.CIQ($BY10, "IQ_EBIT", "FY"&amp;T$8, $BW$2)</f>
        <v>2229.6950000000002</v>
      </c>
      <c r="U10" s="737">
        <f>_xll.ciqfunctions.udf.CIQ($BY10, "IQ_EBIT", "FY"&amp;U$8, $BW$2)</f>
        <v>2230.0909999999999</v>
      </c>
      <c r="V10" s="751">
        <f>IFERROR((Q10/U10)^(1/5)-1,"NM")</f>
        <v>4.3260970763487894E-2</v>
      </c>
      <c r="W10" s="735"/>
      <c r="X10" s="751">
        <f>_xll.ciqfunctions.udf.CIQ($BZ10, "IQ_TOTAL_REV_1YR_ANN_GROWTH", "FY"&amp;X$8, $BW$2)/100</f>
        <v>7.3257000000000003E-2</v>
      </c>
      <c r="Y10" s="751">
        <f>_xll.ciqfunctions.udf.CIQ($BZ10, "IQ_TOTAL_REV_1YR_ANN_GROWTH", "FY"&amp;Y$8, $BW$2)/100</f>
        <v>7.2135999999999992E-2</v>
      </c>
      <c r="Z10" s="751">
        <f>_xll.ciqfunctions.udf.CIQ($BZ10, "IQ_TOTAL_REV_1YR_ANN_GROWTH", "FY"&amp;Z$8, $BW$2)/100</f>
        <v>4.0336999999999998E-2</v>
      </c>
      <c r="AA10" s="751">
        <f>_xll.ciqfunctions.udf.CIQ($BZ10, "IQ_TOTAL_REV_1YR_ANN_GROWTH", "FY"&amp;AA$8, 'Trends for Comparables_Historic'!$BW$2)/100</f>
        <v>8.3245E-2</v>
      </c>
      <c r="AB10" s="751">
        <f>_xll.ciqfunctions.udf.CIQ($BZ10, "IQ_TOTAL_REV_1YR_ANN_GROWTH", "FY"&amp;AB$8,$BW$2)/100</f>
        <v>5.7790000000000001E-2</v>
      </c>
      <c r="AC10" s="752">
        <f>AVERAGE(X10:AB10)</f>
        <v>6.5353000000000008E-2</v>
      </c>
      <c r="AD10" s="735"/>
      <c r="AE10" s="751">
        <f>IFERROR(_xll.ciqfunctions.udf.CIQ($BZ10, "IQ_EBITDA_1YR_ANN_GROWTH", "FY"&amp;AE$8, $BW$2)/100,"NM")</f>
        <v>-6.9080000000000001E-3</v>
      </c>
      <c r="AF10" s="751">
        <f>IFERROR(_xll.ciqfunctions.udf.CIQ($BZ10, "IQ_EBITDA_1YR_ANN_GROWTH", "FY"&amp;AF$8, $BW$2)/100,"NM")</f>
        <v>8.8994999999999991E-2</v>
      </c>
      <c r="AG10" s="751">
        <f>IFERROR(_xll.ciqfunctions.udf.CIQ($BZ10, "IQ_EBITDA_1YR_ANN_GROWTH", "FY"&amp;AG$8, $BW$2)/100,"NM")</f>
        <v>3.9119000000000001E-2</v>
      </c>
      <c r="AH10" s="751">
        <f>IFERROR(_xll.ciqfunctions.udf.CIQ($BZ10, "IQ_EBITDA_1YR_ANN_GROWTH", "FY"&amp;AH$8, $BW$2)/100,"NM")</f>
        <v>1.7616E-2</v>
      </c>
      <c r="AI10" s="751">
        <f>IFERROR(_xll.ciqfunctions.udf.CIQ($BZ10, "IQ_EBITDA_1YR_ANN_GROWTH", "FY"&amp;AI$8, $BW$2)/100,"NM")</f>
        <v>3.9927999999999998E-2</v>
      </c>
      <c r="AJ10" s="752">
        <f>AVERAGE(AE10:AI10)</f>
        <v>3.5749999999999997E-2</v>
      </c>
      <c r="AK10" s="735"/>
      <c r="AL10" s="751">
        <f>IFERROR(_xll.ciqfunctions.udf.CIQ($BZ10, "IQ_EBITDA_MARGIN", "FY"&amp;AL$8, 'Trends for Comparables_Historic'!$BW$2, "LFR", $BW$3, $BW$4, $BW$5)/100,"NM")</f>
        <v>0.17042200000000002</v>
      </c>
      <c r="AM10" s="751">
        <f>IFERROR(_xll.ciqfunctions.udf.CIQ($BZ10, "IQ_EBITDA_MARGIN", "FY"&amp;AM$8, 'Trends for Comparables_Historic'!$BW$2, "LFR", $BW$3, $BW$4, $BW$5)/100,"NM")</f>
        <v>0.18417899999999998</v>
      </c>
      <c r="AN10" s="751">
        <f>IFERROR(_xll.ciqfunctions.udf.CIQ($BZ10, "IQ_EBITDA_MARGIN", "FY"&amp;AN$8, 'Trends for Comparables_Historic'!$BW$2, "LFR", $BW$3, $BW$4, $BW$5)/100,"NM")</f>
        <v>0.18132699999999999</v>
      </c>
      <c r="AO10" s="751">
        <f>IFERROR(_xll.ciqfunctions.udf.CIQ($BZ10, "IQ_EBITDA_MARGIN", "FY"&amp;AO$8, 'Trends for Comparables_Historic'!$BW$2, "LFR", $BW$3, $BW$4, $BW$5)/100,"NM")</f>
        <v>0.18154000000000001</v>
      </c>
      <c r="AP10" s="751">
        <f>_xll.ciqfunctions.udf.CIQ($BZ10, "IQ_EBITDA_MARGIN", "FY"&amp;AP$8, 'Trends for Comparables_Historic'!$BW$2, "LFR", $BW$3, $BW$4, $BW$5)/100</f>
        <v>0.193248</v>
      </c>
      <c r="AQ10" s="736"/>
      <c r="AR10" s="751">
        <f>IFERROR(_xll.ciqfunctions.udf.CIQ($BZ10, "IQ_EBIT_1YR_ANN_GROWTH", "FY"&amp;AR$8, $BW$2)/100,"NM")</f>
        <v>-2.3412000000000002E-2</v>
      </c>
      <c r="AS10" s="751">
        <f>IFERROR(_xll.ciqfunctions.udf.CIQ($BZ10, "IQ_EBIT_1YR_ANN_GROWTH", "FY"&amp;AS$8, $BW$2)/100,"NM")</f>
        <v>9.0997999999999996E-2</v>
      </c>
      <c r="AT10" s="751">
        <f>IFERROR(_xll.ciqfunctions.udf.CIQ($BZ10, "IQ_EBIT_1YR_ANN_GROWTH", "FY"&amp;AT$8, $BW$2)/100,"NM")</f>
        <v>4.9313000000000003E-2</v>
      </c>
      <c r="AU10" s="751">
        <f>_xll.ciqfunctions.udf.CIQ($BZ10, "IQ_EBIT_1YR_ANN_GROWTH", "FY"&amp;AU$8, $BW$2)/100</f>
        <v>-1.7799999999999999E-4</v>
      </c>
      <c r="AV10" s="751">
        <f>_xll.ciqfunctions.udf.CIQ($BZ10, "IQ_EBIT_1YR_ANN_GROWTH", "FY"&amp;AV$8, $BW$2)/100</f>
        <v>3.0109E-2</v>
      </c>
      <c r="AW10" s="752">
        <f>AVERAGE(AR10:AV10)</f>
        <v>2.9366000000000003E-2</v>
      </c>
      <c r="AX10" s="735"/>
      <c r="AY10" s="751">
        <f>(_xll.ciqfunctions.udf.CIQ($BZ10,"IQ_EBIT_MARGIN","FY"&amp;AY$8,'Trends for Comparables_Historic'!$BW$2,"LFR",$BW$3,$BW$4,$BW$5)/100)</f>
        <v>0.12906499999999999</v>
      </c>
      <c r="AZ10" s="751">
        <f>(_xll.ciqfunctions.udf.CIQ($BZ10,"IQ_EBIT_MARGIN","FY"&amp;AZ$8,'Trends for Comparables_Historic'!$BW$2,"LFR",$BW$3,$BW$4,$BW$5)/100)</f>
        <v>0.14183999999999999</v>
      </c>
      <c r="BA10" s="751">
        <f>(_xll.ciqfunctions.udf.CIQ($BZ10,"IQ_EBIT_MARGIN","FY"&amp;BA$8,'Trends for Comparables_Historic'!$BW$2,"LFR",$BW$3,$BW$4,$BW$5)/100)</f>
        <v>0.13938800000000001</v>
      </c>
      <c r="BB10" s="751">
        <f>_xll.ciqfunctions.udf.CIQ($BZ10,"IQ_EBIT_MARGIN","FY"&amp;BB$8,'Trends for Comparables_Historic'!$BW$2,"LFR",$BW$3,$BW$4,$BW$5)/100</f>
        <v>0.13819599999999999</v>
      </c>
      <c r="BC10" s="751">
        <f>_xll.ciqfunctions.udf.CIQ($BZ10,"IQ_EBIT_MARGIN","FY"&amp;BC$8,'Trends for Comparables_Historic'!$BW$2,"LFR",$BW$3,$BW$4,$BW$5)/100</f>
        <v>0.149727</v>
      </c>
      <c r="BD10" s="736"/>
      <c r="BE10" s="737">
        <f>_xll.ciqfunctions.udf.CIQ($BZ10, "IQ_DAYS_SALES_OUT", "FY"&amp;BE$8, $BW$2)</f>
        <v>73.305139999999994</v>
      </c>
      <c r="BF10" s="737">
        <f>_xll.ciqfunctions.udf.CIQ($BZ10, "IQ_DAYS_SALES_OUT", "FY"&amp;BF$8, $BW$2)</f>
        <v>77.608099999999993</v>
      </c>
      <c r="BG10" s="737">
        <f>_xll.ciqfunctions.udf.CIQ($BZ10, "IQ_DAYS_SALES_OUT", "FY"&amp;BG$8, $BW$2)</f>
        <v>77.709599999999995</v>
      </c>
      <c r="BH10" s="737">
        <f>AVERAGE(BE10:BG10)</f>
        <v>76.207613333333327</v>
      </c>
      <c r="BI10" s="736"/>
      <c r="BJ10" s="737">
        <f>IF(_xll.ciqfunctions.udf.CIQ($BZ10, "IQ_DAYS_INVENTORY_OUT", "FY"&amp;BJ$8, $BW$2)=0,"N/A",_xll.ciqfunctions.udf.CIQ($BZ10, "IQ_DAYS_INVENTORY_OUT", "FY"&amp;BJ$8, $BW$2))</f>
        <v>40.718310000000002</v>
      </c>
      <c r="BK10" s="737">
        <f>IF(_xll.ciqfunctions.udf.CIQ($BZ10, "IQ_DAYS_INVENTORY_OUT", "FY"&amp;BK$8, $BW$2)=0,"N/A",_xll.ciqfunctions.udf.CIQ($BZ10, "IQ_DAYS_INVENTORY_OUT", "FY"&amp;BK$8, $BW$2))</f>
        <v>42.968769999999999</v>
      </c>
      <c r="BL10" s="737">
        <f>IF(_xll.ciqfunctions.udf.CIQ($BZ10, "IQ_DAYS_INVENTORY_OUT", "FY"&amp;BL$8, $BW$2)=0,"N/A",_xll.ciqfunctions.udf.CIQ($BZ10, "IQ_DAYS_INVENTORY_OUT", "FY"&amp;BL$8, $BW$2))</f>
        <v>40.159489999999998</v>
      </c>
      <c r="BM10" s="737">
        <f>IFERROR(AVERAGE(BJ10:BL10),"NM")</f>
        <v>41.282190000000007</v>
      </c>
      <c r="BN10" s="737"/>
      <c r="BO10" s="737">
        <f>_xll.ciqfunctions.udf.CIQ($BZ10, "IQ_DAYS_PAYABLE_OUT", "FY"&amp;BO$8, $BW$2)</f>
        <v>24.53603</v>
      </c>
      <c r="BP10" s="737">
        <f>_xll.ciqfunctions.udf.CIQ($BZ10, "IQ_DAYS_PAYABLE_OUT", "FY"&amp;BP$8, $BW$2)</f>
        <v>25.796050000000001</v>
      </c>
      <c r="BQ10" s="737">
        <f>_xll.ciqfunctions.udf.CIQ($BZ10, "IQ_DAYS_PAYABLE_OUT", "FY"&amp;BQ$8, $BW$2)</f>
        <v>23.95532</v>
      </c>
      <c r="BR10" s="737">
        <f>AVERAGE(BO10:BQ10)</f>
        <v>24.762466666666668</v>
      </c>
      <c r="BS10" s="133"/>
      <c r="BU10" s="214"/>
      <c r="BV10" s="214"/>
      <c r="BW10" s="214"/>
      <c r="BY10" s="117" t="str">
        <f>'E1'!AZ10</f>
        <v>XTRA:FME</v>
      </c>
      <c r="BZ10" s="733" t="str">
        <f>_xll.ciqfunctions.udf.CIQ(BY10, "IQ_COMPANY_ID")</f>
        <v>IQ384522</v>
      </c>
      <c r="CB10" s="621">
        <f>AZ10/$AY10</f>
        <v>1.0989811335373649</v>
      </c>
      <c r="CC10" s="621">
        <f>BA10/$AY10</f>
        <v>1.0799829543253401</v>
      </c>
    </row>
    <row r="11" spans="1:90" s="117" customFormat="1">
      <c r="B11" s="121" t="str">
        <f>_xll.ciqfunctions.udf.CIQ($BY11,"IQ_COMPANY_NAME")</f>
        <v>Fresenius SE &amp; Co. KGaA</v>
      </c>
      <c r="C11" s="737">
        <f>_xll.ciqfunctions.udf.CIQ($BY11, "IQ_TOTAL_REV", "FY"&amp;C$8, $BW$2)</f>
        <v>40689.241119999999</v>
      </c>
      <c r="D11" s="737">
        <f>_xll.ciqfunctions.udf.CIQ($BY11, "IQ_TOTAL_REV", "FY"&amp;D$8, $BW$2)</f>
        <v>31110.524659999999</v>
      </c>
      <c r="E11" s="737">
        <f>_xll.ciqfunctions.udf.CIQ($BY11, "IQ_TOTAL_REV", "FY"&amp;E$8, $BW$2)</f>
        <v>30003.80126</v>
      </c>
      <c r="F11" s="737">
        <f>_xll.ciqfunctions.udf.CIQ($BY11, "IQ_TOTAL_REV", "FY"&amp;F$8, $BW$2)</f>
        <v>28119.59088</v>
      </c>
      <c r="G11" s="737">
        <f>_xll.ciqfunctions.udf.CIQ($BY11, "IQ_TOTAL_REV", "FY"&amp;G$8, $BW$2)</f>
        <v>27998.347450000001</v>
      </c>
      <c r="H11" s="751">
        <f>IFERROR((C11/G11)^(1/5)-1,"NM")</f>
        <v>7.762941719967742E-2</v>
      </c>
      <c r="I11" s="735"/>
      <c r="J11" s="737">
        <f>_xll.ciqfunctions.udf.CIQ($BY11, "IQ_EBITDA", "FY"&amp;J$8, $BW$2)</f>
        <v>7072.5264200000001</v>
      </c>
      <c r="K11" s="737">
        <f>_xll.ciqfunctions.udf.CIQ($BY11, "IQ_EBITDA", "FY"&amp;K$8, $BW$2)</f>
        <v>5721.5243300000002</v>
      </c>
      <c r="L11" s="737">
        <f>_xll.ciqfunctions.udf.CIQ($BY11, "IQ_EBITDA", "FY"&amp;L$8, $BW$2)</f>
        <v>5376.05213</v>
      </c>
      <c r="M11" s="737">
        <f>_xll.ciqfunctions.udf.CIQ($BY11, "IQ_EBITDA", "FY"&amp;M$8, $BW$2)</f>
        <v>4864.7340100000001</v>
      </c>
      <c r="N11" s="737">
        <f>_xll.ciqfunctions.udf.CIQ($BY11, "IQ_EBITDA", "FY"&amp;N$8, $BW$2)</f>
        <v>5279.90085</v>
      </c>
      <c r="O11" s="751">
        <f>IFERROR((J11/N11)^(1/5)-1,"NM")</f>
        <v>6.0204790586358081E-2</v>
      </c>
      <c r="P11" s="735"/>
      <c r="Q11" s="737">
        <f>_xll.ciqfunctions.udf.CIQ($BY11, "IQ_EBIT", "FY"&amp;Q$8, $BW$2)</f>
        <v>5455.0912600000001</v>
      </c>
      <c r="R11" s="737">
        <f>_xll.ciqfunctions.udf.CIQ($BY11, "IQ_EBIT", "FY"&amp;R$8, $BW$2)</f>
        <v>4506.4921400000003</v>
      </c>
      <c r="S11" s="737">
        <f>_xll.ciqfunctions.udf.CIQ($BY11, "IQ_EBIT", "FY"&amp;S$8, $BW$2)</f>
        <v>4208.5256600000002</v>
      </c>
      <c r="T11" s="737">
        <f>_xll.ciqfunctions.udf.CIQ($BY11, "IQ_EBIT", "FY"&amp;T$8, $BW$2)</f>
        <v>3769.2912900000001</v>
      </c>
      <c r="U11" s="737">
        <f>_xll.ciqfunctions.udf.CIQ($BY11, "IQ_EBIT", "FY"&amp;U$8, $BW$2)</f>
        <v>4118.9836800000003</v>
      </c>
      <c r="V11" s="751">
        <f>IFERROR((Q11/U11)^(1/5)-1,"NM")</f>
        <v>5.7797143347868341E-2</v>
      </c>
      <c r="W11" s="735"/>
      <c r="X11" s="751">
        <f>_xll.ciqfunctions.udf.CIQ($BZ11, "IQ_TOTAL_REV_1YR_ANN_GROWTH", "FY"&amp;X$8, $BW$2)/100</f>
        <v>0.149808</v>
      </c>
      <c r="Y11" s="751">
        <f>_xll.ciqfunctions.udf.CIQ($BZ11, "IQ_TOTAL_REV_1YR_ANN_GROWTH", "FY"&amp;Y$8, $BW$2)/100</f>
        <v>6.6783999999999996E-2</v>
      </c>
      <c r="Z11" s="751">
        <f>_xll.ciqfunctions.udf.CIQ($BZ11, "IQ_TOTAL_REV_1YR_ANN_GROWTH", "FY"&amp;Z$8, $BW$2)/100</f>
        <v>0.18918600000000002</v>
      </c>
      <c r="AA11" s="751">
        <f>_xll.ciqfunctions.udf.CIQ($BZ11, "IQ_TOTAL_REV_1YR_ANN_GROWTH", "FY"&amp;AA$8, 'Trends for Comparables_Historic'!$BW$2)/100</f>
        <v>0.14263899999999999</v>
      </c>
      <c r="AB11" s="751">
        <f>_xll.ciqfunctions.udf.CIQ($BZ11, "IQ_TOTAL_REV_1YR_ANN_GROWTH", "FY"&amp;AB$8,$BW$2)/100</f>
        <v>4.2187000000000002E-2</v>
      </c>
      <c r="AC11" s="752">
        <f>AVERAGE(X11:AB11)</f>
        <v>0.1181208</v>
      </c>
      <c r="AD11" s="735"/>
      <c r="AE11" s="751">
        <f>IFERROR(_xll.ciqfunctions.udf.CIQ($BZ11, "IQ_EBITDA_1YR_ANN_GROWTH", "FY"&amp;AE$8, $BW$2)/100,"NM")</f>
        <v>8.6715E-2</v>
      </c>
      <c r="AF11" s="751">
        <f>IFERROR(_xll.ciqfunctions.udf.CIQ($BZ11, "IQ_EBITDA_1YR_ANN_GROWTH", "FY"&amp;AF$8, $BW$2)/100,"NM")</f>
        <v>9.4948999999999992E-2</v>
      </c>
      <c r="AG11" s="751">
        <f>IFERROR(_xll.ciqfunctions.udf.CIQ($BZ11, "IQ_EBITDA_1YR_ANN_GROWTH", "FY"&amp;AG$8, $BW$2)/100,"NM")</f>
        <v>0.23164899999999999</v>
      </c>
      <c r="AH11" s="751">
        <f>IFERROR(_xll.ciqfunctions.udf.CIQ($BZ11, "IQ_EBITDA_1YR_ANN_GROWTH", "FY"&amp;AH$8, $BW$2)/100,"NM")</f>
        <v>4.8251999999999996E-2</v>
      </c>
      <c r="AI11" s="751">
        <f>IFERROR(_xll.ciqfunctions.udf.CIQ($BZ11, "IQ_EBITDA_1YR_ANN_GROWTH", "FY"&amp;AI$8, $BW$2)/100,"NM")</f>
        <v>1.5898000000000002E-2</v>
      </c>
      <c r="AJ11" s="752">
        <f>AVERAGE(AE11:AI11)</f>
        <v>9.5492600000000011E-2</v>
      </c>
      <c r="AK11" s="735"/>
      <c r="AL11" s="751">
        <f>IFERROR(_xll.ciqfunctions.udf.CIQ($BZ11, "IQ_EBITDA_MARGIN", "FY"&amp;AL$8, 'Trends for Comparables_Historic'!$BW$2, "LFR", $BW$3, $BW$4, $BW$5)/100,"NM")</f>
        <v>0.17381799999999997</v>
      </c>
      <c r="AM11" s="751">
        <f>IFERROR(_xll.ciqfunctions.udf.CIQ($BZ11, "IQ_EBITDA_MARGIN", "FY"&amp;AM$8, 'Trends for Comparables_Historic'!$BW$2, "LFR", $BW$3, $BW$4, $BW$5)/100,"NM")</f>
        <v>0.18390899999999999</v>
      </c>
      <c r="AN11" s="751">
        <f>IFERROR(_xll.ciqfunctions.udf.CIQ($BZ11, "IQ_EBITDA_MARGIN", "FY"&amp;AN$8, 'Trends for Comparables_Historic'!$BW$2, "LFR", $BW$3, $BW$4, $BW$5)/100,"NM")</f>
        <v>0.179179</v>
      </c>
      <c r="AO11" s="751">
        <f>IFERROR(_xll.ciqfunctions.udf.CIQ($BZ11, "IQ_EBITDA_MARGIN", "FY"&amp;AO$8, 'Trends for Comparables_Historic'!$BW$2, "LFR", $BW$3, $BW$4, $BW$5)/100,"NM")</f>
        <v>0.17300100000000002</v>
      </c>
      <c r="AP11" s="751">
        <f>_xll.ciqfunctions.udf.CIQ($BZ11, "IQ_EBITDA_MARGIN", "FY"&amp;AP$8, 'Trends for Comparables_Historic'!$BW$2, "LFR", $BW$3, $BW$4, $BW$5)/100</f>
        <v>0.188579</v>
      </c>
      <c r="AQ11" s="736"/>
      <c r="AR11" s="751">
        <f>IFERROR(_xll.ciqfunctions.udf.CIQ($BZ11, "IQ_EBIT_1YR_ANN_GROWTH", "FY"&amp;AR$8, $BW$2)/100,"NM")</f>
        <v>6.4183000000000004E-2</v>
      </c>
      <c r="AS11" s="751">
        <f>IFERROR(_xll.ciqfunctions.udf.CIQ($BZ11, "IQ_EBIT_1YR_ANN_GROWTH", "FY"&amp;AS$8, $BW$2)/100,"NM")</f>
        <v>0.101677</v>
      </c>
      <c r="AT11" s="751">
        <f>IFERROR(_xll.ciqfunctions.udf.CIQ($BZ11, "IQ_EBIT_1YR_ANN_GROWTH", "FY"&amp;AT$8, $BW$2)/100,"NM")</f>
        <v>0.24437999999999999</v>
      </c>
      <c r="AU11" s="751">
        <f>_xll.ciqfunctions.udf.CIQ($BZ11, "IQ_EBIT_1YR_ANN_GROWTH", "FY"&amp;AU$8, $BW$2)/100</f>
        <v>4.1123E-2</v>
      </c>
      <c r="AV11" s="751">
        <f>_xll.ciqfunctions.udf.CIQ($BZ11, "IQ_EBIT_1YR_ANN_GROWTH", "FY"&amp;AV$8, $BW$2)/100</f>
        <v>-2.3350000000000003E-3</v>
      </c>
      <c r="AW11" s="752">
        <f>AVERAGE(AR11:AV11)</f>
        <v>8.9805600000000013E-2</v>
      </c>
      <c r="AX11" s="735"/>
      <c r="AY11" s="751">
        <f>(_xll.ciqfunctions.udf.CIQ($BZ11,"IQ_EBIT_MARGIN","FY"&amp;AY$8,'Trends for Comparables_Historic'!$BW$2,"LFR",$BW$3,$BW$4,$BW$5)/100)</f>
        <v>0.13406700000000002</v>
      </c>
      <c r="AZ11" s="751">
        <f>(_xll.ciqfunctions.udf.CIQ($BZ11,"IQ_EBIT_MARGIN","FY"&amp;AZ$8,'Trends for Comparables_Historic'!$BW$2,"LFR",$BW$3,$BW$4,$BW$5)/100)</f>
        <v>0.14485400000000001</v>
      </c>
      <c r="BA11" s="751">
        <f>(_xll.ciqfunctions.udf.CIQ($BZ11,"IQ_EBIT_MARGIN","FY"&amp;BA$8,'Trends for Comparables_Historic'!$BW$2,"LFR",$BW$3,$BW$4,$BW$5)/100)</f>
        <v>0.140266</v>
      </c>
      <c r="BB11" s="751">
        <f>_xll.ciqfunctions.udf.CIQ($BZ11,"IQ_EBIT_MARGIN","FY"&amp;BB$8,'Trends for Comparables_Historic'!$BW$2,"LFR",$BW$3,$BW$4,$BW$5)/100</f>
        <v>0.134045</v>
      </c>
      <c r="BC11" s="751">
        <f>_xll.ciqfunctions.udf.CIQ($BZ11,"IQ_EBIT_MARGIN","FY"&amp;BC$8,'Trends for Comparables_Historic'!$BW$2,"LFR",$BW$3,$BW$4,$BW$5)/100</f>
        <v>0.147115</v>
      </c>
      <c r="BD11" s="736"/>
      <c r="BE11" s="737">
        <f>_xll.ciqfunctions.udf.CIQ($BZ11, "IQ_DAYS_SALES_OUT", "FY"&amp;BE$8, $BW$2)</f>
        <v>62.005470000000003</v>
      </c>
      <c r="BF11" s="737">
        <f>_xll.ciqfunctions.udf.CIQ($BZ11, "IQ_DAYS_SALES_OUT", "FY"&amp;BF$8, $BW$2)</f>
        <v>62.082380000000001</v>
      </c>
      <c r="BG11" s="737">
        <f>_xll.ciqfunctions.udf.CIQ($BZ11, "IQ_DAYS_SALES_OUT", "FY"&amp;BG$8, $BW$2)</f>
        <v>60.37283</v>
      </c>
      <c r="BH11" s="737">
        <f>AVERAGE(BE11:BG11)</f>
        <v>61.486893333333335</v>
      </c>
      <c r="BI11" s="736"/>
      <c r="BJ11" s="737">
        <f>IF(_xll.ciqfunctions.udf.CIQ($BZ11, "IQ_DAYS_INVENTORY_OUT", "FY"&amp;BJ$8, $BW$2)=0,"N/A",_xll.ciqfunctions.udf.CIQ($BZ11, "IQ_DAYS_INVENTORY_OUT", "FY"&amp;BJ$8, $BW$2))</f>
        <v>50.212690000000002</v>
      </c>
      <c r="BK11" s="737">
        <f>IF(_xll.ciqfunctions.udf.CIQ($BZ11, "IQ_DAYS_INVENTORY_OUT", "FY"&amp;BK$8, $BW$2)=0,"N/A",_xll.ciqfunctions.udf.CIQ($BZ11, "IQ_DAYS_INVENTORY_OUT", "FY"&amp;BK$8, $BW$2))</f>
        <v>55.464739999999999</v>
      </c>
      <c r="BL11" s="737">
        <f>IF(_xll.ciqfunctions.udf.CIQ($BZ11, "IQ_DAYS_INVENTORY_OUT", "FY"&amp;BL$8, $BW$2)=0,"N/A",_xll.ciqfunctions.udf.CIQ($BZ11, "IQ_DAYS_INVENTORY_OUT", "FY"&amp;BL$8, $BW$2))</f>
        <v>49.63964</v>
      </c>
      <c r="BM11" s="737">
        <f>IFERROR(AVERAGE(BJ11:BL11),"NM")</f>
        <v>51.772356666666667</v>
      </c>
      <c r="BN11" s="737"/>
      <c r="BO11" s="737">
        <f>_xll.ciqfunctions.udf.CIQ($BZ11, "IQ_DAYS_PAYABLE_OUT", "FY"&amp;BO$8, $BW$2)</f>
        <v>23.34796</v>
      </c>
      <c r="BP11" s="737">
        <f>_xll.ciqfunctions.udf.CIQ($BZ11, "IQ_DAYS_PAYABLE_OUT", "FY"&amp;BP$8, $BW$2)</f>
        <v>23.507449999999999</v>
      </c>
      <c r="BQ11" s="737">
        <f>_xll.ciqfunctions.udf.CIQ($BZ11, "IQ_DAYS_PAYABLE_OUT", "FY"&amp;BQ$8, $BW$2)</f>
        <v>21.794879999999999</v>
      </c>
      <c r="BR11" s="737">
        <f>AVERAGE(BO11:BQ11)</f>
        <v>22.883430000000001</v>
      </c>
      <c r="BS11" s="133"/>
      <c r="BU11" s="214"/>
      <c r="BV11" s="214"/>
      <c r="BW11" s="214"/>
      <c r="BY11" s="117" t="str">
        <f>'E1'!AZ11</f>
        <v>DB:FRE</v>
      </c>
      <c r="BZ11" s="733" t="str">
        <f>_xll.ciqfunctions.udf.CIQ(BY11, "IQ_COMPANY_ID")</f>
        <v>IQ879555</v>
      </c>
      <c r="CB11" s="621">
        <f t="shared" ref="CB11:CC14" si="0">AZ11/$AY11</f>
        <v>1.0804597701149425</v>
      </c>
      <c r="CC11" s="621">
        <f t="shared" si="0"/>
        <v>1.0462380749923543</v>
      </c>
    </row>
    <row r="12" spans="1:90" s="117" customFormat="1">
      <c r="B12" s="121" t="str">
        <f>_xll.ciqfunctions.udf.CIQ($BY12,"IQ_COMPANY_NAME")</f>
        <v>DaVita Inc.</v>
      </c>
      <c r="C12" s="737">
        <f>_xll.ciqfunctions.udf.CIQ($BY12, "IQ_TOTAL_REV", "FY"&amp;C$8, $BW$2)</f>
        <v>10883.666999999999</v>
      </c>
      <c r="D12" s="737">
        <f>_xll.ciqfunctions.udf.CIQ($BY12, "IQ_TOTAL_REV", "FY"&amp;D$8, $BW$2)</f>
        <v>10695.79</v>
      </c>
      <c r="E12" s="737">
        <f>_xll.ciqfunctions.udf.CIQ($BY12, "IQ_TOTAL_REV", "FY"&amp;E$8, $BW$2)</f>
        <v>9973.0049999999992</v>
      </c>
      <c r="F12" s="737">
        <f>_xll.ciqfunctions.udf.CIQ($BY12, "IQ_TOTAL_REV", "FY"&amp;F$8, $BW$2)</f>
        <v>12780.653</v>
      </c>
      <c r="G12" s="737">
        <f>_xll.ciqfunctions.udf.CIQ($BY12, "IQ_TOTAL_REV", "FY"&amp;G$8, $BW$2)</f>
        <v>11759.198</v>
      </c>
      <c r="H12" s="751">
        <f>IFERROR((C12/G12)^(1/5)-1,"NM")</f>
        <v>-1.5355388632591893E-2</v>
      </c>
      <c r="I12" s="735"/>
      <c r="J12" s="737">
        <f>_xll.ciqfunctions.udf.CIQ($BY12, "IQ_EBITDA", "FY"&amp;J$8, $BW$2)</f>
        <v>2408.9569999999999</v>
      </c>
      <c r="K12" s="737">
        <f>_xll.ciqfunctions.udf.CIQ($BY12, "IQ_EBITDA", "FY"&amp;K$8, $BW$2)</f>
        <v>2401.89</v>
      </c>
      <c r="L12" s="737">
        <f>_xll.ciqfunctions.udf.CIQ($BY12, "IQ_EBITDA", "FY"&amp;L$8, $BW$2)</f>
        <v>2259.6060000000002</v>
      </c>
      <c r="M12" s="737">
        <f>_xll.ciqfunctions.udf.CIQ($BY12, "IQ_EBITDA", "FY"&amp;M$8, $BW$2)</f>
        <v>2398.0439999999999</v>
      </c>
      <c r="N12" s="737">
        <f>_xll.ciqfunctions.udf.CIQ($BY12, "IQ_EBITDA", "FY"&amp;N$8, $BW$2)</f>
        <v>2382.2710000000002</v>
      </c>
      <c r="O12" s="751">
        <f>IFERROR((J12/N12)^(1/5)-1,"NM")</f>
        <v>2.230411543477695E-3</v>
      </c>
      <c r="P12" s="735"/>
      <c r="Q12" s="737">
        <f>_xll.ciqfunctions.udf.CIQ($BY12, "IQ_EBIT", "FY"&amp;Q$8, $BW$2)</f>
        <v>1631.675</v>
      </c>
      <c r="R12" s="737">
        <f>_xll.ciqfunctions.udf.CIQ($BY12, "IQ_EBIT", "FY"&amp;R$8, $BW$2)</f>
        <v>1681.87</v>
      </c>
      <c r="S12" s="737">
        <f>_xll.ciqfunctions.udf.CIQ($BY12, "IQ_EBIT", "FY"&amp;S$8, $BW$2)</f>
        <v>1621.913</v>
      </c>
      <c r="T12" s="737">
        <f>_xll.ciqfunctions.udf.CIQ($BY12, "IQ_EBIT", "FY"&amp;T$8, $BW$2)</f>
        <v>1808.9069999999999</v>
      </c>
      <c r="U12" s="737">
        <f>_xll.ciqfunctions.udf.CIQ($BY12, "IQ_EBIT", "FY"&amp;U$8, $BW$2)</f>
        <v>1855.5989999999999</v>
      </c>
      <c r="V12" s="751">
        <f>IFERROR((Q12/U12)^(1/5)-1,"NM")</f>
        <v>-2.5392148116877733E-2</v>
      </c>
      <c r="W12" s="735"/>
      <c r="X12" s="751">
        <f>_xll.ciqfunctions.udf.CIQ($BZ12, "IQ_TOTAL_REV_1YR_ANN_GROWTH", "FY"&amp;X$8, $BW$2)/100</f>
        <v>1.7565000000000001E-2</v>
      </c>
      <c r="Y12" s="751">
        <f>_xll.ciqfunctions.udf.CIQ($BZ12, "IQ_TOTAL_REV_1YR_ANN_GROWTH", "FY"&amp;Y$8, $BW$2)/100</f>
        <v>7.2473999999999997E-2</v>
      </c>
      <c r="Z12" s="751">
        <f>_xll.ciqfunctions.udf.CIQ($BZ12, "IQ_TOTAL_REV_1YR_ANN_GROWTH", "FY"&amp;Z$8, $BW$2)/100</f>
        <v>-0.21967999999999999</v>
      </c>
      <c r="AA12" s="751">
        <f>_xll.ciqfunctions.udf.CIQ($BZ12,"IQ_TOTAL_REV_1YR_ANN_GROWTH","FY"&amp;AA$8,'Trends for Comparables_Historic'!$BW$2)/100</f>
        <v>8.6864000000000011E-2</v>
      </c>
      <c r="AB12" s="751">
        <f>_xll.ciqfunctions.udf.CIQ($BZ12, "IQ_TOTAL_REV_1YR_ANN_GROWTH", "FY"&amp;AB$8,$BW$2)/100</f>
        <v>0.43721300000000002</v>
      </c>
      <c r="AC12" s="752">
        <f>AVERAGE(X12:AB12)</f>
        <v>7.8887200000000005E-2</v>
      </c>
      <c r="AD12" s="735"/>
      <c r="AE12" s="751">
        <f>IFERROR(_xll.ciqfunctions.udf.CIQ($BZ12, "IQ_EBITDA_1YR_ANN_GROWTH", "FY"&amp;AE$8, $BW$2)/100,"NM")</f>
        <v>2.9420000000000002E-3</v>
      </c>
      <c r="AF12" s="751">
        <f>IFERROR(_xll.ciqfunctions.udf.CIQ($BZ12, "IQ_EBITDA_1YR_ANN_GROWTH", "FY"&amp;AF$8, $BW$2)/100,"NM")</f>
        <v>6.2967999999999996E-2</v>
      </c>
      <c r="AG12" s="751">
        <f>IFERROR(_xll.ciqfunctions.udf.CIQ($BZ12, "IQ_EBITDA_1YR_ANN_GROWTH", "FY"&amp;AG$8, $BW$2)/100,"NM")</f>
        <v>-5.7729999999999997E-2</v>
      </c>
      <c r="AH12" s="751">
        <f>IFERROR(_xll.ciqfunctions.udf.CIQ($BZ12, "IQ_EBITDA_1YR_ANN_GROWTH", "FY"&amp;AH$8, $BW$2)/100,"NM")</f>
        <v>6.62E-3</v>
      </c>
      <c r="AI12" s="751">
        <f>IFERROR(_xll.ciqfunctions.udf.CIQ($BZ12, "IQ_EBITDA_1YR_ANN_GROWTH", "FY"&amp;AI$8, $BW$2)/100,"NM")</f>
        <v>0.36817300000000003</v>
      </c>
      <c r="AJ12" s="752">
        <f>AVERAGE(AE12:AI12)</f>
        <v>7.6594599999999999E-2</v>
      </c>
      <c r="AK12" s="735"/>
      <c r="AL12" s="751">
        <f>IFERROR(_xll.ciqfunctions.udf.CIQ($BZ12, "IQ_EBITDA_MARGIN", "FY"&amp;AL$8, 'Trends for Comparables_Historic'!$BW$2, "LFR", $BW$3, $BW$4, $BW$5)/100,"NM")</f>
        <v>0.221336</v>
      </c>
      <c r="AM12" s="751">
        <f>IFERROR(_xll.ciqfunctions.udf.CIQ($BZ12, "IQ_EBITDA_MARGIN", "FY"&amp;AM$8, 'Trends for Comparables_Historic'!$BW$2, "LFR", $BW$3, $BW$4, $BW$5)/100,"NM")</f>
        <v>0.22456399999999999</v>
      </c>
      <c r="AN12" s="751">
        <f>IFERROR(_xll.ciqfunctions.udf.CIQ($BZ12, "IQ_EBITDA_MARGIN", "FY"&amp;AN$8, 'Trends for Comparables_Historic'!$BW$2, "LFR", $BW$3, $BW$4, $BW$5)/100,"NM")</f>
        <v>0.226572</v>
      </c>
      <c r="AO12" s="751">
        <f>_xll.ciqfunctions.udf.CIQ($BZ12, "IQ_EBITDA_MARGIN", "FY"&amp;AO$8, 'Trends for Comparables_Historic'!$BW$2, "LFR", $BW$3, $BW$4, $BW$5)/100</f>
        <v>0.18763000000000002</v>
      </c>
      <c r="AP12" s="751">
        <f>_xll.ciqfunctions.udf.CIQ($BZ12, "IQ_EBITDA_MARGIN", "FY"&amp;AP$8, 'Trends for Comparables_Historic'!$BW$2, "LFR", $BW$3, $BW$4, $BW$5)/100</f>
        <v>0.20258700000000002</v>
      </c>
      <c r="AQ12" s="736"/>
      <c r="AR12" s="751">
        <f>IFERROR(_xll.ciqfunctions.udf.CIQ($BZ12, "IQ_EBIT_1YR_ANN_GROWTH", "FY"&amp;AR$8, $BW$2)/100,"NM")</f>
        <v>-2.9845E-2</v>
      </c>
      <c r="AS12" s="751">
        <f>IFERROR(_xll.ciqfunctions.udf.CIQ($BZ12, "IQ_EBIT_1YR_ANN_GROWTH", "FY"&amp;AS$8, $BW$2)/100,"NM")</f>
        <v>3.6965999999999999E-2</v>
      </c>
      <c r="AT12" s="751">
        <f>IFERROR(_xll.ciqfunctions.udf.CIQ($BZ12, "IQ_EBIT_1YR_ANN_GROWTH", "FY"&amp;AT$8, $BW$2)/100,"NM")</f>
        <v>-0.10337500000000001</v>
      </c>
      <c r="AU12" s="751">
        <f>_xll.ciqfunctions.udf.CIQ($BZ12, "IQ_EBIT_1YR_ANN_GROWTH", "FY"&amp;AU$8, $BW$2)/100</f>
        <v>-2.5163000000000001E-2</v>
      </c>
      <c r="AV12" s="751">
        <f>_xll.ciqfunctions.udf.CIQ($BZ12, "IQ_EBIT_1YR_ANN_GROWTH", "FY"&amp;AV$8, $BW$2)/100</f>
        <v>0.32799100000000003</v>
      </c>
      <c r="AW12" s="752">
        <f>AVERAGE(AR12:AV12)</f>
        <v>4.1314800000000006E-2</v>
      </c>
      <c r="AX12" s="735"/>
      <c r="AY12" s="751">
        <f>(_xll.ciqfunctions.udf.CIQ($BZ12,"IQ_EBIT_MARGIN","FY"&amp;AY$8,'Trends for Comparables_Historic'!$BW$2,"LFR",$BW$3,$BW$4,$BW$5)/100)</f>
        <v>0.149919</v>
      </c>
      <c r="AZ12" s="751">
        <f>(_xll.ciqfunctions.udf.CIQ($BZ12,"IQ_EBIT_MARGIN","FY"&amp;AZ$8,'Trends for Comparables_Historic'!$BW$2,"LFR",$BW$3,$BW$4,$BW$5)/100)</f>
        <v>0.157245</v>
      </c>
      <c r="BA12" s="751">
        <f>(_xll.ciqfunctions.udf.CIQ($BZ12,"IQ_EBIT_MARGIN","FY"&amp;BA$8,'Trends for Comparables_Historic'!$BW$2,"LFR",$BW$3,$BW$4,$BW$5)/100)</f>
        <v>0.16263000000000002</v>
      </c>
      <c r="BB12" s="751">
        <f>_xll.ciqfunctions.udf.CIQ($BZ12,"IQ_EBIT_MARGIN","FY"&amp;BB$8,'Trends for Comparables_Historic'!$BW$2,"LFR",$BW$3,$BW$4,$BW$5)/100</f>
        <v>0.14153399999999999</v>
      </c>
      <c r="BC12" s="751">
        <f>_xll.ciqfunctions.udf.CIQ($BZ12,"IQ_EBIT_MARGIN","FY"&amp;BC$8,'Trends for Comparables_Historic'!$BW$2,"LFR",$BW$3,$BW$4,$BW$5)/100</f>
        <v>0.15779899999999999</v>
      </c>
      <c r="BD12" s="736"/>
      <c r="BE12" s="737">
        <f>_xll.ciqfunctions.udf.CIQ($BZ12, "IQ_DAYS_SALES_OUT", "FY"&amp;BE$8, $BW$2)</f>
        <v>61.091149999999999</v>
      </c>
      <c r="BF12" s="737">
        <f>_xll.ciqfunctions.udf.CIQ($BZ12, "IQ_DAYS_SALES_OUT", "FY"&amp;BF$8, $BW$2)</f>
        <v>63.629100000000001</v>
      </c>
      <c r="BG12" s="737">
        <f>_xll.ciqfunctions.udf.CIQ($BZ12, "IQ_DAYS_SALES_OUT", "FY"&amp;BG$8, $BW$2)</f>
        <v>67.916650000000004</v>
      </c>
      <c r="BH12" s="737">
        <f>AVERAGE(BE12:BG12)</f>
        <v>64.212299999999999</v>
      </c>
      <c r="BI12" s="736"/>
      <c r="BJ12" s="737">
        <f>IF(_xll.ciqfunctions.udf.CIQ($BZ12, "IQ_DAYS_INVENTORY_OUT", "FY"&amp;BJ$8, $BW$2)=0,"N/A",_xll.ciqfunctions.udf.CIQ($BZ12, "IQ_DAYS_INVENTORY_OUT", "FY"&amp;BJ$8, $BW$2))</f>
        <v>8.1745400000000004</v>
      </c>
      <c r="BK12" s="737">
        <f>IF(_xll.ciqfunctions.udf.CIQ($BZ12, "IQ_DAYS_INVENTORY_OUT", "FY"&amp;BK$8, $BW$2)=0,"N/A",_xll.ciqfunctions.udf.CIQ($BZ12, "IQ_DAYS_INVENTORY_OUT", "FY"&amp;BK$8, $BW$2))</f>
        <v>8.5197500000000002</v>
      </c>
      <c r="BL12" s="737">
        <f>IF(_xll.ciqfunctions.udf.CIQ($BZ12, "IQ_DAYS_INVENTORY_OUT", "FY"&amp;BL$8, $BW$2)=0,"N/A",_xll.ciqfunctions.udf.CIQ($BZ12, "IQ_DAYS_INVENTORY_OUT", "FY"&amp;BL$8, $BW$2))</f>
        <v>8.5618099999999995</v>
      </c>
      <c r="BM12" s="737">
        <f>IFERROR(AVERAGE(BJ12:BL12),"NM")</f>
        <v>8.4187000000000012</v>
      </c>
      <c r="BN12" s="737"/>
      <c r="BO12" s="737">
        <f>_xll.ciqfunctions.udf.CIQ($BZ12, "IQ_DAYS_PAYABLE_OUT", "FY"&amp;BO$8, $BW$2)</f>
        <v>23.004490000000001</v>
      </c>
      <c r="BP12" s="737">
        <f>_xll.ciqfunctions.udf.CIQ($BZ12, "IQ_DAYS_PAYABLE_OUT", "FY"&amp;BP$8, $BW$2)</f>
        <v>23.98105</v>
      </c>
      <c r="BQ12" s="737">
        <f>_xll.ciqfunctions.udf.CIQ($BZ12, "IQ_DAYS_PAYABLE_OUT", "FY"&amp;BQ$8, $BW$2)</f>
        <v>25.355090000000001</v>
      </c>
      <c r="BR12" s="737">
        <f>AVERAGE(BO12:BQ12)</f>
        <v>24.113543333333336</v>
      </c>
      <c r="BS12" s="133"/>
      <c r="BU12" s="214"/>
      <c r="BV12" s="214"/>
      <c r="BW12" s="214"/>
      <c r="BY12" s="117" t="str">
        <f>'E1'!AZ12</f>
        <v>NYSE:DVA</v>
      </c>
      <c r="BZ12" s="733" t="str">
        <f>_xll.ciqfunctions.udf.CIQ(BY12, "IQ_COMPANY_ID")</f>
        <v>IQ35644</v>
      </c>
      <c r="CB12" s="621">
        <f t="shared" si="0"/>
        <v>1.0488663878494386</v>
      </c>
      <c r="CC12" s="621">
        <f t="shared" si="0"/>
        <v>1.0847857843235349</v>
      </c>
    </row>
    <row r="13" spans="1:90" s="117" customFormat="1">
      <c r="B13" s="121" t="str">
        <f>_xll.ciqfunctions.udf.CIQ($BY13,"IQ_COMPANY_NAME")</f>
        <v>NxStage Medical, Inc.</v>
      </c>
      <c r="C13" s="737">
        <f>_xll.ciqfunctions.udf.CIQ($BY13, "IQ_TOTAL_REV", "FY"&amp;C$8, $BW$2)</f>
        <v>393.94099999999997</v>
      </c>
      <c r="D13" s="737">
        <f>_xll.ciqfunctions.udf.CIQ($BY13, "IQ_TOTAL_REV", "FY"&amp;D$8, $BW$2)</f>
        <v>366.37799999999999</v>
      </c>
      <c r="E13" s="737">
        <f>_xll.ciqfunctions.udf.CIQ($BY13, "IQ_TOTAL_REV", "FY"&amp;E$8, $BW$2)</f>
        <v>336.12299999999999</v>
      </c>
      <c r="F13" s="737">
        <f>_xll.ciqfunctions.udf.CIQ($BY13, "IQ_TOTAL_REV", "FY"&amp;F$8, $BW$2)</f>
        <v>301.50099999999998</v>
      </c>
      <c r="G13" s="737">
        <f>_xll.ciqfunctions.udf.CIQ($BY13, "IQ_TOTAL_REV", "FY"&amp;G$8, $BW$2)</f>
        <v>263.42899999999997</v>
      </c>
      <c r="H13" s="751">
        <f>IFERROR((C13/G13)^(1/5)-1,"NM")</f>
        <v>8.3810913744209126E-2</v>
      </c>
      <c r="I13" s="735"/>
      <c r="J13" s="737">
        <f>_xll.ciqfunctions.udf.CIQ($BY13, "IQ_EBITDA", "FY"&amp;J$8, $BW$2)</f>
        <v>12.903</v>
      </c>
      <c r="K13" s="737">
        <f>_xll.ciqfunctions.udf.CIQ($BY13, "IQ_EBITDA", "FY"&amp;K$8, $BW$2)</f>
        <v>14.651999999999999</v>
      </c>
      <c r="L13" s="737">
        <f>_xll.ciqfunctions.udf.CIQ($BY13, "IQ_EBITDA", "FY"&amp;L$8, $BW$2)</f>
        <v>2.786</v>
      </c>
      <c r="M13" s="737">
        <f>_xll.ciqfunctions.udf.CIQ($BY13, "IQ_EBITDA", "FY"&amp;M$8, $BW$2)</f>
        <v>-8.89</v>
      </c>
      <c r="N13" s="737">
        <f>_xll.ciqfunctions.udf.CIQ($BY13, "IQ_EBITDA", "FY"&amp;N$8, $BW$2)</f>
        <v>-6.25</v>
      </c>
      <c r="O13" s="751">
        <f>IFERROR((J13/N13)^(1/5)-1,"NM")</f>
        <v>-2.1560114508078856</v>
      </c>
      <c r="P13" s="735"/>
      <c r="Q13" s="737">
        <f>_xll.ciqfunctions.udf.CIQ($BY13, "IQ_EBIT", "FY"&amp;Q$8, $BW$2)</f>
        <v>-6.851</v>
      </c>
      <c r="R13" s="737">
        <f>_xll.ciqfunctions.udf.CIQ($BY13, "IQ_EBIT", "FY"&amp;R$8, $BW$2)</f>
        <v>-3.7850000000000001</v>
      </c>
      <c r="S13" s="737">
        <f>_xll.ciqfunctions.udf.CIQ($BY13, "IQ_EBIT", "FY"&amp;S$8, $BW$2)</f>
        <v>-14.429</v>
      </c>
      <c r="T13" s="737">
        <f>_xll.ciqfunctions.udf.CIQ($BY13, "IQ_EBIT", "FY"&amp;T$8, $BW$2)</f>
        <v>-22.187000000000001</v>
      </c>
      <c r="U13" s="737">
        <f>_xll.ciqfunctions.udf.CIQ($BY13, "IQ_EBIT", "FY"&amp;U$8, $BW$2)</f>
        <v>-17.797999999999998</v>
      </c>
      <c r="V13" s="751">
        <f>IFERROR((Q13/U13)^(1/5)-1,"NM")</f>
        <v>-0.17381643201545816</v>
      </c>
      <c r="W13" s="735"/>
      <c r="X13" s="751">
        <f>_xll.ciqfunctions.udf.CIQ($BZ13, "IQ_TOTAL_REV_1YR_ANN_GROWTH", "FY"&amp;X$8, $BW$2)/100</f>
        <v>7.5231000000000006E-2</v>
      </c>
      <c r="Y13" s="751">
        <f>_xll.ciqfunctions.udf.CIQ($BZ13, "IQ_TOTAL_REV_1YR_ANN_GROWTH", "FY"&amp;Y$8, $BW$2)/100</f>
        <v>9.0010999999999994E-2</v>
      </c>
      <c r="Z13" s="751">
        <f>_xll.ciqfunctions.udf.CIQ($BZ13, "IQ_TOTAL_REV_1YR_ANN_GROWTH", "FY"&amp;Z$8, $BW$2)/100</f>
        <v>0.114832</v>
      </c>
      <c r="AA13" s="751">
        <f>_xll.ciqfunctions.udf.CIQ($BZ13,"IQ_TOTAL_REV_1YR_ANN_GROWTH","FY"&amp;AA$8,'Trends for Comparables_Historic'!$BW$2)/100</f>
        <v>0.14452400000000001</v>
      </c>
      <c r="AB13" s="751">
        <f>_xll.ciqfunctions.udf.CIQ($BZ13, "IQ_TOTAL_REV_1YR_ANN_GROWTH", "FY"&amp;AB$8,$BW$2)/100</f>
        <v>8.7956000000000006E-2</v>
      </c>
      <c r="AC13" s="752">
        <f>AVERAGE(X13:AB13)</f>
        <v>0.10251080000000001</v>
      </c>
      <c r="AD13" s="735"/>
      <c r="AE13" s="751">
        <f>IFERROR(_xll.ciqfunctions.udf.CIQ($BZ13, "IQ_EBITDA_1YR_ANN_GROWTH", "FY"&amp;AE$8, $BW$2)/100,"NM")</f>
        <v>-0.11936999999999999</v>
      </c>
      <c r="AF13" s="751">
        <f>IFERROR(_xll.ciqfunctions.udf.CIQ($BZ13, "IQ_EBITDA_1YR_ANN_GROWTH", "FY"&amp;AF$8, $BW$2)/100,"NM")</f>
        <v>4.2591520000000003</v>
      </c>
      <c r="AG13" s="751" t="str">
        <f>IFERROR(_xll.ciqfunctions.udf.CIQ($BZ13, "IQ_EBITDA_1YR_ANN_GROWTH", "FY"&amp;AG$8, $BW$2)/100,"NM")</f>
        <v>NM</v>
      </c>
      <c r="AH13" s="751" t="str">
        <f>IFERROR(_xll.ciqfunctions.udf.CIQ($BZ13, "IQ_EBITDA_1YR_ANN_GROWTH", "FY"&amp;AH$8, $BW$2)/100,"NM")</f>
        <v>NM</v>
      </c>
      <c r="AI13" s="751" t="str">
        <f>IFERROR(_xll.ciqfunctions.udf.CIQ($BZ13, "IQ_EBITDA_1YR_ANN_GROWTH", "FY"&amp;AI$8, $BW$2)/100,"NM")</f>
        <v>NM</v>
      </c>
      <c r="AJ13" s="752">
        <f>AVERAGE(AE13:AI13)</f>
        <v>2.0698910000000001</v>
      </c>
      <c r="AK13" s="735"/>
      <c r="AL13" s="751">
        <f>IFERROR(_xll.ciqfunctions.udf.CIQ($BZ13, "IQ_EBITDA_MARGIN", "FY"&amp;AL$8, 'Trends for Comparables_Historic'!$BW$2, "LFR", $BW$3, $BW$4, $BW$5)/100,"NM")</f>
        <v>3.2753000000000004E-2</v>
      </c>
      <c r="AM13" s="751">
        <f>IFERROR(_xll.ciqfunctions.udf.CIQ($BZ13, "IQ_EBITDA_MARGIN", "FY"&amp;AM$8, 'Trends for Comparables_Historic'!$BW$2, "LFR", $BW$3, $BW$4, $BW$5)/100,"NM")</f>
        <v>3.9990999999999999E-2</v>
      </c>
      <c r="AN13" s="751">
        <f>IFERROR(_xll.ciqfunctions.udf.CIQ($BZ13, "IQ_EBITDA_MARGIN", "FY"&amp;AN$8, 'Trends for Comparables_Historic'!$BW$2, "LFR", $BW$3, $BW$4, $BW$5)/100,"NM")</f>
        <v>8.2880000000000002E-3</v>
      </c>
      <c r="AO13" s="751">
        <f>_xll.ciqfunctions.udf.CIQ($BZ13, "IQ_EBITDA_MARGIN", "FY"&amp;AO$8, 'Trends for Comparables_Historic'!$BW$2, "LFR", $BW$3, $BW$4, $BW$5)/100</f>
        <v>-2.9485000000000001E-2</v>
      </c>
      <c r="AP13" s="751">
        <f>_xll.ciqfunctions.udf.CIQ($BZ13, "IQ_EBITDA_MARGIN", "FY"&amp;AP$8, 'Trends for Comparables_Historic'!$BW$2, "LFR", $BW$3, $BW$4, $BW$5)/100</f>
        <v>-2.3725E-2</v>
      </c>
      <c r="AQ13" s="736"/>
      <c r="AR13" s="751" t="str">
        <f>IFERROR(_xll.ciqfunctions.udf.CIQ($BZ13, "IQ_EBIT_1YR_ANN_GROWTH", "FY"&amp;AR$8, $BW$2)/100,"NM")</f>
        <v>NM</v>
      </c>
      <c r="AS13" s="751" t="str">
        <f>IFERROR(_xll.ciqfunctions.udf.CIQ($BZ13, "IQ_EBIT_1YR_ANN_GROWTH", "FY"&amp;AS$8, $BW$2)/100,"NM")</f>
        <v>NM</v>
      </c>
      <c r="AT13" s="751" t="str">
        <f>IFERROR(_xll.ciqfunctions.udf.CIQ($BZ13, "IQ_EBIT_1YR_ANN_GROWTH", "FY"&amp;AT$8, $BW$2)/100,"NM")</f>
        <v>NM</v>
      </c>
      <c r="AU13" s="751" t="str">
        <f>IFERROR(_xll.ciqfunctions.udf.CIQ($BZ13, "IQ_EBIT_1YR_ANN_GROWTH", "FY"&amp;AU$8, $BW$2)/100,"NM")</f>
        <v>NM</v>
      </c>
      <c r="AV13" s="751" t="str">
        <f>IFERROR(_xll.ciqfunctions.udf.CIQ($BZ13, "IQ_EBIT_1YR_ANN_GROWTH", "FY"&amp;AV$8, $BW$2)/100,"NM")</f>
        <v>NM</v>
      </c>
      <c r="AW13" s="752" t="str">
        <f>IFERROR(AVERAGE(AR13:AV13),"NM")</f>
        <v>NM</v>
      </c>
      <c r="AX13" s="735"/>
      <c r="AY13" s="751">
        <f>(_xll.ciqfunctions.udf.CIQ($BZ13,"IQ_EBIT_MARGIN","FY"&amp;AY$8,'Trends for Comparables_Historic'!$BW$2,"LFR",$BW$3,$BW$4,$BW$5)/100)</f>
        <v>-1.7390000000000003E-2</v>
      </c>
      <c r="AZ13" s="751">
        <f>(_xll.ciqfunctions.udf.CIQ($BZ13,"IQ_EBIT_MARGIN","FY"&amp;AZ$8,'Trends for Comparables_Historic'!$BW$2,"LFR",$BW$3,$BW$4,$BW$5)/100)</f>
        <v>-1.0329999999999999E-2</v>
      </c>
      <c r="BA13" s="751">
        <f>(_xll.ciqfunctions.udf.CIQ($BZ13,"IQ_EBIT_MARGIN","FY"&amp;BA$8,'Trends for Comparables_Historic'!$BW$2,"LFR",$BW$3,$BW$4,$BW$5)/100)</f>
        <v>-4.2927E-2</v>
      </c>
      <c r="BB13" s="751">
        <f>_xll.ciqfunctions.udf.CIQ($BZ13,"IQ_EBIT_MARGIN","FY"&amp;BB$8,'Trends for Comparables_Historic'!$BW$2,"LFR",$BW$3,$BW$4,$BW$5)/100</f>
        <v>-7.3588000000000001E-2</v>
      </c>
      <c r="BC13" s="751">
        <f>_xll.ciqfunctions.udf.CIQ($BZ13,"IQ_EBIT_MARGIN","FY"&amp;BC$8,'Trends for Comparables_Historic'!$BW$2,"LFR",$BW$3,$BW$4,$BW$5)/100</f>
        <v>-6.7561999999999997E-2</v>
      </c>
      <c r="BD13" s="736"/>
      <c r="BE13" s="737">
        <f>_xll.ciqfunctions.udf.CIQ($BZ13, "IQ_DAYS_SALES_OUT", "FY"&amp;BE$8, $BW$2)</f>
        <v>29.607710000000001</v>
      </c>
      <c r="BF13" s="737">
        <f>_xll.ciqfunctions.udf.CIQ($BZ13, "IQ_DAYS_SALES_OUT", "FY"&amp;BF$8, $BW$2)</f>
        <v>28.7105</v>
      </c>
      <c r="BG13" s="737">
        <f>_xll.ciqfunctions.udf.CIQ($BZ13, "IQ_DAYS_SALES_OUT", "FY"&amp;BG$8, $BW$2)</f>
        <v>26.76436</v>
      </c>
      <c r="BH13" s="737">
        <f>AVERAGE(BE13:BG13)</f>
        <v>28.360856666666667</v>
      </c>
      <c r="BI13" s="736"/>
      <c r="BJ13" s="737">
        <f>IF(_xll.ciqfunctions.udf.CIQ($BZ13, "IQ_DAYS_INVENTORY_OUT", "FY"&amp;BJ$8, $BW$2)=0,"N/A",_xll.ciqfunctions.udf.CIQ($BZ13, "IQ_DAYS_INVENTORY_OUT", "FY"&amp;BJ$8, $BW$2))</f>
        <v>77.790629999999993</v>
      </c>
      <c r="BK13" s="737">
        <f>IF(_xll.ciqfunctions.udf.CIQ($BZ13, "IQ_DAYS_INVENTORY_OUT", "FY"&amp;BK$8, $BW$2)=0,"N/A",_xll.ciqfunctions.udf.CIQ($BZ13, "IQ_DAYS_INVENTORY_OUT", "FY"&amp;BK$8, $BW$2))</f>
        <v>72.925129999999996</v>
      </c>
      <c r="BL13" s="737">
        <f>IF(_xll.ciqfunctions.udf.CIQ($BZ13, "IQ_DAYS_INVENTORY_OUT", "FY"&amp;BL$8, $BW$2)=0,"N/A",_xll.ciqfunctions.udf.CIQ($BZ13, "IQ_DAYS_INVENTORY_OUT", "FY"&amp;BL$8, $BW$2))</f>
        <v>74.795069999999996</v>
      </c>
      <c r="BM13" s="737">
        <f>IFERROR(AVERAGE(BJ13:BL13),"NM")</f>
        <v>75.170276666666666</v>
      </c>
      <c r="BN13" s="737"/>
      <c r="BO13" s="737">
        <f>_xll.ciqfunctions.udf.CIQ($BZ13, "IQ_DAYS_PAYABLE_OUT", "FY"&amp;BO$8, $BW$2)</f>
        <v>23.210719999999998</v>
      </c>
      <c r="BP13" s="737">
        <f>_xll.ciqfunctions.udf.CIQ($BZ13, "IQ_DAYS_PAYABLE_OUT", "FY"&amp;BP$8, $BW$2)</f>
        <v>20.529669999999999</v>
      </c>
      <c r="BQ13" s="737">
        <f>_xll.ciqfunctions.udf.CIQ($BZ13, "IQ_DAYS_PAYABLE_OUT", "FY"&amp;BQ$8, $BW$2)</f>
        <v>22.749359999999999</v>
      </c>
      <c r="BR13" s="737">
        <f>AVERAGE(BO13:BQ13)</f>
        <v>22.163250000000001</v>
      </c>
      <c r="BS13" s="133"/>
      <c r="BU13" s="214"/>
      <c r="BV13" s="214"/>
      <c r="BW13" s="214"/>
      <c r="BY13" s="117" t="str">
        <f>'E1'!AZ13</f>
        <v>IQ115544</v>
      </c>
      <c r="BZ13" s="733" t="str">
        <f>_xll.ciqfunctions.udf.CIQ(BY13, "IQ_COMPANY_ID")</f>
        <v>IQ115544</v>
      </c>
      <c r="CB13" s="621">
        <f t="shared" si="0"/>
        <v>0.59401955146635987</v>
      </c>
      <c r="CC13" s="621">
        <f t="shared" si="0"/>
        <v>2.4684876365727426</v>
      </c>
    </row>
    <row r="14" spans="1:90" s="117" customFormat="1">
      <c r="B14" s="121" t="str">
        <f>_xll.ciqfunctions.udf.CIQ($BY14,"IQ_COMPANY_NAME")</f>
        <v>American Renal Associates Holdings, Inc.</v>
      </c>
      <c r="C14" s="737">
        <f>_xll.ciqfunctions.udf.CIQ($BY14, "IQ_TOTAL_REV", "FY"&amp;C$8, $BW$2)</f>
        <v>745.10599999999999</v>
      </c>
      <c r="D14" s="737">
        <f>_xll.ciqfunctions.udf.CIQ($BY14, "IQ_TOTAL_REV", "FY"&amp;D$8, $BW$2)</f>
        <v>749.76700000000005</v>
      </c>
      <c r="E14" s="737">
        <f>_xll.ciqfunctions.udf.CIQ($BY14, "IQ_TOTAL_REV", "FY"&amp;E$8, $BW$2)</f>
        <v>652.98099999999999</v>
      </c>
      <c r="F14" s="737">
        <f>_xll.ciqfunctions.udf.CIQ($BY14, "IQ_TOTAL_REV", "FY"&amp;F$8, $BW$2)</f>
        <v>560.73400000000004</v>
      </c>
      <c r="G14" s="737">
        <f>_xll.ciqfunctions.udf.CIQ($BY14, "IQ_TOTAL_REV", "FY"&amp;G$8, $BW$2)</f>
        <v>495.92599999999999</v>
      </c>
      <c r="H14" s="751">
        <f>IFERROR((C14/G14)^(1/5)-1,"NM")</f>
        <v>8.4826377682145404E-2</v>
      </c>
      <c r="I14" s="735"/>
      <c r="J14" s="737">
        <f>_xll.ciqfunctions.udf.CIQ($BY14, "IQ_EBITDA", "FY"&amp;J$8, $BW$2)</f>
        <v>160.97499999999999</v>
      </c>
      <c r="K14" s="737">
        <f>_xll.ciqfunctions.udf.CIQ($BY14, "IQ_EBITDA", "FY"&amp;K$8, $BW$2)</f>
        <v>171.33699999999999</v>
      </c>
      <c r="L14" s="737">
        <f>_xll.ciqfunctions.udf.CIQ($BY14, "IQ_EBITDA", "FY"&amp;L$8, $BW$2)</f>
        <v>184.78200000000001</v>
      </c>
      <c r="M14" s="737">
        <f>_xll.ciqfunctions.udf.CIQ($BY14, "IQ_EBITDA", "FY"&amp;M$8, $BW$2)</f>
        <v>167.86099999999999</v>
      </c>
      <c r="N14" s="737">
        <f>_xll.ciqfunctions.udf.CIQ($BY14, "IQ_EBITDA", "FY"&amp;N$8, $BW$2)</f>
        <v>134.90199999999999</v>
      </c>
      <c r="O14" s="751">
        <f>IFERROR((J14/N14)^(1/5)-1,"NM")</f>
        <v>3.5971979756778572E-2</v>
      </c>
      <c r="P14" s="735"/>
      <c r="Q14" s="737">
        <f>_xll.ciqfunctions.udf.CIQ($BY14, "IQ_EBIT", "FY"&amp;Q$8, $BW$2)</f>
        <v>123.34099999999999</v>
      </c>
      <c r="R14" s="737">
        <f>_xll.ciqfunctions.udf.CIQ($BY14, "IQ_EBIT", "FY"&amp;R$8, $BW$2)</f>
        <v>137.47499999999999</v>
      </c>
      <c r="S14" s="737">
        <f>_xll.ciqfunctions.udf.CIQ($BY14, "IQ_EBIT", "FY"&amp;S$8, $BW$2)</f>
        <v>152.93600000000001</v>
      </c>
      <c r="T14" s="737">
        <f>_xll.ciqfunctions.udf.CIQ($BY14, "IQ_EBIT", "FY"&amp;T$8, $BW$2)</f>
        <v>139.334</v>
      </c>
      <c r="U14" s="737">
        <f>_xll.ciqfunctions.udf.CIQ($BY14, "IQ_EBIT", "FY"&amp;U$8, $BW$2)</f>
        <v>111.19499999999999</v>
      </c>
      <c r="V14" s="751">
        <f>IFERROR((Q14/U14)^(1/5)-1,"NM")</f>
        <v>2.0949924141173693E-2</v>
      </c>
      <c r="W14" s="735"/>
      <c r="X14" s="751">
        <f>_xll.ciqfunctions.udf.CIQ($BZ14, "IQ_TOTAL_REV_1YR_ANN_GROWTH", "FY"&amp;X$8, $BW$2)/100</f>
        <v>-6.2170000000000003E-3</v>
      </c>
      <c r="Y14" s="751">
        <f>_xll.ciqfunctions.udf.CIQ($BZ14, "IQ_TOTAL_REV_1YR_ANN_GROWTH", "FY"&amp;Y$8, $BW$2)/100</f>
        <v>0.14822100000000002</v>
      </c>
      <c r="Z14" s="751">
        <f>_xll.ciqfunctions.udf.CIQ($BZ14, "IQ_TOTAL_REV_1YR_ANN_GROWTH", "FY"&amp;Z$8, $BW$2)/100</f>
        <v>0.16451099999999999</v>
      </c>
      <c r="AA14" s="751">
        <f>_xll.ciqfunctions.udf.CIQ($BZ14,"IQ_TOTAL_REV_1YR_ANN_GROWTH","FY"&amp;AA$8,'Trends for Comparables_Historic'!$BW$2)/100</f>
        <v>0.13067999999999999</v>
      </c>
      <c r="AB14" s="751">
        <f>_xll.ciqfunctions.udf.CIQ($BZ14, "IQ_TOTAL_REV_1YR_ANN_GROWTH", "FY"&amp;AB$8,$BW$2)/100</f>
        <v>0.17666599999999999</v>
      </c>
      <c r="AC14" s="752">
        <f>AVERAGE(X14:AB14)</f>
        <v>0.1227722</v>
      </c>
      <c r="AD14" s="735"/>
      <c r="AE14" s="751">
        <f>IFERROR(_xll.ciqfunctions.udf.CIQ($BZ14, "IQ_EBITDA_1YR_ANN_GROWTH", "FY"&amp;AE$8, $BW$2)/100,"NM")</f>
        <v>-6.0477999999999997E-2</v>
      </c>
      <c r="AF14" s="751">
        <f>IFERROR(_xll.ciqfunctions.udf.CIQ($BZ14, "IQ_EBITDA_1YR_ANN_GROWTH", "FY"&amp;AF$8, $BW$2)/100,"NM")</f>
        <v>-7.2762000000000007E-2</v>
      </c>
      <c r="AG14" s="751">
        <f>IFERROR(_xll.ciqfunctions.udf.CIQ($BZ14, "IQ_EBITDA_1YR_ANN_GROWTH", "FY"&amp;AG$8, $BW$2)/100,"NM")</f>
        <v>0.10080299999999999</v>
      </c>
      <c r="AH14" s="751">
        <f>IFERROR(_xll.ciqfunctions.udf.CIQ($BZ14, "IQ_EBITDA_1YR_ANN_GROWTH", "FY"&amp;AH$8, $BW$2)/100,"NM")</f>
        <v>0.24431799999999998</v>
      </c>
      <c r="AI14" s="751">
        <f>IFERROR(_xll.ciqfunctions.udf.CIQ($BZ14, "IQ_EBITDA_1YR_ANN_GROWTH", "FY"&amp;AI$8, $BW$2)/100,"NM")</f>
        <v>3.9302999999999998E-2</v>
      </c>
      <c r="AJ14" s="752">
        <f>IFERROR(AVERAGE(AE14:AI14),"NM")</f>
        <v>5.0236799999999991E-2</v>
      </c>
      <c r="AK14" s="735"/>
      <c r="AL14" s="751">
        <f>IFERROR(_xll.ciqfunctions.udf.CIQ($BZ14, "IQ_EBITDA_MARGIN", "FY"&amp;AL$8, 'Trends for Comparables_Historic'!$BW$2, "LFR", $BW$3, $BW$4, $BW$5)/100,"NM")</f>
        <v>0.21604299999999999</v>
      </c>
      <c r="AM14" s="751">
        <f>IFERROR(_xll.ciqfunctions.udf.CIQ($BZ14, "IQ_EBITDA_MARGIN", "FY"&amp;AM$8, 'Trends for Comparables_Historic'!$BW$2, "LFR", $BW$3, $BW$4, $BW$5)/100,"NM")</f>
        <v>0.22852</v>
      </c>
      <c r="AN14" s="751">
        <f>IFERROR(_xll.ciqfunctions.udf.CIQ($BZ14, "IQ_EBITDA_MARGIN", "FY"&amp;AN$8, 'Trends for Comparables_Historic'!$BW$2, "LFR", $BW$3, $BW$4, $BW$5)/100,"NM")</f>
        <v>0.28298200000000001</v>
      </c>
      <c r="AO14" s="751">
        <f>_xll.ciqfunctions.udf.CIQ($BZ14, "IQ_EBITDA_MARGIN", "FY"&amp;AO$8, 'Trends for Comparables_Historic'!$BW$2, "LFR", $BW$3, $BW$4, $BW$5)/100</f>
        <v>0.29935899999999999</v>
      </c>
      <c r="AP14" s="751">
        <f>_xll.ciqfunctions.udf.CIQ($BZ14, "IQ_EBITDA_MARGIN", "FY"&amp;AP$8, 'Trends for Comparables_Historic'!$BW$2, "LFR", $BW$3, $BW$4, $BW$5)/100</f>
        <v>0.27202000000000004</v>
      </c>
      <c r="AQ14" s="736"/>
      <c r="AR14" s="751">
        <f>IFERROR(_xll.ciqfunctions.udf.CIQ($BZ14, "IQ_EBIT_1YR_ANN_GROWTH", "FY"&amp;AR$8, $BW$2)/100,"NM")</f>
        <v>-0.102812</v>
      </c>
      <c r="AS14" s="751">
        <f>IFERROR(_xll.ciqfunctions.udf.CIQ($BZ14, "IQ_EBIT_1YR_ANN_GROWTH", "FY"&amp;AS$8, $BW$2)/100,"NM")</f>
        <v>-0.101095</v>
      </c>
      <c r="AT14" s="751">
        <f>IFERROR(_xll.ciqfunctions.udf.CIQ($BZ14, "IQ_EBIT_1YR_ANN_GROWTH", "FY"&amp;AT$8, $BW$2)/100,"NM")</f>
        <v>9.7620999999999999E-2</v>
      </c>
      <c r="AU14" s="751">
        <f>IFERROR(_xll.ciqfunctions.udf.CIQ($BZ14, "IQ_EBIT_1YR_ANN_GROWTH", "FY"&amp;AU$8, $BW$2)/100,"NM")</f>
        <v>0.25305900000000003</v>
      </c>
      <c r="AV14" s="751">
        <f>IFERROR(_xll.ciqfunctions.udf.CIQ($BZ14, "IQ_EBIT_1YR_ANN_GROWTH", "FY"&amp;AV$8, $BW$2)/100,"NM")</f>
        <v>1.4561999999999999E-2</v>
      </c>
      <c r="AW14" s="752">
        <f>IFERROR(AVERAGE(AR14:AV14),"NM")</f>
        <v>3.2267000000000004E-2</v>
      </c>
      <c r="AX14" s="735"/>
      <c r="AY14" s="751">
        <f>(_xll.ciqfunctions.udf.CIQ($BZ14,"IQ_EBIT_MARGIN","FY"&amp;AY$8,'Trends for Comparables_Historic'!$BW$2,"LFR",$BW$3,$BW$4,$BW$5)/100)</f>
        <v>0.16553399999999999</v>
      </c>
      <c r="AZ14" s="751">
        <f>(_xll.ciqfunctions.udf.CIQ($BZ14,"IQ_EBIT_MARGIN","FY"&amp;AZ$8,'Trends for Comparables_Historic'!$BW$2,"LFR",$BW$3,$BW$4,$BW$5)/100)</f>
        <v>0.18335599999999999</v>
      </c>
      <c r="BA14" s="751">
        <f>(_xll.ciqfunctions.udf.CIQ($BZ14,"IQ_EBIT_MARGIN","FY"&amp;BA$8,'Trends for Comparables_Historic'!$BW$2,"LFR",$BW$3,$BW$4,$BW$5)/100)</f>
        <v>0.23421199999999998</v>
      </c>
      <c r="BB14" s="751">
        <f>_xll.ciqfunctions.udf.CIQ($BZ14,"IQ_EBIT_MARGIN","FY"&amp;BB$8,'Trends for Comparables_Historic'!$BW$2,"LFR",$BW$3,$BW$4,$BW$5)/100</f>
        <v>0.24848500000000001</v>
      </c>
      <c r="BC14" s="751">
        <f>_xll.ciqfunctions.udf.CIQ($BZ14,"IQ_EBIT_MARGIN","FY"&amp;BC$8,'Trends for Comparables_Historic'!$BW$2,"LFR",$BW$3,$BW$4,$BW$5)/100</f>
        <v>0.22421600000000003</v>
      </c>
      <c r="BD14" s="736"/>
      <c r="BE14" s="737">
        <f>_xll.ciqfunctions.udf.CIQ($BZ14, "IQ_DAYS_SALES_OUT", "FY"&amp;BE$8, $BW$2)</f>
        <v>39.382040000000003</v>
      </c>
      <c r="BF14" s="737">
        <f>_xll.ciqfunctions.udf.CIQ($BZ14, "IQ_DAYS_SALES_OUT", "FY"&amp;BF$8, $BW$2)</f>
        <v>38.574939999999998</v>
      </c>
      <c r="BG14" s="737">
        <f>_xll.ciqfunctions.udf.CIQ($BZ14, "IQ_DAYS_SALES_OUT", "FY"&amp;BG$8, $BW$2)</f>
        <v>41.322380000000003</v>
      </c>
      <c r="BH14" s="737">
        <f>AVERAGE(BE14:BG14)</f>
        <v>39.759786666666663</v>
      </c>
      <c r="BI14" s="736"/>
      <c r="BJ14" s="737">
        <f>IF(_xll.ciqfunctions.udf.CIQ($BZ14, "IQ_DAYS_INVENTORY_OUT", "FY"&amp;BJ$8, $BW$2)=0,"N/A",_xll.ciqfunctions.udf.CIQ($BZ14, "IQ_DAYS_INVENTORY_OUT", "FY"&amp;BJ$8, $BW$2))</f>
        <v>3.5343</v>
      </c>
      <c r="BK14" s="737">
        <f>IF(_xll.ciqfunctions.udf.CIQ($BZ14, "IQ_DAYS_INVENTORY_OUT", "FY"&amp;BK$8, $BW$2)=0,"N/A",_xll.ciqfunctions.udf.CIQ($BZ14, "IQ_DAYS_INVENTORY_OUT", "FY"&amp;BK$8, $BW$2))</f>
        <v>3.62669</v>
      </c>
      <c r="BL14" s="737">
        <f>IF(_xll.ciqfunctions.udf.CIQ($BZ14, "IQ_DAYS_INVENTORY_OUT", "FY"&amp;BL$8, $BW$2)=0,"N/A",_xll.ciqfunctions.udf.CIQ($BZ14, "IQ_DAYS_INVENTORY_OUT", "FY"&amp;BL$8, $BW$2))</f>
        <v>4.2569999999999997</v>
      </c>
      <c r="BM14" s="737">
        <f>IFERROR(AVERAGE(BJ14:BL14),"NM")</f>
        <v>3.8059966666666667</v>
      </c>
      <c r="BN14" s="737"/>
      <c r="BO14" s="737">
        <f>_xll.ciqfunctions.udf.CIQ($BZ14, "IQ_DAYS_PAYABLE_OUT", "FY"&amp;BO$8, $BW$2)</f>
        <v>24.423249999999999</v>
      </c>
      <c r="BP14" s="737">
        <f>_xll.ciqfunctions.udf.CIQ($BZ14, "IQ_DAYS_PAYABLE_OUT", "FY"&amp;BP$8, $BW$2)</f>
        <v>21.700510000000001</v>
      </c>
      <c r="BQ14" s="737">
        <f>_xll.ciqfunctions.udf.CIQ($BZ14, "IQ_DAYS_PAYABLE_OUT", "FY"&amp;BQ$8, $BW$2)</f>
        <v>20.859020000000001</v>
      </c>
      <c r="BR14" s="737">
        <f>AVERAGE(BO14:BQ14)</f>
        <v>22.327593333333336</v>
      </c>
      <c r="BS14" s="133"/>
      <c r="BU14" s="214"/>
      <c r="BV14" s="214"/>
      <c r="BW14" s="214"/>
      <c r="BY14" s="117" t="str">
        <f>'E1'!AZ14</f>
        <v>NYSE:ARA</v>
      </c>
      <c r="BZ14" s="733" t="str">
        <f>_xll.ciqfunctions.udf.CIQ(BY14, "IQ_COMPANY_ID")</f>
        <v>IQ137304893</v>
      </c>
      <c r="CB14" s="621">
        <f t="shared" si="0"/>
        <v>1.1076636823854917</v>
      </c>
      <c r="CC14" s="621">
        <f t="shared" si="0"/>
        <v>1.4148875759662667</v>
      </c>
    </row>
    <row r="15" spans="1:90" s="117" customFormat="1">
      <c r="B15" s="130"/>
      <c r="C15" s="753"/>
      <c r="D15" s="754"/>
      <c r="E15" s="754"/>
      <c r="F15" s="754"/>
      <c r="G15" s="754"/>
      <c r="H15" s="754"/>
      <c r="I15" s="739"/>
      <c r="J15" s="753"/>
      <c r="K15" s="754"/>
      <c r="L15" s="754"/>
      <c r="M15" s="754"/>
      <c r="N15" s="754"/>
      <c r="O15" s="754"/>
      <c r="P15" s="739"/>
      <c r="Q15" s="753"/>
      <c r="R15" s="754"/>
      <c r="S15" s="754"/>
      <c r="T15" s="754"/>
      <c r="U15" s="754"/>
      <c r="V15" s="754"/>
      <c r="W15" s="739"/>
      <c r="X15" s="753"/>
      <c r="Y15" s="754"/>
      <c r="Z15" s="754"/>
      <c r="AA15" s="754"/>
      <c r="AB15" s="754"/>
      <c r="AC15" s="754"/>
      <c r="AD15" s="739"/>
      <c r="AE15" s="738"/>
      <c r="AF15" s="739"/>
      <c r="AG15" s="739"/>
      <c r="AH15" s="739"/>
      <c r="AI15" s="739"/>
      <c r="AJ15" s="754"/>
      <c r="AK15" s="735"/>
      <c r="AL15" s="739"/>
      <c r="AM15" s="739"/>
      <c r="AN15" s="739"/>
      <c r="AO15" s="739"/>
      <c r="AP15" s="739"/>
      <c r="AQ15" s="739"/>
      <c r="AR15" s="738"/>
      <c r="AS15" s="739"/>
      <c r="AT15" s="739"/>
      <c r="AU15" s="739"/>
      <c r="AV15" s="739"/>
      <c r="AW15" s="754"/>
      <c r="AX15" s="735"/>
      <c r="AY15" s="739"/>
      <c r="AZ15" s="739"/>
      <c r="BA15" s="739"/>
      <c r="BB15" s="739"/>
      <c r="BC15" s="739"/>
      <c r="BD15" s="739"/>
      <c r="BE15" s="740"/>
      <c r="BF15" s="740"/>
      <c r="BG15" s="740"/>
      <c r="BH15" s="740"/>
      <c r="BI15" s="739"/>
      <c r="BJ15" s="740"/>
      <c r="BK15" s="740"/>
      <c r="BL15" s="740"/>
      <c r="BM15" s="740"/>
      <c r="BN15" s="740"/>
      <c r="BO15" s="740"/>
      <c r="BP15" s="740"/>
      <c r="BQ15" s="740"/>
      <c r="BR15" s="740"/>
      <c r="BS15" s="218"/>
      <c r="BU15" s="214"/>
      <c r="BV15" s="214"/>
      <c r="BW15" s="214"/>
      <c r="BX15" s="214"/>
    </row>
    <row r="16" spans="1:90" s="117" customFormat="1">
      <c r="B16" s="134" t="s">
        <v>81</v>
      </c>
      <c r="C16" s="789">
        <f t="shared" ref="C16:H16" si="1">IF(IF(ISERROR(MIN(C10:C14)),"n/a",MIN(C10:C14))&lt;=0,"n/a",MIN(C10:C14))</f>
        <v>393.94099999999997</v>
      </c>
      <c r="D16" s="789">
        <f t="shared" si="1"/>
        <v>366.37799999999999</v>
      </c>
      <c r="E16" s="789">
        <f t="shared" si="1"/>
        <v>336.12299999999999</v>
      </c>
      <c r="F16" s="789">
        <f t="shared" si="1"/>
        <v>301.50099999999998</v>
      </c>
      <c r="G16" s="789">
        <f t="shared" si="1"/>
        <v>263.42899999999997</v>
      </c>
      <c r="H16" s="790" t="str">
        <f t="shared" si="1"/>
        <v>n/a</v>
      </c>
      <c r="I16" s="789"/>
      <c r="J16" s="789">
        <f t="shared" ref="J16:O16" si="2">IF(IF(ISERROR(MIN(J10:J14)),"n/a",MIN(J10:J14))&lt;=0,"n/a",MIN(J10:J14))</f>
        <v>12.903</v>
      </c>
      <c r="K16" s="789">
        <f t="shared" si="2"/>
        <v>14.651999999999999</v>
      </c>
      <c r="L16" s="789">
        <f t="shared" si="2"/>
        <v>2.786</v>
      </c>
      <c r="M16" s="789" t="str">
        <f t="shared" si="2"/>
        <v>n/a</v>
      </c>
      <c r="N16" s="789" t="str">
        <f t="shared" si="2"/>
        <v>n/a</v>
      </c>
      <c r="O16" s="790" t="str">
        <f t="shared" si="2"/>
        <v>n/a</v>
      </c>
      <c r="P16" s="789"/>
      <c r="Q16" s="789" t="str">
        <f t="shared" ref="Q16:V16" si="3">IF(IF(ISERROR(MIN(Q10:Q14)),"n/a",MIN(Q10:Q14))&lt;=0,"n/a",MIN(Q10:Q14))</f>
        <v>n/a</v>
      </c>
      <c r="R16" s="789" t="str">
        <f t="shared" si="3"/>
        <v>n/a</v>
      </c>
      <c r="S16" s="789" t="str">
        <f t="shared" si="3"/>
        <v>n/a</v>
      </c>
      <c r="T16" s="789" t="str">
        <f t="shared" si="3"/>
        <v>n/a</v>
      </c>
      <c r="U16" s="789" t="str">
        <f t="shared" si="3"/>
        <v>n/a</v>
      </c>
      <c r="V16" s="790" t="str">
        <f t="shared" si="3"/>
        <v>n/a</v>
      </c>
      <c r="W16" s="789"/>
      <c r="X16" s="790" t="str">
        <f t="shared" ref="X16:AC16" si="4">IF(IF(ISERROR(MIN(X10:X14)),"n/a",MIN(X10:X14))&lt;=0,"n/a",MIN(X10:X14))</f>
        <v>n/a</v>
      </c>
      <c r="Y16" s="790">
        <f t="shared" si="4"/>
        <v>6.6783999999999996E-2</v>
      </c>
      <c r="Z16" s="790" t="str">
        <f t="shared" si="4"/>
        <v>n/a</v>
      </c>
      <c r="AA16" s="790">
        <f t="shared" si="4"/>
        <v>8.3245E-2</v>
      </c>
      <c r="AB16" s="790">
        <f t="shared" si="4"/>
        <v>4.2187000000000002E-2</v>
      </c>
      <c r="AC16" s="959">
        <f t="shared" si="4"/>
        <v>6.5353000000000008E-2</v>
      </c>
      <c r="AD16" s="789"/>
      <c r="AE16" s="790" t="str">
        <f t="shared" ref="AE16:AJ16" si="5">IF(IF(ISERROR(MIN(AE10:AE14)),"n/a",MIN(AE10:AE14))&lt;=0,"n/a",MIN(AE10:AE14))</f>
        <v>n/a</v>
      </c>
      <c r="AF16" s="790" t="str">
        <f t="shared" si="5"/>
        <v>n/a</v>
      </c>
      <c r="AG16" s="790" t="str">
        <f t="shared" si="5"/>
        <v>n/a</v>
      </c>
      <c r="AH16" s="790">
        <f t="shared" si="5"/>
        <v>6.62E-3</v>
      </c>
      <c r="AI16" s="790">
        <f t="shared" si="5"/>
        <v>1.5898000000000002E-2</v>
      </c>
      <c r="AJ16" s="959">
        <f t="shared" si="5"/>
        <v>3.5749999999999997E-2</v>
      </c>
      <c r="AK16" s="790"/>
      <c r="AL16" s="790">
        <f>IF(IF(ISERROR(MIN(AL10:AL14)),"n/a",MIN(AL10:AL14))&lt;=0,"n/a",MIN(AL10:AL14))</f>
        <v>3.2753000000000004E-2</v>
      </c>
      <c r="AM16" s="790">
        <f>IF(IF(ISERROR(MIN(AM10:AM14)),"n/a",MIN(AM10:AM14))&lt;=0,"n/a",MIN(AM10:AM14))</f>
        <v>3.9990999999999999E-2</v>
      </c>
      <c r="AN16" s="790">
        <f>IF(IF(ISERROR(MIN(AN10:AN14)),"n/a",MIN(AN10:AN14))&lt;=0,"n/a",MIN(AN10:AN14))</f>
        <v>8.2880000000000002E-3</v>
      </c>
      <c r="AO16" s="790" t="str">
        <f>IF(IF(ISERROR(MIN(AO10:AO14)),"n/a",MIN(AO10:AO14))&lt;=0,"n/a",MIN(AO10:AO14))</f>
        <v>n/a</v>
      </c>
      <c r="AP16" s="790" t="str">
        <f>IF(IF(ISERROR(MIN(AP10:AP14)),"n/a",MIN(AP10:AP14))&lt;=0,"n/a",MIN(AP10:AP14))</f>
        <v>n/a</v>
      </c>
      <c r="AQ16" s="956"/>
      <c r="AR16" s="790" t="str">
        <f>IF(IF(ISERROR(MIN(AR9:AR14)),"n/a",MIN(AR9:AR14))&lt;=0,"n/a",MIN(AR9:AR14))</f>
        <v>n/a</v>
      </c>
      <c r="AS16" s="790" t="str">
        <f>IF(IF(ISERROR(MIN(AS9:AS14)),"n/a",MIN(AS9:AS14))&lt;=0,"n/a",MIN(AS9:AS14))</f>
        <v>n/a</v>
      </c>
      <c r="AT16" s="790" t="str">
        <f>IF(IF(ISERROR(MIN(AT9:AT14)),"n/a",MIN(AT9:AT14))&lt;=0,"n/a",MIN(AT9:AT14))</f>
        <v>n/a</v>
      </c>
      <c r="AU16" s="790" t="str">
        <f>IF(IF(ISERROR(MIN(AU9:AU14)),"n/a",MIN(AU9:AU14))&lt;=0,"n/a",MIN(AU9:AU14))</f>
        <v>n/a</v>
      </c>
      <c r="AV16" s="790" t="str">
        <f>IF(IF(ISERROR(MIN(AV9:AV14)),"n/a",MIN(AV9:AV14))&lt;=0,"n/a",MIN(AV9:AV14))</f>
        <v>n/a</v>
      </c>
      <c r="AW16" s="959">
        <f>IF(IF(ISERROR(MIN(AW10:AW14)),"n/a",MIN(AW10:AW14))&lt;=0,"n/a",MIN(AW10:AW14))</f>
        <v>2.9366000000000003E-2</v>
      </c>
      <c r="AX16" s="790"/>
      <c r="AY16" s="790" t="str">
        <f>IF(IF(ISERROR(MIN(AY9:AY14)),"n/a",MIN(AY9:AY14))&lt;=0,"n/a",MIN(AY9:AY14))</f>
        <v>n/a</v>
      </c>
      <c r="AZ16" s="790" t="str">
        <f>IF(IF(ISERROR(MIN(AZ9:AZ14)),"n/a",MIN(AZ9:AZ14))&lt;=0,"n/a",MIN(AZ9:AZ14))</f>
        <v>n/a</v>
      </c>
      <c r="BA16" s="790" t="str">
        <f>IF(IF(ISERROR(MIN(BA9:BA14)),"n/a",MIN(BA9:BA14))&lt;=0,"n/a",MIN(BA9:BA14))</f>
        <v>n/a</v>
      </c>
      <c r="BB16" s="790" t="str">
        <f>IF(IF(ISERROR(MIN(BB9:BB14)),"n/a",MIN(BB9:BB14))&lt;=0,"n/a",MIN(BB9:BB14))</f>
        <v>n/a</v>
      </c>
      <c r="BC16" s="790" t="str">
        <f>IF(IF(ISERROR(MIN(BC9:BC14)),"n/a",MIN(BC9:BC14))&lt;=0,"n/a",MIN(BC9:BC14))</f>
        <v>n/a</v>
      </c>
      <c r="BD16" s="956"/>
      <c r="BE16" s="789">
        <f>IF(IF(ISERROR(MIN(BE9:BE14)),"n/a",MIN(BE9:BE14))&lt;=0,"n/a",MIN(BE9:BE14))</f>
        <v>29.607710000000001</v>
      </c>
      <c r="BF16" s="789">
        <f>IF(IF(ISERROR(MIN(BF9:BF14)),"n/a",MIN(BF9:BF14))&lt;=0,"n/a",MIN(BF9:BF14))</f>
        <v>28.7105</v>
      </c>
      <c r="BG16" s="789">
        <f>IF(IF(ISERROR(MIN(BG9:BG14)),"n/a",MIN(BG9:BG14))&lt;=0,"n/a",MIN(BG9:BG14))</f>
        <v>26.76436</v>
      </c>
      <c r="BH16" s="789">
        <f>IF(IF(ISERROR(MIN(BH9:BH14)),"n/a",MIN(BH9:BH14))&lt;=0,"n/a",MIN(BH9:BH14))</f>
        <v>28.360856666666667</v>
      </c>
      <c r="BI16" s="956"/>
      <c r="BJ16" s="789">
        <f>IF(IF(ISERROR(MIN(BJ9:BJ14)),"n/a",MIN(BJ9:BJ14))&lt;=0,"n/a",MIN(BJ9:BJ14))</f>
        <v>3.5343</v>
      </c>
      <c r="BK16" s="789">
        <f>IF(IF(ISERROR(MIN(BK9:BK14)),"n/a",MIN(BK9:BK14))&lt;=0,"n/a",MIN(BK9:BK14))</f>
        <v>3.62669</v>
      </c>
      <c r="BL16" s="789">
        <f>IF(IF(ISERROR(MIN(BL9:BL14)),"n/a",MIN(BL9:BL14))&lt;=0,"n/a",MIN(BL9:BL14))</f>
        <v>4.2569999999999997</v>
      </c>
      <c r="BM16" s="789">
        <f>IF(IF(ISERROR(MIN(BM9:BM14)),"n/a",MIN(BM9:BM14))&lt;=0,"n/a",MIN(BM9:BM14))</f>
        <v>3.8059966666666667</v>
      </c>
      <c r="BN16" s="960"/>
      <c r="BO16" s="789">
        <f>IF(IF(ISERROR(MIN(BO9:BO14)),"n/a",MIN(BO9:BO14))&lt;=0,"n/a",MIN(BO9:BO14))</f>
        <v>23.004490000000001</v>
      </c>
      <c r="BP16" s="789">
        <f>IF(IF(ISERROR(MIN(BP9:BP14)),"n/a",MIN(BP9:BP14))&lt;=0,"n/a",MIN(BP9:BP14))</f>
        <v>20.529669999999999</v>
      </c>
      <c r="BQ16" s="789">
        <f>IF(IF(ISERROR(MIN(BQ9:BQ14)),"n/a",MIN(BQ9:BQ14))&lt;=0,"n/a",MIN(BQ9:BQ14))</f>
        <v>20.859020000000001</v>
      </c>
      <c r="BR16" s="961">
        <f>IF(IF(ISERROR(MIN(BR9:BR14)),"n/a",MIN(BR9:BR14))&lt;=0,"n/a",MIN(BR9:BR14))</f>
        <v>22.163250000000001</v>
      </c>
      <c r="BS16" s="149"/>
      <c r="BU16" s="214"/>
      <c r="BV16" s="214"/>
      <c r="BW16" s="214"/>
      <c r="BX16" s="214"/>
    </row>
    <row r="17" spans="1:76" s="117" customFormat="1">
      <c r="B17" s="729" t="s">
        <v>82</v>
      </c>
      <c r="C17" s="745">
        <f t="shared" ref="C17:H17" si="6">IF(IF(ISERROR(MAX(C10:C14)),"n/a",MAX(C10:C14))&lt;=0,"n/a",MAX(C10:C14))</f>
        <v>40689.241119999999</v>
      </c>
      <c r="D17" s="745">
        <f t="shared" si="6"/>
        <v>31110.524659999999</v>
      </c>
      <c r="E17" s="745">
        <f t="shared" si="6"/>
        <v>30003.80126</v>
      </c>
      <c r="F17" s="745">
        <f t="shared" si="6"/>
        <v>28119.59088</v>
      </c>
      <c r="G17" s="745">
        <f t="shared" si="6"/>
        <v>27998.347450000001</v>
      </c>
      <c r="H17" s="756">
        <f t="shared" si="6"/>
        <v>8.4826377682145404E-2</v>
      </c>
      <c r="I17" s="745"/>
      <c r="J17" s="745">
        <f t="shared" ref="J17:O17" si="7">IF(IF(ISERROR(MAX(J10:J14)),"n/a",MAX(J10:J14))&lt;=0,"n/a",MAX(J10:J14))</f>
        <v>7072.5264200000001</v>
      </c>
      <c r="K17" s="745">
        <f t="shared" si="7"/>
        <v>5721.5243300000002</v>
      </c>
      <c r="L17" s="745">
        <f t="shared" si="7"/>
        <v>5376.05213</v>
      </c>
      <c r="M17" s="745">
        <f t="shared" si="7"/>
        <v>4864.7340100000001</v>
      </c>
      <c r="N17" s="745">
        <f t="shared" si="7"/>
        <v>5279.90085</v>
      </c>
      <c r="O17" s="756">
        <f t="shared" si="7"/>
        <v>6.0204790586358081E-2</v>
      </c>
      <c r="P17" s="745"/>
      <c r="Q17" s="745">
        <f t="shared" ref="Q17:V17" si="8">IF(IF(ISERROR(MAX(Q10:Q14)),"n/a",MAX(Q10:Q14))&lt;=0,"n/a",MAX(Q10:Q14))</f>
        <v>5455.0912600000001</v>
      </c>
      <c r="R17" s="745">
        <f t="shared" si="8"/>
        <v>4506.4921400000003</v>
      </c>
      <c r="S17" s="745">
        <f t="shared" si="8"/>
        <v>4208.5256600000002</v>
      </c>
      <c r="T17" s="745">
        <f t="shared" si="8"/>
        <v>3769.2912900000001</v>
      </c>
      <c r="U17" s="745">
        <f t="shared" si="8"/>
        <v>4118.9836800000003</v>
      </c>
      <c r="V17" s="756">
        <f t="shared" si="8"/>
        <v>5.7797143347868341E-2</v>
      </c>
      <c r="W17" s="745"/>
      <c r="X17" s="756">
        <f t="shared" ref="X17:AC17" si="9">IF(IF(ISERROR(MAX(X10:X14)),"n/a",MAX(X10:X14))&lt;=0,"n/a",MAX(X10:X14))</f>
        <v>0.149808</v>
      </c>
      <c r="Y17" s="756">
        <f t="shared" si="9"/>
        <v>0.14822100000000002</v>
      </c>
      <c r="Z17" s="756">
        <f t="shared" si="9"/>
        <v>0.18918600000000002</v>
      </c>
      <c r="AA17" s="756">
        <f t="shared" si="9"/>
        <v>0.14452400000000001</v>
      </c>
      <c r="AB17" s="756">
        <f t="shared" si="9"/>
        <v>0.43721300000000002</v>
      </c>
      <c r="AC17" s="752">
        <f t="shared" si="9"/>
        <v>0.1227722</v>
      </c>
      <c r="AD17" s="745"/>
      <c r="AE17" s="756">
        <f t="shared" ref="AE17:AJ17" si="10">IF(IF(ISERROR(MAX(AE10:AE14)),"n/a",MAX(AE10:AE14))&lt;=0,"n/a",MAX(AE10:AE14))</f>
        <v>8.6715E-2</v>
      </c>
      <c r="AF17" s="756">
        <f t="shared" si="10"/>
        <v>4.2591520000000003</v>
      </c>
      <c r="AG17" s="756">
        <f t="shared" si="10"/>
        <v>0.23164899999999999</v>
      </c>
      <c r="AH17" s="756">
        <f t="shared" si="10"/>
        <v>0.24431799999999998</v>
      </c>
      <c r="AI17" s="756">
        <f t="shared" si="10"/>
        <v>0.36817300000000003</v>
      </c>
      <c r="AJ17" s="752">
        <f t="shared" si="10"/>
        <v>2.0698910000000001</v>
      </c>
      <c r="AK17" s="756"/>
      <c r="AL17" s="756">
        <f>IF(IF(ISERROR(MAX(AL10:AL14)),"n/a",MAX(AL10:AL14))&lt;=0,"n/a",MAX(AL10:AL14))</f>
        <v>0.221336</v>
      </c>
      <c r="AM17" s="756">
        <f>IF(IF(ISERROR(MAX(AM10:AM14)),"n/a",MAX(AM10:AM14))&lt;=0,"n/a",MAX(AM10:AM14))</f>
        <v>0.22852</v>
      </c>
      <c r="AN17" s="756">
        <f>IF(IF(ISERROR(MAX(AN10:AN14)),"n/a",MAX(AN10:AN14))&lt;=0,"n/a",MAX(AN10:AN14))</f>
        <v>0.28298200000000001</v>
      </c>
      <c r="AO17" s="756">
        <f>IF(IF(ISERROR(MAX(AO10:AO14)),"n/a",MAX(AO10:AO14))&lt;=0,"n/a",MAX(AO10:AO14))</f>
        <v>0.29935899999999999</v>
      </c>
      <c r="AP17" s="756">
        <f>IF(IF(ISERROR(MAX(AP10:AP14)),"n/a",MAX(AP10:AP14))&lt;=0,"n/a",MAX(AP10:AP14))</f>
        <v>0.27202000000000004</v>
      </c>
      <c r="AQ17" s="746"/>
      <c r="AR17" s="756">
        <f>IF(IF(ISERROR(MAX(AR9:AR14)),"n/a",MAX(AR9:AR14))&lt;=0,"n/a",MAX(AR9:AR14))</f>
        <v>6.4183000000000004E-2</v>
      </c>
      <c r="AS17" s="756">
        <f>IF(IF(ISERROR(MAX(AS9:AS14)),"n/a",MAX(AS9:AS14))&lt;=0,"n/a",MAX(AS9:AS14))</f>
        <v>0.101677</v>
      </c>
      <c r="AT17" s="756">
        <f>IF(IF(ISERROR(MAX(AT9:AT14)),"n/a",MAX(AT9:AT14))&lt;=0,"n/a",MAX(AT9:AT14))</f>
        <v>0.24437999999999999</v>
      </c>
      <c r="AU17" s="756">
        <f>IF(IF(ISERROR(MAX(AU9:AU14)),"n/a",MAX(AU9:AU14))&lt;=0,"n/a",MAX(AU9:AU14))</f>
        <v>0.25305900000000003</v>
      </c>
      <c r="AV17" s="756">
        <f>IF(IF(ISERROR(MAX(AV9:AV14)),"n/a",MAX(AV9:AV14))&lt;=0,"n/a",MAX(AV9:AV14))</f>
        <v>0.32799100000000003</v>
      </c>
      <c r="AW17" s="752">
        <f>IF(IF(ISERROR(MAX(AW10:AW14)),"n/a",MAX(AW10:AW14))&lt;=0,"n/a",MAX(AW10:AW14))</f>
        <v>8.9805600000000013E-2</v>
      </c>
      <c r="AX17" s="756"/>
      <c r="AY17" s="756">
        <f>IF(IF(ISERROR(MAX(AY9:AY14)),"n/a",MAX(AY9:AY14))&lt;=0,"n/a",MAX(AY9:AY14))</f>
        <v>0.16553399999999999</v>
      </c>
      <c r="AZ17" s="756">
        <f>IF(IF(ISERROR(MAX(AZ9:AZ14)),"n/a",MAX(AZ9:AZ14))&lt;=0,"n/a",MAX(AZ9:AZ14))</f>
        <v>0.18335599999999999</v>
      </c>
      <c r="BA17" s="756">
        <f>IF(IF(ISERROR(MAX(BA9:BA14)),"n/a",MAX(BA9:BA14))&lt;=0,"n/a",MAX(BA9:BA14))</f>
        <v>0.23421199999999998</v>
      </c>
      <c r="BB17" s="756">
        <f>IF(IF(ISERROR(MAX(BB9:BB14)),"n/a",MAX(BB9:BB14))&lt;=0,"n/a",MAX(BB9:BB14))</f>
        <v>0.24848500000000001</v>
      </c>
      <c r="BC17" s="756">
        <f>IF(IF(ISERROR(MAX(BC9:BC14)),"n/a",MAX(BC9:BC14))&lt;=0,"n/a",MAX(BC9:BC14))</f>
        <v>0.22421600000000003</v>
      </c>
      <c r="BD17" s="746"/>
      <c r="BE17" s="745">
        <f>IF(IF(ISERROR(MAX(BE9:BE14)),"n/a",MAX(BE9:BE14))&lt;=0,"n/a",MAX(BE9:BE14))</f>
        <v>73.305139999999994</v>
      </c>
      <c r="BF17" s="745">
        <f>IF(IF(ISERROR(MAX(BF9:BF14)),"n/a",MAX(BF9:BF14))&lt;=0,"n/a",MAX(BF9:BF14))</f>
        <v>77.608099999999993</v>
      </c>
      <c r="BG17" s="745">
        <f>IF(IF(ISERROR(MAX(BG9:BG14)),"n/a",MAX(BG9:BG14))&lt;=0,"n/a",MAX(BG9:BG14))</f>
        <v>77.709599999999995</v>
      </c>
      <c r="BH17" s="745">
        <f>IF(IF(ISERROR(MAX(BH9:BH14)),"n/a",MAX(BH9:BH14))&lt;=0,"n/a",MAX(BH9:BH14))</f>
        <v>76.207613333333327</v>
      </c>
      <c r="BI17" s="746"/>
      <c r="BJ17" s="745">
        <f>IF(IF(ISERROR(MAX(BJ9:BJ14)),"n/a",MAX(BJ9:BJ14))&lt;=0,"n/a",MAX(BJ9:BJ14))</f>
        <v>77.790629999999993</v>
      </c>
      <c r="BK17" s="745">
        <f>IF(IF(ISERROR(MAX(BK9:BK14)),"n/a",MAX(BK9:BK14))&lt;=0,"n/a",MAX(BK9:BK14))</f>
        <v>72.925129999999996</v>
      </c>
      <c r="BL17" s="745">
        <f>IF(IF(ISERROR(MAX(BL9:BL14)),"n/a",MAX(BL9:BL14))&lt;=0,"n/a",MAX(BL9:BL14))</f>
        <v>74.795069999999996</v>
      </c>
      <c r="BM17" s="745">
        <f>IF(IF(ISERROR(MAX(BM9:BM14)),"n/a",MAX(BM9:BM14))&lt;=0,"n/a",MAX(BM9:BM14))</f>
        <v>75.170276666666666</v>
      </c>
      <c r="BN17" s="747"/>
      <c r="BO17" s="745">
        <f>IF(IF(ISERROR(MAX(BO9:BO14)),"n/a",MAX(BO9:BO14))&lt;=0,"n/a",MAX(BO9:BO14))</f>
        <v>24.53603</v>
      </c>
      <c r="BP17" s="745">
        <f>IF(IF(ISERROR(MAX(BP9:BP14)),"n/a",MAX(BP9:BP14))&lt;=0,"n/a",MAX(BP9:BP14))</f>
        <v>25.796050000000001</v>
      </c>
      <c r="BQ17" s="745">
        <f>IF(IF(ISERROR(MAX(BQ9:BQ14)),"n/a",MAX(BQ9:BQ14))&lt;=0,"n/a",MAX(BQ9:BQ14))</f>
        <v>25.355090000000001</v>
      </c>
      <c r="BR17" s="748">
        <f>IF(IF(ISERROR(MAX(BR9:BR14)),"n/a",MAX(BR9:BR14))&lt;=0,"n/a",MAX(BR9:BR14))</f>
        <v>24.762466666666668</v>
      </c>
      <c r="BS17" s="149"/>
      <c r="BU17" s="214"/>
      <c r="BV17" s="214"/>
      <c r="BW17" s="214"/>
      <c r="BX17" s="214"/>
    </row>
    <row r="18" spans="1:76" s="117" customFormat="1">
      <c r="A18" s="95"/>
      <c r="B18" s="729" t="s">
        <v>83</v>
      </c>
      <c r="C18" s="745">
        <f t="shared" ref="C18:H18" si="11">IF(ISERROR(MEDIAN(C10:C14)),"n/a",MEDIAN(C10:C14))</f>
        <v>10883.666999999999</v>
      </c>
      <c r="D18" s="745">
        <f t="shared" si="11"/>
        <v>10695.79</v>
      </c>
      <c r="E18" s="745">
        <f t="shared" si="11"/>
        <v>9973.0049999999992</v>
      </c>
      <c r="F18" s="745">
        <f t="shared" si="11"/>
        <v>12780.653</v>
      </c>
      <c r="G18" s="745">
        <f t="shared" si="11"/>
        <v>11759.198</v>
      </c>
      <c r="H18" s="756">
        <f t="shared" si="11"/>
        <v>7.762941719967742E-2</v>
      </c>
      <c r="I18" s="745"/>
      <c r="J18" s="745">
        <f t="shared" ref="J18:O18" si="12">IF(ISERROR(MEDIAN(J10:J14)),"n/a",MEDIAN(J10:J14))</f>
        <v>2408.9569999999999</v>
      </c>
      <c r="K18" s="745">
        <f t="shared" si="12"/>
        <v>2401.89</v>
      </c>
      <c r="L18" s="745">
        <f t="shared" si="12"/>
        <v>2259.6060000000002</v>
      </c>
      <c r="M18" s="745">
        <f t="shared" si="12"/>
        <v>2398.0439999999999</v>
      </c>
      <c r="N18" s="745">
        <f t="shared" si="12"/>
        <v>2382.2710000000002</v>
      </c>
      <c r="O18" s="756">
        <f t="shared" si="12"/>
        <v>3.5971979756778572E-2</v>
      </c>
      <c r="P18" s="745"/>
      <c r="Q18" s="745">
        <f t="shared" ref="Q18:V18" si="13">IF(ISERROR(MEDIAN(Q10:Q14)),"n/a",MEDIAN(Q10:Q14))</f>
        <v>1631.675</v>
      </c>
      <c r="R18" s="745">
        <f t="shared" si="13"/>
        <v>1681.87</v>
      </c>
      <c r="S18" s="745">
        <f t="shared" si="13"/>
        <v>1621.913</v>
      </c>
      <c r="T18" s="745">
        <f t="shared" si="13"/>
        <v>1808.9069999999999</v>
      </c>
      <c r="U18" s="745">
        <f t="shared" si="13"/>
        <v>1855.5989999999999</v>
      </c>
      <c r="V18" s="756">
        <f t="shared" si="13"/>
        <v>2.0949924141173693E-2</v>
      </c>
      <c r="W18" s="745"/>
      <c r="X18" s="756">
        <f t="shared" ref="X18:AC18" si="14">IF(ISERROR(MEDIAN(X10:X14)),"n/a",MEDIAN(X10:X14))</f>
        <v>7.3257000000000003E-2</v>
      </c>
      <c r="Y18" s="756">
        <f t="shared" si="14"/>
        <v>7.2473999999999997E-2</v>
      </c>
      <c r="Z18" s="756">
        <f t="shared" si="14"/>
        <v>0.114832</v>
      </c>
      <c r="AA18" s="756">
        <f t="shared" si="14"/>
        <v>0.13067999999999999</v>
      </c>
      <c r="AB18" s="756">
        <f t="shared" si="14"/>
        <v>8.7956000000000006E-2</v>
      </c>
      <c r="AC18" s="752">
        <f t="shared" si="14"/>
        <v>0.10251080000000001</v>
      </c>
      <c r="AD18" s="745"/>
      <c r="AE18" s="756">
        <f t="shared" ref="AE18:AJ18" si="15">IF(ISERROR(MEDIAN(AE10:AE14)),"n/a",MEDIAN(AE10:AE14))</f>
        <v>-6.9080000000000001E-3</v>
      </c>
      <c r="AF18" s="756">
        <f t="shared" si="15"/>
        <v>8.8994999999999991E-2</v>
      </c>
      <c r="AG18" s="756">
        <f t="shared" si="15"/>
        <v>6.9960999999999995E-2</v>
      </c>
      <c r="AH18" s="756">
        <f t="shared" si="15"/>
        <v>3.2933999999999998E-2</v>
      </c>
      <c r="AI18" s="756">
        <f t="shared" si="15"/>
        <v>3.9615499999999998E-2</v>
      </c>
      <c r="AJ18" s="752">
        <f t="shared" si="15"/>
        <v>7.6594599999999999E-2</v>
      </c>
      <c r="AK18" s="756"/>
      <c r="AL18" s="756">
        <f>IF(ISERROR(MEDIAN(AL10:AL14)),"n/a",MEDIAN(AL10:AL14))</f>
        <v>0.17381799999999997</v>
      </c>
      <c r="AM18" s="756">
        <f>IF(ISERROR(MEDIAN(AM10:AM14)),"n/a",MEDIAN(AM10:AM14))</f>
        <v>0.18417899999999998</v>
      </c>
      <c r="AN18" s="756">
        <f>IF(ISERROR(MEDIAN(AN10:AN14)),"n/a",MEDIAN(AN10:AN14))</f>
        <v>0.18132699999999999</v>
      </c>
      <c r="AO18" s="756">
        <f>IF(ISERROR(MEDIAN(AO10:AO14)),"n/a",MEDIAN(AO10:AO14))</f>
        <v>0.18154000000000001</v>
      </c>
      <c r="AP18" s="756">
        <f>IF(ISERROR(MEDIAN(AP10:AP14)),"n/a",MEDIAN(AP10:AP14))</f>
        <v>0.193248</v>
      </c>
      <c r="AQ18" s="746"/>
      <c r="AR18" s="756">
        <f>IF(ISERROR(MEDIAN(AR9:AR14)),"n/a",MEDIAN(AR9:AR14))</f>
        <v>-2.6628499999999999E-2</v>
      </c>
      <c r="AS18" s="756">
        <f>IF(ISERROR(MEDIAN(AS9:AS14)),"n/a",MEDIAN(AS9:AS14))</f>
        <v>6.3981999999999997E-2</v>
      </c>
      <c r="AT18" s="756">
        <f>IF(ISERROR(MEDIAN(AT9:AT14)),"n/a",MEDIAN(AT9:AT14))</f>
        <v>7.3467000000000005E-2</v>
      </c>
      <c r="AU18" s="756">
        <f>IF(ISERROR(MEDIAN(AU9:AU14)),"n/a",MEDIAN(AU9:AU14))</f>
        <v>2.0472499999999998E-2</v>
      </c>
      <c r="AV18" s="756">
        <f>IF(ISERROR(MEDIAN(AV9:AV14)),"n/a",MEDIAN(AV9:AV14))</f>
        <v>2.2335500000000001E-2</v>
      </c>
      <c r="AW18" s="752">
        <f>IF(ISERROR(MEDIAN(AW10:AW14)),"n/a",MEDIAN(AW10:AW14))</f>
        <v>3.6790900000000001E-2</v>
      </c>
      <c r="AX18" s="756"/>
      <c r="AY18" s="756">
        <f>IF(ISERROR(MEDIAN(AY9:AY14)),"n/a",MEDIAN(AY9:AY14))</f>
        <v>0.13406700000000002</v>
      </c>
      <c r="AZ18" s="756">
        <f>IF(ISERROR(MEDIAN(AZ9:AZ14)),"n/a",MEDIAN(AZ9:AZ14))</f>
        <v>0.14485400000000001</v>
      </c>
      <c r="BA18" s="756">
        <f>IF(ISERROR(MEDIAN(BA9:BA14)),"n/a",MEDIAN(BA9:BA14))</f>
        <v>0.140266</v>
      </c>
      <c r="BB18" s="756">
        <f>IF(ISERROR(MEDIAN(BB9:BB14)),"n/a",MEDIAN(BB9:BB14))</f>
        <v>0.13819599999999999</v>
      </c>
      <c r="BC18" s="756">
        <f>IF(ISERROR(MEDIAN(BC9:BC14)),"n/a",MEDIAN(BC9:BC14))</f>
        <v>0.149727</v>
      </c>
      <c r="BD18" s="746"/>
      <c r="BE18" s="745">
        <f>IF(ISERROR(MEDIAN(BE9:BE14)),"n/a",MEDIAN(BE9:BE14))</f>
        <v>61.091149999999999</v>
      </c>
      <c r="BF18" s="745">
        <f>IF(ISERROR(MEDIAN(BF9:BF14)),"n/a",MEDIAN(BF9:BF14))</f>
        <v>62.082380000000001</v>
      </c>
      <c r="BG18" s="745">
        <f>IF(ISERROR(MEDIAN(BG9:BG14)),"n/a",MEDIAN(BG9:BG14))</f>
        <v>60.37283</v>
      </c>
      <c r="BH18" s="745">
        <f>IF(ISERROR(MEDIAN(BH9:BH14)),"n/a",MEDIAN(BH9:BH14))</f>
        <v>61.486893333333335</v>
      </c>
      <c r="BI18" s="746"/>
      <c r="BJ18" s="745">
        <f>IF(ISERROR(MEDIAN(BJ9:BJ14)),"n/a",MEDIAN(BJ9:BJ14))</f>
        <v>40.718310000000002</v>
      </c>
      <c r="BK18" s="745">
        <f>IF(ISERROR(MEDIAN(BK9:BK14)),"n/a",MEDIAN(BK9:BK14))</f>
        <v>42.968769999999999</v>
      </c>
      <c r="BL18" s="745">
        <f>IF(ISERROR(MEDIAN(BL9:BL14)),"n/a",MEDIAN(BL9:BL14))</f>
        <v>40.159489999999998</v>
      </c>
      <c r="BM18" s="745">
        <f>IF(ISERROR(MEDIAN(BM9:BM14)),"n/a",MEDIAN(BM9:BM14))</f>
        <v>41.282190000000007</v>
      </c>
      <c r="BN18" s="747"/>
      <c r="BO18" s="745">
        <f>IF(ISERROR(MEDIAN(BO9:BO14)),"n/a",MEDIAN(BO9:BO14))</f>
        <v>23.34796</v>
      </c>
      <c r="BP18" s="745">
        <f>IF(ISERROR(MEDIAN(BP9:BP14)),"n/a",MEDIAN(BP9:BP14))</f>
        <v>23.507449999999999</v>
      </c>
      <c r="BQ18" s="745">
        <f>IF(ISERROR(MEDIAN(BQ9:BQ14)),"n/a",MEDIAN(BQ9:BQ14))</f>
        <v>22.749359999999999</v>
      </c>
      <c r="BR18" s="748">
        <f>IF(ISERROR(MEDIAN(BR9:BR14)),"n/a",MEDIAN(BR9:BR14))</f>
        <v>22.883430000000001</v>
      </c>
      <c r="BS18" s="149"/>
      <c r="BU18" s="214"/>
      <c r="BV18" s="214"/>
      <c r="BW18" s="214"/>
      <c r="BX18" s="214"/>
    </row>
    <row r="19" spans="1:76" s="117" customFormat="1">
      <c r="A19" s="95"/>
      <c r="B19" s="729" t="s">
        <v>84</v>
      </c>
      <c r="C19" s="745">
        <f t="shared" ref="C19:H19" si="16">IF(ISERROR(AVERAGE(C10:C14)),"n/a",AVERAGE(C10:C14))</f>
        <v>14813.18161</v>
      </c>
      <c r="D19" s="745">
        <f t="shared" si="16"/>
        <v>12082.795533999999</v>
      </c>
      <c r="E19" s="745">
        <f t="shared" si="16"/>
        <v>11550.197096</v>
      </c>
      <c r="F19" s="745">
        <f t="shared" si="16"/>
        <v>11579.347775999999</v>
      </c>
      <c r="G19" s="745">
        <f t="shared" si="16"/>
        <v>11082.255090000001</v>
      </c>
      <c r="H19" s="756">
        <f t="shared" si="16"/>
        <v>6.1124219199079954E-2</v>
      </c>
      <c r="I19" s="745"/>
      <c r="J19" s="745">
        <f t="shared" ref="J19:O19" si="17">IF(ISERROR(AVERAGE(J10:J14)),"n/a",AVERAGE(J10:J14))</f>
        <v>2658.9106600000005</v>
      </c>
      <c r="K19" s="745">
        <f t="shared" si="17"/>
        <v>2306.1958779999995</v>
      </c>
      <c r="L19" s="745">
        <f t="shared" si="17"/>
        <v>2173.3659440000001</v>
      </c>
      <c r="M19" s="745">
        <f t="shared" si="17"/>
        <v>2070.1544020000001</v>
      </c>
      <c r="N19" s="745">
        <f t="shared" si="17"/>
        <v>2133.8279699999998</v>
      </c>
      <c r="O19" s="756">
        <f t="shared" si="17"/>
        <v>-0.40191505551375251</v>
      </c>
      <c r="P19" s="745"/>
      <c r="Q19" s="745">
        <f t="shared" ref="Q19:V19" si="18">IF(ISERROR(AVERAGE(Q10:Q14)),"n/a",AVERAGE(Q10:Q14))</f>
        <v>1991.8616259999999</v>
      </c>
      <c r="R19" s="745">
        <f t="shared" si="18"/>
        <v>1760.6128980000001</v>
      </c>
      <c r="S19" s="745">
        <f t="shared" si="18"/>
        <v>1661.718754</v>
      </c>
      <c r="T19" s="745">
        <f t="shared" si="18"/>
        <v>1585.0080580000001</v>
      </c>
      <c r="U19" s="745">
        <f t="shared" si="18"/>
        <v>1659.6141360000001</v>
      </c>
      <c r="V19" s="756">
        <f t="shared" si="18"/>
        <v>-1.5440108375961192E-2</v>
      </c>
      <c r="W19" s="745"/>
      <c r="X19" s="756">
        <f t="shared" ref="X19:AC19" si="19">IF(ISERROR(AVERAGE(X10:X14)),"n/a",AVERAGE(X10:X14))</f>
        <v>6.1928800000000006E-2</v>
      </c>
      <c r="Y19" s="756">
        <f t="shared" si="19"/>
        <v>8.9925199999999997E-2</v>
      </c>
      <c r="Z19" s="756">
        <f t="shared" si="19"/>
        <v>5.7837200000000012E-2</v>
      </c>
      <c r="AA19" s="756">
        <f t="shared" si="19"/>
        <v>0.11759040000000001</v>
      </c>
      <c r="AB19" s="756">
        <f t="shared" si="19"/>
        <v>0.16036240000000002</v>
      </c>
      <c r="AC19" s="752">
        <f t="shared" si="19"/>
        <v>9.7528799999999999E-2</v>
      </c>
      <c r="AD19" s="745"/>
      <c r="AE19" s="756">
        <f t="shared" ref="AE19:AJ19" si="20">IF(ISERROR(AVERAGE(AE10:AE14)),"n/a",AVERAGE(AE10:AE14))</f>
        <v>-1.9419799999999997E-2</v>
      </c>
      <c r="AF19" s="756">
        <f t="shared" si="20"/>
        <v>0.88666040000000002</v>
      </c>
      <c r="AG19" s="756">
        <f t="shared" si="20"/>
        <v>7.8460249999999995E-2</v>
      </c>
      <c r="AH19" s="756">
        <f t="shared" si="20"/>
        <v>7.9201499999999994E-2</v>
      </c>
      <c r="AI19" s="756">
        <f t="shared" si="20"/>
        <v>0.1158255</v>
      </c>
      <c r="AJ19" s="752">
        <f t="shared" si="20"/>
        <v>0.46559300000000003</v>
      </c>
      <c r="AK19" s="756"/>
      <c r="AL19" s="756">
        <f>IF(ISERROR(AVERAGE(AL10:AL14)),"n/a",AVERAGE(AL10:AL14))</f>
        <v>0.1628744</v>
      </c>
      <c r="AM19" s="756">
        <f>IF(ISERROR(AVERAGE(AM10:AM14)),"n/a",AVERAGE(AM10:AM14))</f>
        <v>0.17223259999999999</v>
      </c>
      <c r="AN19" s="756">
        <f>IF(ISERROR(AVERAGE(AN10:AN14)),"n/a",AVERAGE(AN10:AN14))</f>
        <v>0.17566959999999998</v>
      </c>
      <c r="AO19" s="756">
        <f>IF(ISERROR(AVERAGE(AO10:AO14)),"n/a",AVERAGE(AO10:AO14))</f>
        <v>0.16240899999999997</v>
      </c>
      <c r="AP19" s="756">
        <f>IF(ISERROR(AVERAGE(AP10:AP14)),"n/a",AVERAGE(AP10:AP14))</f>
        <v>0.16654180000000002</v>
      </c>
      <c r="AQ19" s="746"/>
      <c r="AR19" s="756">
        <f>IF(ISERROR(AVERAGE(AR9:AR14)),"n/a",AVERAGE(AR9:AR14))</f>
        <v>-2.2971499999999999E-2</v>
      </c>
      <c r="AS19" s="756">
        <f>IF(ISERROR(AVERAGE(AS9:AS14)),"n/a",AVERAGE(AS9:AS14))</f>
        <v>3.2136499999999998E-2</v>
      </c>
      <c r="AT19" s="756">
        <f>IF(ISERROR(AVERAGE(AT9:AT14)),"n/a",AVERAGE(AT9:AT14))</f>
        <v>7.198475E-2</v>
      </c>
      <c r="AU19" s="756">
        <f>IF(ISERROR(AVERAGE(AU9:AU14)),"n/a",AVERAGE(AU9:AU14))</f>
        <v>6.7210250000000013E-2</v>
      </c>
      <c r="AV19" s="756">
        <f>IF(ISERROR(AVERAGE(AV9:AV14)),"n/a",AVERAGE(AV9:AV14))</f>
        <v>9.2581750000000018E-2</v>
      </c>
      <c r="AW19" s="752">
        <f>IF(ISERROR(AVERAGE(AW10:AW14)),"n/a",AVERAGE(AW10:AW14))</f>
        <v>4.8188350000000005E-2</v>
      </c>
      <c r="AX19" s="756"/>
      <c r="AY19" s="756">
        <f>IF(ISERROR(AVERAGE(AY9:AY14)),"n/a",AVERAGE(AY9:AY14))</f>
        <v>0.11223900000000001</v>
      </c>
      <c r="AZ19" s="756">
        <f>IF(ISERROR(AVERAGE(AZ9:AZ14)),"n/a",AVERAGE(AZ9:AZ14))</f>
        <v>0.123393</v>
      </c>
      <c r="BA19" s="756">
        <f>IF(ISERROR(AVERAGE(BA9:BA14)),"n/a",AVERAGE(BA9:BA14))</f>
        <v>0.12671380000000002</v>
      </c>
      <c r="BB19" s="756">
        <f>IF(ISERROR(AVERAGE(BB9:BB14)),"n/a",AVERAGE(BB9:BB14))</f>
        <v>0.11773439999999999</v>
      </c>
      <c r="BC19" s="756">
        <f>IF(ISERROR(AVERAGE(BC9:BC14)),"n/a",AVERAGE(BC9:BC14))</f>
        <v>0.12225899999999998</v>
      </c>
      <c r="BD19" s="746"/>
      <c r="BE19" s="745">
        <f>IF(ISERROR(AVERAGE(BE9:BE14)),"n/a",AVERAGE(BE9:BE14))</f>
        <v>53.078301999999994</v>
      </c>
      <c r="BF19" s="745">
        <f>IF(ISERROR(AVERAGE(BF9:BF14)),"n/a",AVERAGE(BF9:BF14))</f>
        <v>54.121003999999992</v>
      </c>
      <c r="BG19" s="745">
        <f>IF(ISERROR(AVERAGE(BG9:BG14)),"n/a",AVERAGE(BG9:BG14))</f>
        <v>54.817164000000005</v>
      </c>
      <c r="BH19" s="745">
        <f>IF(ISERROR(AVERAGE(BH9:BH14)),"n/a",AVERAGE(BH9:BH14))</f>
        <v>54.005489999999995</v>
      </c>
      <c r="BI19" s="746"/>
      <c r="BJ19" s="745">
        <f>IF(ISERROR(AVERAGE(BJ9:BJ14)),"n/a",AVERAGE(BJ9:BJ14))</f>
        <v>36.086094000000003</v>
      </c>
      <c r="BK19" s="745">
        <f>IF(ISERROR(AVERAGE(BK9:BK14)),"n/a",AVERAGE(BK9:BK14))</f>
        <v>36.701015999999996</v>
      </c>
      <c r="BL19" s="745">
        <f>IF(ISERROR(AVERAGE(BL9:BL14)),"n/a",AVERAGE(BL9:BL14))</f>
        <v>35.482602</v>
      </c>
      <c r="BM19" s="745">
        <f>IF(ISERROR(AVERAGE(BM9:BM14)),"n/a",AVERAGE(BM9:BM14))</f>
        <v>36.089904000000004</v>
      </c>
      <c r="BN19" s="747"/>
      <c r="BO19" s="745">
        <f>IF(ISERROR(AVERAGE(BO9:BO14)),"n/a",AVERAGE(BO9:BO14))</f>
        <v>23.70449</v>
      </c>
      <c r="BP19" s="745">
        <f>IF(ISERROR(AVERAGE(BP9:BP14)),"n/a",AVERAGE(BP9:BP14))</f>
        <v>23.102945999999996</v>
      </c>
      <c r="BQ19" s="745">
        <f>IF(ISERROR(AVERAGE(BQ9:BQ14)),"n/a",AVERAGE(BQ9:BQ14))</f>
        <v>22.942733999999998</v>
      </c>
      <c r="BR19" s="748">
        <f>IF(ISERROR(AVERAGE(BR9:BR14)),"n/a",AVERAGE(BR9:BR14))</f>
        <v>23.250056666666673</v>
      </c>
      <c r="BS19" s="149"/>
      <c r="BU19" s="214"/>
      <c r="BV19" s="214"/>
      <c r="BW19" s="214"/>
      <c r="BX19" s="214"/>
    </row>
    <row r="20" spans="1:76" s="117" customFormat="1">
      <c r="A20" s="95"/>
      <c r="B20" s="729" t="s">
        <v>337</v>
      </c>
      <c r="C20" s="745">
        <f t="shared" ref="C20:H20" si="21">IFERROR(QUARTILE(C10:C14,1),"n/a")</f>
        <v>745.10599999999999</v>
      </c>
      <c r="D20" s="745">
        <f t="shared" si="21"/>
        <v>749.76700000000005</v>
      </c>
      <c r="E20" s="745">
        <f t="shared" si="21"/>
        <v>652.98099999999999</v>
      </c>
      <c r="F20" s="745">
        <f t="shared" si="21"/>
        <v>560.73400000000004</v>
      </c>
      <c r="G20" s="745">
        <f t="shared" si="21"/>
        <v>495.92599999999999</v>
      </c>
      <c r="H20" s="756">
        <f t="shared" si="21"/>
        <v>7.4709776001959716E-2</v>
      </c>
      <c r="I20" s="745"/>
      <c r="J20" s="745">
        <f t="shared" ref="J20:O20" si="22">IFERROR(QUARTILE(J10:J14,1),"n/a")</f>
        <v>160.97499999999999</v>
      </c>
      <c r="K20" s="745">
        <f t="shared" si="22"/>
        <v>171.33699999999999</v>
      </c>
      <c r="L20" s="745">
        <f t="shared" si="22"/>
        <v>184.78200000000001</v>
      </c>
      <c r="M20" s="745">
        <f t="shared" si="22"/>
        <v>167.86099999999999</v>
      </c>
      <c r="N20" s="745">
        <f t="shared" si="22"/>
        <v>134.90199999999999</v>
      </c>
      <c r="O20" s="756">
        <f t="shared" si="22"/>
        <v>2.230411543477695E-3</v>
      </c>
      <c r="P20" s="745"/>
      <c r="Q20" s="745">
        <f t="shared" ref="Q20:V20" si="23">IFERROR(QUARTILE(Q10:Q14,1),"n/a")</f>
        <v>123.34099999999999</v>
      </c>
      <c r="R20" s="745">
        <f t="shared" si="23"/>
        <v>137.47499999999999</v>
      </c>
      <c r="S20" s="745">
        <f t="shared" si="23"/>
        <v>152.93600000000001</v>
      </c>
      <c r="T20" s="745">
        <f t="shared" si="23"/>
        <v>139.334</v>
      </c>
      <c r="U20" s="745">
        <f t="shared" si="23"/>
        <v>111.19499999999999</v>
      </c>
      <c r="V20" s="756">
        <f t="shared" si="23"/>
        <v>-2.5392148116877733E-2</v>
      </c>
      <c r="W20" s="745"/>
      <c r="X20" s="756">
        <f t="shared" ref="X20:AC20" si="24">IFERROR(QUARTILE(X10:X14,1),"n/a")</f>
        <v>1.7565000000000001E-2</v>
      </c>
      <c r="Y20" s="756">
        <f t="shared" si="24"/>
        <v>7.2135999999999992E-2</v>
      </c>
      <c r="Z20" s="756">
        <f t="shared" si="24"/>
        <v>4.0336999999999998E-2</v>
      </c>
      <c r="AA20" s="756">
        <f t="shared" si="24"/>
        <v>8.6864000000000011E-2</v>
      </c>
      <c r="AB20" s="756">
        <f t="shared" si="24"/>
        <v>5.7790000000000001E-2</v>
      </c>
      <c r="AC20" s="752">
        <f t="shared" si="24"/>
        <v>7.8887200000000005E-2</v>
      </c>
      <c r="AD20" s="745"/>
      <c r="AE20" s="756">
        <f t="shared" ref="AE20:AJ20" si="25">IFERROR(QUARTILE(AE10:AE14,1),"n/a")</f>
        <v>-6.0477999999999997E-2</v>
      </c>
      <c r="AF20" s="756">
        <f t="shared" si="25"/>
        <v>6.2967999999999996E-2</v>
      </c>
      <c r="AG20" s="756">
        <f t="shared" si="25"/>
        <v>1.4906750000000003E-2</v>
      </c>
      <c r="AH20" s="756">
        <f t="shared" si="25"/>
        <v>1.4866999999999998E-2</v>
      </c>
      <c r="AI20" s="756">
        <f t="shared" si="25"/>
        <v>3.3451750000000002E-2</v>
      </c>
      <c r="AJ20" s="752">
        <f t="shared" si="25"/>
        <v>5.0236799999999991E-2</v>
      </c>
      <c r="AK20" s="756"/>
      <c r="AL20" s="756">
        <f>IFERROR(QUARTILE(AL10:AL14,1),"n/a")</f>
        <v>0.17042200000000002</v>
      </c>
      <c r="AM20" s="756">
        <f>IFERROR(QUARTILE(AM10:AM14,1),"n/a")</f>
        <v>0.18390899999999999</v>
      </c>
      <c r="AN20" s="756">
        <f>IFERROR(QUARTILE(AN10:AN14,1),"n/a")</f>
        <v>0.179179</v>
      </c>
      <c r="AO20" s="756">
        <f>IFERROR(QUARTILE(AO10:AO14,1),"n/a")</f>
        <v>0.17300100000000002</v>
      </c>
      <c r="AP20" s="756">
        <f>IFERROR(QUARTILE(AP10:AP14,1),"n/a")</f>
        <v>0.188579</v>
      </c>
      <c r="AQ20" s="746"/>
      <c r="AR20" s="756">
        <f>IFERROR(QUARTILE(AR9:AR14,1),"n/a")</f>
        <v>-4.8086749999999998E-2</v>
      </c>
      <c r="AS20" s="756">
        <f>IFERROR(QUARTILE(AS9:AS14,1),"n/a")</f>
        <v>2.4507499999999877E-3</v>
      </c>
      <c r="AT20" s="756">
        <f>IFERROR(QUARTILE(AT9:AT14,1),"n/a")</f>
        <v>1.1140999999999998E-2</v>
      </c>
      <c r="AU20" s="756">
        <f>IFERROR(QUARTILE(AU9:AU14,1),"n/a")</f>
        <v>-6.4242500000000029E-3</v>
      </c>
      <c r="AV20" s="756">
        <f>IFERROR(QUARTILE(AV9:AV14,1),"n/a")</f>
        <v>1.033775E-2</v>
      </c>
      <c r="AW20" s="752">
        <f>IFERROR(QUARTILE(AW10:AW14,1),"n/a")</f>
        <v>3.1541750000000007E-2</v>
      </c>
      <c r="AX20" s="756"/>
      <c r="AY20" s="756">
        <f>IFERROR(QUARTILE(AY9:AY14,1),"n/a")</f>
        <v>0.12906499999999999</v>
      </c>
      <c r="AZ20" s="756">
        <f>IFERROR(QUARTILE(AZ9:AZ14,1),"n/a")</f>
        <v>0.14183999999999999</v>
      </c>
      <c r="BA20" s="756">
        <f>IFERROR(QUARTILE(BA9:BA14,1),"n/a")</f>
        <v>0.13938800000000001</v>
      </c>
      <c r="BB20" s="756">
        <f>IFERROR(QUARTILE(BB9:BB14,1),"n/a")</f>
        <v>0.134045</v>
      </c>
      <c r="BC20" s="756">
        <f>IFERROR(QUARTILE(BC9:BC14,1),"n/a")</f>
        <v>0.147115</v>
      </c>
      <c r="BD20" s="746"/>
      <c r="BE20" s="745">
        <f>IFERROR(QUARTILE(BE9:BE14,1),"n/a")</f>
        <v>39.382040000000003</v>
      </c>
      <c r="BF20" s="745">
        <f>IFERROR(QUARTILE(BF9:BF14,1),"n/a")</f>
        <v>38.574939999999998</v>
      </c>
      <c r="BG20" s="745">
        <f>IFERROR(QUARTILE(BG9:BG14,1),"n/a")</f>
        <v>41.322380000000003</v>
      </c>
      <c r="BH20" s="745">
        <f>IFERROR(QUARTILE(BH9:BH14,1),"n/a")</f>
        <v>39.759786666666663</v>
      </c>
      <c r="BI20" s="746"/>
      <c r="BJ20" s="745">
        <f>IFERROR(QUARTILE(BJ9:BJ14,1),"n/a")</f>
        <v>8.1745400000000004</v>
      </c>
      <c r="BK20" s="745">
        <f>IFERROR(QUARTILE(BK9:BK14,1),"n/a")</f>
        <v>8.5197500000000002</v>
      </c>
      <c r="BL20" s="745">
        <f>IFERROR(QUARTILE(BL9:BL14,1),"n/a")</f>
        <v>8.5618099999999995</v>
      </c>
      <c r="BM20" s="745">
        <f>IFERROR(QUARTILE(BM9:BM14,1),"n/a")</f>
        <v>8.4187000000000012</v>
      </c>
      <c r="BN20" s="747"/>
      <c r="BO20" s="745">
        <f>IFERROR(QUARTILE(BO9:BO14,1),"n/a")</f>
        <v>23.210719999999998</v>
      </c>
      <c r="BP20" s="745">
        <f>IFERROR(QUARTILE(BP9:BP14,1),"n/a")</f>
        <v>21.700510000000001</v>
      </c>
      <c r="BQ20" s="745">
        <f>IFERROR(QUARTILE(BQ9:BQ14,1),"n/a")</f>
        <v>21.794879999999999</v>
      </c>
      <c r="BR20" s="748">
        <f>IFERROR(QUARTILE(BR9:BR14,1),"n/a")</f>
        <v>22.327593333333336</v>
      </c>
      <c r="BS20" s="149"/>
      <c r="BU20" s="214"/>
      <c r="BV20" s="214"/>
      <c r="BW20" s="214"/>
      <c r="BX20" s="214"/>
    </row>
    <row r="21" spans="1:76" s="117" customFormat="1">
      <c r="A21" s="95"/>
      <c r="B21" s="734" t="s">
        <v>422</v>
      </c>
      <c r="C21" s="749">
        <f t="shared" ref="C21:H21" si="26">IFERROR(QUARTILE(C10:C14,3),"n/a")</f>
        <v>21353.952929999999</v>
      </c>
      <c r="D21" s="749">
        <f t="shared" si="26"/>
        <v>17491.51801</v>
      </c>
      <c r="E21" s="749">
        <f t="shared" si="26"/>
        <v>16785.075219999999</v>
      </c>
      <c r="F21" s="749">
        <f t="shared" si="26"/>
        <v>16134.26</v>
      </c>
      <c r="G21" s="749">
        <f t="shared" si="26"/>
        <v>14894.375</v>
      </c>
      <c r="H21" s="757">
        <f t="shared" si="26"/>
        <v>8.3810913744209126E-2</v>
      </c>
      <c r="I21" s="749"/>
      <c r="J21" s="749">
        <f t="shared" ref="J21:O21" si="27">IFERROR(QUARTILE(J10:J14,3),"n/a")</f>
        <v>3639.1918799999999</v>
      </c>
      <c r="K21" s="749">
        <f t="shared" si="27"/>
        <v>3221.5760599999999</v>
      </c>
      <c r="L21" s="749">
        <f t="shared" si="27"/>
        <v>3043.6035900000002</v>
      </c>
      <c r="M21" s="749">
        <f t="shared" si="27"/>
        <v>2929.0230000000001</v>
      </c>
      <c r="N21" s="749">
        <f t="shared" si="27"/>
        <v>2878.3159999999998</v>
      </c>
      <c r="O21" s="757">
        <f t="shared" si="27"/>
        <v>4.802899135250871E-2</v>
      </c>
      <c r="P21" s="749"/>
      <c r="Q21" s="749">
        <f t="shared" ref="Q21:V21" si="28">IFERROR(QUARTILE(Q10:Q14,3),"n/a")</f>
        <v>2756.0518699999998</v>
      </c>
      <c r="R21" s="749">
        <f t="shared" si="28"/>
        <v>2481.01235</v>
      </c>
      <c r="S21" s="749">
        <f t="shared" si="28"/>
        <v>2339.6481100000001</v>
      </c>
      <c r="T21" s="749">
        <f t="shared" si="28"/>
        <v>2229.6950000000002</v>
      </c>
      <c r="U21" s="749">
        <f t="shared" si="28"/>
        <v>2230.0909999999999</v>
      </c>
      <c r="V21" s="757">
        <f t="shared" si="28"/>
        <v>4.3260970763487894E-2</v>
      </c>
      <c r="W21" s="749"/>
      <c r="X21" s="757">
        <f t="shared" ref="X21:AC21" si="29">IFERROR(QUARTILE(X10:X14,3),"n/a")</f>
        <v>7.5231000000000006E-2</v>
      </c>
      <c r="Y21" s="757">
        <f t="shared" si="29"/>
        <v>9.0010999999999994E-2</v>
      </c>
      <c r="Z21" s="757">
        <f t="shared" si="29"/>
        <v>0.16451099999999999</v>
      </c>
      <c r="AA21" s="757">
        <f t="shared" si="29"/>
        <v>0.14263899999999999</v>
      </c>
      <c r="AB21" s="757">
        <f t="shared" si="29"/>
        <v>0.17666599999999999</v>
      </c>
      <c r="AC21" s="757">
        <f t="shared" si="29"/>
        <v>0.1181208</v>
      </c>
      <c r="AD21" s="749"/>
      <c r="AE21" s="757">
        <f t="shared" ref="AE21:AJ21" si="30">IFERROR(QUARTILE(AE10:AE14,3),"n/a")</f>
        <v>2.9420000000000002E-3</v>
      </c>
      <c r="AF21" s="757">
        <f t="shared" si="30"/>
        <v>9.4948999999999992E-2</v>
      </c>
      <c r="AG21" s="757">
        <f t="shared" si="30"/>
        <v>0.13351449999999998</v>
      </c>
      <c r="AH21" s="757">
        <f t="shared" si="30"/>
        <v>9.7268499999999994E-2</v>
      </c>
      <c r="AI21" s="757">
        <f t="shared" si="30"/>
        <v>0.12198924999999999</v>
      </c>
      <c r="AJ21" s="757">
        <f t="shared" si="30"/>
        <v>9.5492600000000011E-2</v>
      </c>
      <c r="AK21" s="757"/>
      <c r="AL21" s="757">
        <f>IFERROR(QUARTILE(AL10:AL14,3),"n/a")</f>
        <v>0.21604299999999999</v>
      </c>
      <c r="AM21" s="757">
        <f>IFERROR(QUARTILE(AM10:AM14,3),"n/a")</f>
        <v>0.22456399999999999</v>
      </c>
      <c r="AN21" s="757">
        <f>IFERROR(QUARTILE(AN10:AN14,3),"n/a")</f>
        <v>0.226572</v>
      </c>
      <c r="AO21" s="757">
        <f>IFERROR(QUARTILE(AO10:AO14,3),"n/a")</f>
        <v>0.18763000000000002</v>
      </c>
      <c r="AP21" s="757">
        <f>IFERROR(QUARTILE(AP10:AP14,3),"n/a")</f>
        <v>0.20258700000000002</v>
      </c>
      <c r="AQ21" s="749"/>
      <c r="AR21" s="757">
        <f>IFERROR(QUARTILE(AR9:AR14,3),"n/a")</f>
        <v>-1.5132500000000007E-3</v>
      </c>
      <c r="AS21" s="757">
        <f>IFERROR(QUARTILE(AS9:AS14,3),"n/a")</f>
        <v>9.3667749999999994E-2</v>
      </c>
      <c r="AT21" s="757">
        <f>IFERROR(QUARTILE(AT9:AT14,3),"n/a")</f>
        <v>0.13431074999999998</v>
      </c>
      <c r="AU21" s="757">
        <f>IFERROR(QUARTILE(AU9:AU14,3),"n/a")</f>
        <v>9.410700000000001E-2</v>
      </c>
      <c r="AV21" s="757">
        <f>IFERROR(QUARTILE(AV9:AV14,3),"n/a")</f>
        <v>0.10457950000000001</v>
      </c>
      <c r="AW21" s="757">
        <f>IFERROR(QUARTILE(AW10:AW14,3),"n/a")</f>
        <v>5.3437500000000006E-2</v>
      </c>
      <c r="AX21" s="757"/>
      <c r="AY21" s="757">
        <f>IFERROR(QUARTILE(AY9:AY14,3),"n/a")</f>
        <v>0.149919</v>
      </c>
      <c r="AZ21" s="757">
        <f>IFERROR(QUARTILE(AZ9:AZ14,3),"n/a")</f>
        <v>0.157245</v>
      </c>
      <c r="BA21" s="757">
        <f>IFERROR(QUARTILE(BA9:BA14,3),"n/a")</f>
        <v>0.16263000000000002</v>
      </c>
      <c r="BB21" s="757">
        <f>IFERROR(QUARTILE(BB9:BB14,3),"n/a")</f>
        <v>0.14153399999999999</v>
      </c>
      <c r="BC21" s="757">
        <f>IFERROR(QUARTILE(BC9:BC14,3),"n/a")</f>
        <v>0.15779899999999999</v>
      </c>
      <c r="BD21" s="749"/>
      <c r="BE21" s="749">
        <f>IFERROR(QUARTILE(BE9:BE14,3),"n/a")</f>
        <v>62.005470000000003</v>
      </c>
      <c r="BF21" s="749">
        <f>IFERROR(QUARTILE(BF9:BF14,3),"n/a")</f>
        <v>63.629100000000001</v>
      </c>
      <c r="BG21" s="749">
        <f>IFERROR(QUARTILE(BG9:BG14,3),"n/a")</f>
        <v>67.916650000000004</v>
      </c>
      <c r="BH21" s="749">
        <f>IFERROR(QUARTILE(BH9:BH14,3),"n/a")</f>
        <v>64.212299999999999</v>
      </c>
      <c r="BI21" s="749"/>
      <c r="BJ21" s="749">
        <f>IFERROR(QUARTILE(BJ9:BJ14,3),"n/a")</f>
        <v>50.212690000000002</v>
      </c>
      <c r="BK21" s="749">
        <f>IFERROR(QUARTILE(BK9:BK14,3),"n/a")</f>
        <v>55.464739999999999</v>
      </c>
      <c r="BL21" s="749">
        <f>IFERROR(QUARTILE(BL9:BL14,3),"n/a")</f>
        <v>49.63964</v>
      </c>
      <c r="BM21" s="749">
        <f>IFERROR(QUARTILE(BM9:BM14,3),"n/a")</f>
        <v>51.772356666666667</v>
      </c>
      <c r="BN21" s="749"/>
      <c r="BO21" s="749">
        <f>IFERROR(QUARTILE(BO9:BO14,3),"n/a")</f>
        <v>24.423249999999999</v>
      </c>
      <c r="BP21" s="749">
        <f>IFERROR(QUARTILE(BP9:BP14,3),"n/a")</f>
        <v>23.98105</v>
      </c>
      <c r="BQ21" s="749">
        <f>IFERROR(QUARTILE(BQ9:BQ14,3),"n/a")</f>
        <v>23.95532</v>
      </c>
      <c r="BR21" s="750">
        <f>IFERROR(QUARTILE(BR9:BR14,3),"n/a")</f>
        <v>24.113543333333336</v>
      </c>
      <c r="BS21" s="149"/>
      <c r="BU21" s="214"/>
      <c r="BV21" s="214"/>
      <c r="BW21" s="214"/>
      <c r="BX21" s="214"/>
    </row>
    <row r="22" spans="1:76" s="117" customFormat="1" hidden="1" outlineLevel="1">
      <c r="A22" s="95"/>
      <c r="B22" s="528"/>
      <c r="C22" s="149"/>
      <c r="D22" s="149"/>
      <c r="E22" s="149"/>
      <c r="F22" s="149"/>
      <c r="G22" s="223"/>
      <c r="H22" s="223"/>
      <c r="I22" s="223"/>
      <c r="J22" s="141"/>
      <c r="K22" s="223"/>
      <c r="L22" s="223"/>
      <c r="M22" s="223"/>
      <c r="N22" s="223"/>
      <c r="O22" s="223"/>
      <c r="P22" s="223"/>
      <c r="Q22" s="141"/>
      <c r="R22" s="223"/>
      <c r="S22" s="223"/>
      <c r="T22" s="223"/>
      <c r="U22" s="223"/>
      <c r="V22" s="223"/>
      <c r="W22" s="223"/>
      <c r="X22" s="141"/>
      <c r="Y22" s="223"/>
      <c r="Z22" s="223"/>
      <c r="AA22" s="223"/>
      <c r="AB22" s="223"/>
      <c r="AC22" s="221"/>
      <c r="AD22" s="223"/>
      <c r="AE22" s="141"/>
      <c r="AF22" s="223"/>
      <c r="AG22" s="223"/>
      <c r="AH22" s="223"/>
      <c r="AI22" s="223"/>
      <c r="AJ22" s="221"/>
      <c r="AK22" s="223"/>
      <c r="AL22" s="223"/>
      <c r="AM22" s="223"/>
      <c r="AN22" s="223"/>
      <c r="AO22" s="223"/>
      <c r="AP22" s="223"/>
      <c r="AQ22" s="143"/>
      <c r="AR22" s="141"/>
      <c r="AS22" s="223"/>
      <c r="AT22" s="223"/>
      <c r="AU22" s="223"/>
      <c r="AV22" s="223"/>
      <c r="AW22" s="221"/>
      <c r="AX22" s="223"/>
      <c r="AY22" s="223"/>
      <c r="AZ22" s="223"/>
      <c r="BA22" s="223"/>
      <c r="BB22" s="223"/>
      <c r="BC22" s="223"/>
      <c r="BD22" s="143"/>
      <c r="BE22" s="149"/>
      <c r="BF22" s="149"/>
      <c r="BG22" s="149"/>
      <c r="BH22" s="149"/>
      <c r="BI22" s="143"/>
      <c r="BJ22" s="149"/>
      <c r="BK22" s="149"/>
      <c r="BL22" s="149"/>
      <c r="BM22" s="149"/>
      <c r="BN22" s="149"/>
      <c r="BO22" s="149"/>
      <c r="BP22" s="149"/>
      <c r="BQ22" s="149"/>
      <c r="BR22" s="149"/>
      <c r="BS22" s="149"/>
      <c r="BU22" s="214"/>
      <c r="BV22" s="214"/>
      <c r="BW22" s="214"/>
      <c r="BX22" s="214"/>
    </row>
    <row r="23" spans="1:76" s="117" customFormat="1" hidden="1" outlineLevel="1">
      <c r="A23" s="95"/>
      <c r="B23" s="155" t="str">
        <f>"Summary Metrics considering the most comparable companies " &amp; B12&amp; " and "&amp;B13</f>
        <v>Summary Metrics considering the most comparable companies DaVita Inc. and NxStage Medical, Inc.</v>
      </c>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213"/>
      <c r="AL23" s="116"/>
      <c r="AM23" s="116"/>
      <c r="AN23" s="116"/>
      <c r="AO23" s="116"/>
      <c r="AP23" s="116"/>
      <c r="AQ23" s="116"/>
      <c r="AR23" s="116"/>
      <c r="AS23" s="116"/>
      <c r="AT23" s="116"/>
      <c r="AU23" s="116"/>
      <c r="AV23" s="116"/>
      <c r="AW23" s="116"/>
      <c r="AX23" s="213"/>
      <c r="AY23" s="116"/>
      <c r="AZ23" s="116"/>
      <c r="BA23" s="116"/>
      <c r="BB23" s="116"/>
      <c r="BC23" s="116"/>
      <c r="BD23" s="116"/>
      <c r="BE23" s="116"/>
      <c r="BF23" s="116"/>
      <c r="BG23" s="116"/>
      <c r="BH23" s="116"/>
      <c r="BI23" s="116"/>
      <c r="BJ23" s="116"/>
      <c r="BK23" s="116"/>
      <c r="BL23" s="116"/>
      <c r="BM23" s="116"/>
      <c r="BN23" s="116"/>
      <c r="BO23" s="156"/>
      <c r="BP23" s="156"/>
      <c r="BQ23" s="156"/>
      <c r="BR23" s="156"/>
      <c r="BU23" s="95"/>
      <c r="BV23" s="95"/>
      <c r="BW23" s="95"/>
    </row>
    <row r="24" spans="1:76" s="117" customFormat="1" hidden="1" outlineLevel="1">
      <c r="B24" s="726" t="s">
        <v>81</v>
      </c>
      <c r="C24" s="741">
        <f t="shared" ref="C24:H24" si="31">IF(IF(ISERROR(MIN(C12:C13)),"n/a",MIN(C12:C13))&lt;=0,"n/a",MIN(C12:C13))</f>
        <v>393.94099999999997</v>
      </c>
      <c r="D24" s="741">
        <f t="shared" si="31"/>
        <v>366.37799999999999</v>
      </c>
      <c r="E24" s="741">
        <f t="shared" si="31"/>
        <v>336.12299999999999</v>
      </c>
      <c r="F24" s="741">
        <f t="shared" si="31"/>
        <v>301.50099999999998</v>
      </c>
      <c r="G24" s="755">
        <f t="shared" si="31"/>
        <v>263.42899999999997</v>
      </c>
      <c r="H24" s="755" t="str">
        <f t="shared" si="31"/>
        <v>n/a</v>
      </c>
      <c r="I24" s="755"/>
      <c r="J24" s="755">
        <f t="shared" ref="J24:O24" si="32">IF(IF(ISERROR(MIN(J12:J13)),"n/a",MIN(J12:J13))&lt;=0,"n/a",MIN(J12:J13))</f>
        <v>12.903</v>
      </c>
      <c r="K24" s="755">
        <f t="shared" si="32"/>
        <v>14.651999999999999</v>
      </c>
      <c r="L24" s="755">
        <f t="shared" si="32"/>
        <v>2.786</v>
      </c>
      <c r="M24" s="755" t="str">
        <f t="shared" si="32"/>
        <v>n/a</v>
      </c>
      <c r="N24" s="755" t="str">
        <f t="shared" si="32"/>
        <v>n/a</v>
      </c>
      <c r="O24" s="755" t="str">
        <f t="shared" si="32"/>
        <v>n/a</v>
      </c>
      <c r="P24" s="755"/>
      <c r="Q24" s="755" t="str">
        <f t="shared" ref="Q24:V24" si="33">IF(IF(ISERROR(MIN(Q12:Q13)),"n/a",MIN(Q12:Q13))&lt;=0,"n/a",MIN(Q12:Q13))</f>
        <v>n/a</v>
      </c>
      <c r="R24" s="755" t="str">
        <f t="shared" si="33"/>
        <v>n/a</v>
      </c>
      <c r="S24" s="755" t="str">
        <f t="shared" si="33"/>
        <v>n/a</v>
      </c>
      <c r="T24" s="755" t="str">
        <f t="shared" si="33"/>
        <v>n/a</v>
      </c>
      <c r="U24" s="755" t="str">
        <f t="shared" si="33"/>
        <v>n/a</v>
      </c>
      <c r="V24" s="755" t="str">
        <f t="shared" si="33"/>
        <v>n/a</v>
      </c>
      <c r="W24" s="755"/>
      <c r="X24" s="755">
        <f t="shared" ref="X24:AC24" si="34">IF(IF(ISERROR(MIN(X12:X13)),"n/a",MIN(X12:X13))&lt;=0,"n/a",MIN(X12:X13))</f>
        <v>1.7565000000000001E-2</v>
      </c>
      <c r="Y24" s="755">
        <f t="shared" si="34"/>
        <v>7.2473999999999997E-2</v>
      </c>
      <c r="Z24" s="755" t="str">
        <f t="shared" si="34"/>
        <v>n/a</v>
      </c>
      <c r="AA24" s="755">
        <f t="shared" si="34"/>
        <v>8.6864000000000011E-2</v>
      </c>
      <c r="AB24" s="755">
        <f t="shared" si="34"/>
        <v>8.7956000000000006E-2</v>
      </c>
      <c r="AC24" s="954">
        <f t="shared" si="34"/>
        <v>7.8887200000000005E-2</v>
      </c>
      <c r="AD24" s="755"/>
      <c r="AE24" s="755" t="str">
        <f>IF(IF(ISERROR(MIN(AE12:AE13)),"n/a",MIN(AE12:AE13))&lt;=0,"n/a",MIN(AE12:AE13))</f>
        <v>n/a</v>
      </c>
      <c r="AF24" s="755">
        <f>IF(IF(ISERROR(MIN(AF12:AF13)),"n/a",MIN(AF12:AF13))&lt;=0,"n/a",MIN(AF12:AF13))</f>
        <v>6.2967999999999996E-2</v>
      </c>
      <c r="AG24" s="755" t="str">
        <f>IF(IF(ISERROR(MIN(AG12:AG13)),"n/a",MIN(AG12:AG13))&lt;=0,"n/a",MIN(AG12:AG13))</f>
        <v>n/a</v>
      </c>
      <c r="AH24" s="790"/>
      <c r="AI24" s="790"/>
      <c r="AJ24" s="954">
        <f>IF(IF(ISERROR(MIN(AJ12:AJ13)),"n/a",MIN(AJ12:AJ13))&lt;=0,"n/a",MIN(AJ12:AJ13))</f>
        <v>7.6594599999999999E-2</v>
      </c>
      <c r="AK24" s="755"/>
      <c r="AL24" s="755">
        <f>IF(IF(ISERROR(MIN(AL12:AL13)),"n/a",MIN(AL12:AL13))&lt;=0,"n/a",MIN(AL12:AL13))</f>
        <v>3.2753000000000004E-2</v>
      </c>
      <c r="AM24" s="755">
        <f>IF(IF(ISERROR(MIN(AM12:AM13)),"n/a",MIN(AM12:AM13))&lt;=0,"n/a",MIN(AM12:AM13))</f>
        <v>3.9990999999999999E-2</v>
      </c>
      <c r="AN24" s="755">
        <f>IF(IF(ISERROR(MIN(AN12:AN13)),"n/a",MIN(AN12:AN13))&lt;=0,"n/a",MIN(AN12:AN13))</f>
        <v>8.2880000000000002E-3</v>
      </c>
      <c r="AO24" s="755" t="str">
        <f>IF(IF(ISERROR(MIN(AO12:AO13)),"n/a",MIN(AO12:AO13))&lt;=0,"n/a",MIN(AO12:AO13))</f>
        <v>n/a</v>
      </c>
      <c r="AP24" s="755" t="str">
        <f>IF(IF(ISERROR(MIN(AP12:AP13)),"n/a",MIN(AP12:AP13))&lt;=0,"n/a",MIN(AP12:AP13))</f>
        <v>n/a</v>
      </c>
      <c r="AQ24" s="742"/>
      <c r="AR24" s="755" t="str">
        <f>IF(IF(ISERROR(MIN(AR12:AR13)),"n/a",MIN(AR12:AR13))&lt;=0,"n/a",MIN(AR12:AR13))</f>
        <v>n/a</v>
      </c>
      <c r="AS24" s="755">
        <f>IF(IF(ISERROR(MIN(AS12:AS13)),"n/a",MIN(AS12:AS13))&lt;=0,"n/a",MIN(AS12:AS13))</f>
        <v>3.6965999999999999E-2</v>
      </c>
      <c r="AT24" s="755" t="str">
        <f>IF(IF(ISERROR(MIN(AT12:AT13)),"n/a",MIN(AT12:AT13))&lt;=0,"n/a",MIN(AT12:AT13))</f>
        <v>n/a</v>
      </c>
      <c r="AU24" s="790"/>
      <c r="AV24" s="790"/>
      <c r="AW24" s="954">
        <f>IF(IF(ISERROR(MIN(AW12:AW13)),"n/a",MIN(AW12:AW13))&lt;=0,"n/a",MIN(AW12:AW13))</f>
        <v>4.1314800000000006E-2</v>
      </c>
      <c r="AX24" s="755"/>
      <c r="AY24" s="755" t="str">
        <f>IF(IF(ISERROR(MIN(AY12:AY13)),"n/a",MIN(AY12:AY13))&lt;=0,"n/a",MIN(AY12:AY13))</f>
        <v>n/a</v>
      </c>
      <c r="AZ24" s="755" t="str">
        <f>IF(IF(ISERROR(MIN(AZ12:AZ13)),"n/a",MIN(AZ12:AZ13))&lt;=0,"n/a",MIN(AZ12:AZ13))</f>
        <v>n/a</v>
      </c>
      <c r="BA24" s="755" t="str">
        <f>IF(IF(ISERROR(MIN(BA12:BA13)),"n/a",MIN(BA12:BA13))&lt;=0,"n/a",MIN(BA12:BA13))</f>
        <v>n/a</v>
      </c>
      <c r="BB24" s="790"/>
      <c r="BC24" s="790"/>
      <c r="BD24" s="742"/>
      <c r="BE24" s="741">
        <f>IF(IF(ISERROR(MIN(BE12:BE13)),"n/a",MIN(BE12:BE13))&lt;=0,"n/a",MIN(BE12:BE13))</f>
        <v>29.607710000000001</v>
      </c>
      <c r="BF24" s="741">
        <f>IF(IF(ISERROR(MIN(BF12:BF13)),"n/a",MIN(BF12:BF13))&lt;=0,"n/a",MIN(BF12:BF13))</f>
        <v>28.7105</v>
      </c>
      <c r="BG24" s="741">
        <f>IF(IF(ISERROR(MIN(BG12:BG13)),"n/a",MIN(BG12:BG13))&lt;=0,"n/a",MIN(BG12:BG13))</f>
        <v>26.76436</v>
      </c>
      <c r="BH24" s="741">
        <f>IF(IF(ISERROR(MIN(BH12:BH13)),"n/a",MIN(BH12:BH13))&lt;=0,"n/a",MIN(BH12:BH13))</f>
        <v>28.360856666666667</v>
      </c>
      <c r="BI24" s="742"/>
      <c r="BJ24" s="741">
        <f>IF(IF(ISERROR(MIN(BJ12:BJ13)),"n/a",MIN(BJ12:BJ13))&lt;=0,"n/a",MIN(BJ12:BJ13))</f>
        <v>8.1745400000000004</v>
      </c>
      <c r="BK24" s="741">
        <f>IF(IF(ISERROR(MIN(BK12:BK13)),"n/a",MIN(BK12:BK13))&lt;=0,"n/a",MIN(BK12:BK13))</f>
        <v>8.5197500000000002</v>
      </c>
      <c r="BL24" s="741">
        <f>IF(IF(ISERROR(MIN(BL12:BL13)),"n/a",MIN(BL12:BL13))&lt;=0,"n/a",MIN(BL12:BL13))</f>
        <v>8.5618099999999995</v>
      </c>
      <c r="BM24" s="741">
        <f>IF(IF(ISERROR(MIN(BM12:BM13)),"n/a",MIN(BM12:BM13))&lt;=0,"n/a",MIN(BM12:BM13))</f>
        <v>8.4187000000000012</v>
      </c>
      <c r="BN24" s="743"/>
      <c r="BO24" s="741">
        <f>IF(IF(ISERROR(MIN(BO12:BO13)),"n/a",MIN(BO12:BO13))&lt;=0,"n/a",MIN(BO12:BO13))</f>
        <v>23.004490000000001</v>
      </c>
      <c r="BP24" s="741">
        <f>IF(IF(ISERROR(MIN(BP12:BP13)),"n/a",MIN(BP12:BP13))&lt;=0,"n/a",MIN(BP12:BP13))</f>
        <v>20.529669999999999</v>
      </c>
      <c r="BQ24" s="741">
        <f>IF(IF(ISERROR(MIN(BQ12:BQ13)),"n/a",MIN(BQ12:BQ13))&lt;=0,"n/a",MIN(BQ12:BQ13))</f>
        <v>22.749359999999999</v>
      </c>
      <c r="BR24" s="744">
        <f>IF(IF(ISERROR(MIN(BR12:BR13)),"n/a",MIN(BR12:BR13))&lt;=0,"n/a",MIN(BR12:BR13))</f>
        <v>22.163250000000001</v>
      </c>
      <c r="BS24" s="149"/>
      <c r="BU24" s="214"/>
      <c r="BV24" s="214"/>
      <c r="BW24" s="214"/>
      <c r="BX24" s="214"/>
    </row>
    <row r="25" spans="1:76" s="117" customFormat="1" hidden="1" outlineLevel="1">
      <c r="B25" s="140" t="s">
        <v>82</v>
      </c>
      <c r="C25" s="745">
        <f t="shared" ref="C25:H25" si="35">IF(IF(ISERROR(MAX(C12:C13)),"n/a",MAX(C12:C13))&lt;=0,"n/a",MAX(C12:C13))</f>
        <v>10883.666999999999</v>
      </c>
      <c r="D25" s="745">
        <f t="shared" si="35"/>
        <v>10695.79</v>
      </c>
      <c r="E25" s="745">
        <f t="shared" si="35"/>
        <v>9973.0049999999992</v>
      </c>
      <c r="F25" s="745">
        <f t="shared" si="35"/>
        <v>12780.653</v>
      </c>
      <c r="G25" s="756">
        <f t="shared" si="35"/>
        <v>11759.198</v>
      </c>
      <c r="H25" s="756">
        <f t="shared" si="35"/>
        <v>8.3810913744209126E-2</v>
      </c>
      <c r="I25" s="756"/>
      <c r="J25" s="756">
        <f t="shared" ref="J25:O25" si="36">IF(IF(ISERROR(MAX(J12:J13)),"n/a",MAX(J12:J13))&lt;=0,"n/a",MAX(J12:J13))</f>
        <v>2408.9569999999999</v>
      </c>
      <c r="K25" s="756">
        <f t="shared" si="36"/>
        <v>2401.89</v>
      </c>
      <c r="L25" s="756">
        <f t="shared" si="36"/>
        <v>2259.6060000000002</v>
      </c>
      <c r="M25" s="756">
        <f t="shared" si="36"/>
        <v>2398.0439999999999</v>
      </c>
      <c r="N25" s="756">
        <f t="shared" si="36"/>
        <v>2382.2710000000002</v>
      </c>
      <c r="O25" s="756">
        <f t="shared" si="36"/>
        <v>2.230411543477695E-3</v>
      </c>
      <c r="P25" s="756"/>
      <c r="Q25" s="756">
        <f t="shared" ref="Q25:V25" si="37">IF(IF(ISERROR(MAX(Q12:Q13)),"n/a",MAX(Q12:Q13))&lt;=0,"n/a",MAX(Q12:Q13))</f>
        <v>1631.675</v>
      </c>
      <c r="R25" s="756">
        <f t="shared" si="37"/>
        <v>1681.87</v>
      </c>
      <c r="S25" s="756">
        <f t="shared" si="37"/>
        <v>1621.913</v>
      </c>
      <c r="T25" s="756">
        <f t="shared" si="37"/>
        <v>1808.9069999999999</v>
      </c>
      <c r="U25" s="756">
        <f t="shared" si="37"/>
        <v>1855.5989999999999</v>
      </c>
      <c r="V25" s="756" t="str">
        <f t="shared" si="37"/>
        <v>n/a</v>
      </c>
      <c r="W25" s="756"/>
      <c r="X25" s="756">
        <f t="shared" ref="X25:AC25" si="38">IF(IF(ISERROR(MAX(X12:X13)),"n/a",MAX(X12:X13))&lt;=0,"n/a",MAX(X12:X13))</f>
        <v>7.5231000000000006E-2</v>
      </c>
      <c r="Y25" s="756">
        <f t="shared" si="38"/>
        <v>9.0010999999999994E-2</v>
      </c>
      <c r="Z25" s="756">
        <f t="shared" si="38"/>
        <v>0.114832</v>
      </c>
      <c r="AA25" s="756">
        <f t="shared" si="38"/>
        <v>0.14452400000000001</v>
      </c>
      <c r="AB25" s="756">
        <f t="shared" si="38"/>
        <v>0.43721300000000002</v>
      </c>
      <c r="AC25" s="752">
        <f t="shared" si="38"/>
        <v>0.10251080000000001</v>
      </c>
      <c r="AD25" s="756"/>
      <c r="AE25" s="756">
        <f>IF(IF(ISERROR(MAX(AE12:AE13)),"n/a",MAX(AE12:AE13))&lt;=0,"n/a",MAX(AE12:AE13))</f>
        <v>2.9420000000000002E-3</v>
      </c>
      <c r="AF25" s="756">
        <f>IF(IF(ISERROR(MAX(AF12:AF13)),"n/a",MAX(AF12:AF13))&lt;=0,"n/a",MAX(AF12:AF13))</f>
        <v>4.2591520000000003</v>
      </c>
      <c r="AG25" s="756" t="str">
        <f>IF(IF(ISERROR(MAX(AG12:AG13)),"n/a",MAX(AG12:AG13))&lt;=0,"n/a",MAX(AG12:AG13))</f>
        <v>n/a</v>
      </c>
      <c r="AH25" s="756"/>
      <c r="AI25" s="756"/>
      <c r="AJ25" s="752">
        <f>IF(IF(ISERROR(MAX(AJ12:AJ13)),"n/a",MAX(AJ12:AJ13))&lt;=0,"n/a",MAX(AJ12:AJ13))</f>
        <v>2.0698910000000001</v>
      </c>
      <c r="AK25" s="756"/>
      <c r="AL25" s="756">
        <f>IF(IF(ISERROR(MAX(AL12:AL13)),"n/a",MAX(AL12:AL13))&lt;=0,"n/a",MAX(AL12:AL13))</f>
        <v>0.221336</v>
      </c>
      <c r="AM25" s="756">
        <f>IF(IF(ISERROR(MAX(AM12:AM13)),"n/a",MAX(AM12:AM13))&lt;=0,"n/a",MAX(AM12:AM13))</f>
        <v>0.22456399999999999</v>
      </c>
      <c r="AN25" s="756">
        <f>IF(IF(ISERROR(MAX(AN12:AN13)),"n/a",MAX(AN12:AN13))&lt;=0,"n/a",MAX(AN12:AN13))</f>
        <v>0.226572</v>
      </c>
      <c r="AO25" s="756">
        <f>IF(IF(ISERROR(MAX(AO12:AO13)),"n/a",MAX(AO12:AO13))&lt;=0,"n/a",MAX(AO12:AO13))</f>
        <v>0.18763000000000002</v>
      </c>
      <c r="AP25" s="756">
        <f>IF(IF(ISERROR(MAX(AP12:AP13)),"n/a",MAX(AP12:AP13))&lt;=0,"n/a",MAX(AP12:AP13))</f>
        <v>0.20258700000000002</v>
      </c>
      <c r="AQ25" s="746"/>
      <c r="AR25" s="756" t="str">
        <f>IF(IF(ISERROR(MAX(AR12:AR13)),"n/a",MAX(AR12:AR13))&lt;=0,"n/a",MAX(AR12:AR13))</f>
        <v>n/a</v>
      </c>
      <c r="AS25" s="756">
        <f>IF(IF(ISERROR(MAX(AS12:AS13)),"n/a",MAX(AS12:AS13))&lt;=0,"n/a",MAX(AS12:AS13))</f>
        <v>3.6965999999999999E-2</v>
      </c>
      <c r="AT25" s="756" t="str">
        <f>IF(IF(ISERROR(MAX(AT12:AT13)),"n/a",MAX(AT12:AT13))&lt;=0,"n/a",MAX(AT12:AT13))</f>
        <v>n/a</v>
      </c>
      <c r="AU25" s="756"/>
      <c r="AV25" s="756"/>
      <c r="AW25" s="752">
        <f>IF(IF(ISERROR(MAX(AW12:AW13)),"n/a",MAX(AW12:AW13))&lt;=0,"n/a",MAX(AW12:AW13))</f>
        <v>4.1314800000000006E-2</v>
      </c>
      <c r="AX25" s="756"/>
      <c r="AY25" s="756">
        <f>IF(IF(ISERROR(MAX(AY12:AY13)),"n/a",MAX(AY12:AY13))&lt;=0,"n/a",MAX(AY12:AY13))</f>
        <v>0.149919</v>
      </c>
      <c r="AZ25" s="756">
        <f>IF(IF(ISERROR(MAX(AZ12:AZ13)),"n/a",MAX(AZ12:AZ13))&lt;=0,"n/a",MAX(AZ12:AZ13))</f>
        <v>0.157245</v>
      </c>
      <c r="BA25" s="756">
        <f>IF(IF(ISERROR(MAX(BA12:BA13)),"n/a",MAX(BA12:BA13))&lt;=0,"n/a",MAX(BA12:BA13))</f>
        <v>0.16263000000000002</v>
      </c>
      <c r="BB25" s="756"/>
      <c r="BC25" s="756"/>
      <c r="BD25" s="746"/>
      <c r="BE25" s="745">
        <f>IF(IF(ISERROR(MAX(BE12:BE13)),"n/a",MAX(BE12:BE13))&lt;=0,"n/a",MAX(BE12:BE13))</f>
        <v>61.091149999999999</v>
      </c>
      <c r="BF25" s="745">
        <f>IF(IF(ISERROR(MAX(BF12:BF13)),"n/a",MAX(BF12:BF13))&lt;=0,"n/a",MAX(BF12:BF13))</f>
        <v>63.629100000000001</v>
      </c>
      <c r="BG25" s="745">
        <f>IF(IF(ISERROR(MAX(BG12:BG13)),"n/a",MAX(BG12:BG13))&lt;=0,"n/a",MAX(BG12:BG13))</f>
        <v>67.916650000000004</v>
      </c>
      <c r="BH25" s="745">
        <f>IF(IF(ISERROR(MAX(BH12:BH13)),"n/a",MAX(BH12:BH13))&lt;=0,"n/a",MAX(BH12:BH13))</f>
        <v>64.212299999999999</v>
      </c>
      <c r="BI25" s="746"/>
      <c r="BJ25" s="745">
        <f>IF(IF(ISERROR(MAX(BJ12:BJ13)),"n/a",MAX(BJ12:BJ13))&lt;=0,"n/a",MAX(BJ12:BJ13))</f>
        <v>77.790629999999993</v>
      </c>
      <c r="BK25" s="745">
        <f>IF(IF(ISERROR(MAX(BK12:BK13)),"n/a",MAX(BK12:BK13))&lt;=0,"n/a",MAX(BK12:BK13))</f>
        <v>72.925129999999996</v>
      </c>
      <c r="BL25" s="745">
        <f>IF(IF(ISERROR(MAX(BL12:BL13)),"n/a",MAX(BL12:BL13))&lt;=0,"n/a",MAX(BL12:BL13))</f>
        <v>74.795069999999996</v>
      </c>
      <c r="BM25" s="745">
        <f>IF(IF(ISERROR(MAX(BM12:BM13)),"n/a",MAX(BM12:BM13))&lt;=0,"n/a",MAX(BM12:BM13))</f>
        <v>75.170276666666666</v>
      </c>
      <c r="BN25" s="747"/>
      <c r="BO25" s="745">
        <f>IF(IF(ISERROR(MAX(BO12:BO13)),"n/a",MAX(BO12:BO13))&lt;=0,"n/a",MAX(BO12:BO13))</f>
        <v>23.210719999999998</v>
      </c>
      <c r="BP25" s="745">
        <f>IF(IF(ISERROR(MAX(BP12:BP13)),"n/a",MAX(BP12:BP13))&lt;=0,"n/a",MAX(BP12:BP13))</f>
        <v>23.98105</v>
      </c>
      <c r="BQ25" s="745">
        <f>IF(IF(ISERROR(MAX(BQ12:BQ13)),"n/a",MAX(BQ12:BQ13))&lt;=0,"n/a",MAX(BQ12:BQ13))</f>
        <v>25.355090000000001</v>
      </c>
      <c r="BR25" s="748">
        <f>IF(IF(ISERROR(MAX(BR12:BR13)),"n/a",MAX(BR12:BR13))&lt;=0,"n/a",MAX(BR12:BR13))</f>
        <v>24.113543333333336</v>
      </c>
      <c r="BS25" s="149"/>
      <c r="BU25" s="214"/>
      <c r="BV25" s="214"/>
      <c r="BW25" s="214"/>
      <c r="BX25" s="214"/>
    </row>
    <row r="26" spans="1:76" s="117" customFormat="1" hidden="1" outlineLevel="1">
      <c r="A26" s="95"/>
      <c r="B26" s="140" t="s">
        <v>83</v>
      </c>
      <c r="C26" s="745">
        <f t="shared" ref="C26:H26" si="39">IF(ISERROR(MEDIAN(C12:C13)),"n/a",MEDIAN(C12:C13))</f>
        <v>5638.8039999999992</v>
      </c>
      <c r="D26" s="745">
        <f t="shared" si="39"/>
        <v>5531.0839999999998</v>
      </c>
      <c r="E26" s="745">
        <f t="shared" si="39"/>
        <v>5154.5639999999994</v>
      </c>
      <c r="F26" s="745">
        <f t="shared" si="39"/>
        <v>6541.0770000000002</v>
      </c>
      <c r="G26" s="756">
        <f t="shared" si="39"/>
        <v>6011.3135000000002</v>
      </c>
      <c r="H26" s="756">
        <f t="shared" si="39"/>
        <v>3.4227762555808616E-2</v>
      </c>
      <c r="I26" s="756"/>
      <c r="J26" s="756">
        <f t="shared" ref="J26:O26" si="40">IF(ISERROR(MEDIAN(J12:J13)),"n/a",MEDIAN(J12:J13))</f>
        <v>1210.93</v>
      </c>
      <c r="K26" s="756">
        <f t="shared" si="40"/>
        <v>1208.271</v>
      </c>
      <c r="L26" s="756">
        <f t="shared" si="40"/>
        <v>1131.1960000000001</v>
      </c>
      <c r="M26" s="756">
        <f t="shared" si="40"/>
        <v>1194.5769999999998</v>
      </c>
      <c r="N26" s="756">
        <f t="shared" si="40"/>
        <v>1188.0105000000001</v>
      </c>
      <c r="O26" s="756">
        <f t="shared" si="40"/>
        <v>-1.0768905196322041</v>
      </c>
      <c r="P26" s="756"/>
      <c r="Q26" s="756">
        <f t="shared" ref="Q26:V26" si="41">IF(ISERROR(MEDIAN(Q12:Q13)),"n/a",MEDIAN(Q12:Q13))</f>
        <v>812.41200000000003</v>
      </c>
      <c r="R26" s="756">
        <f t="shared" si="41"/>
        <v>839.04250000000002</v>
      </c>
      <c r="S26" s="756">
        <f t="shared" si="41"/>
        <v>803.74200000000008</v>
      </c>
      <c r="T26" s="756">
        <f t="shared" si="41"/>
        <v>893.3599999999999</v>
      </c>
      <c r="U26" s="756">
        <f t="shared" si="41"/>
        <v>918.90049999999997</v>
      </c>
      <c r="V26" s="756">
        <f t="shared" si="41"/>
        <v>-9.9604290066167944E-2</v>
      </c>
      <c r="W26" s="756"/>
      <c r="X26" s="756">
        <f t="shared" ref="X26:AC26" si="42">IF(ISERROR(MEDIAN(X12:X13)),"n/a",MEDIAN(X12:X13))</f>
        <v>4.6398000000000009E-2</v>
      </c>
      <c r="Y26" s="756">
        <f t="shared" si="42"/>
        <v>8.1242499999999995E-2</v>
      </c>
      <c r="Z26" s="756">
        <f t="shared" si="42"/>
        <v>-5.2423999999999998E-2</v>
      </c>
      <c r="AA26" s="756">
        <f t="shared" si="42"/>
        <v>0.11569400000000002</v>
      </c>
      <c r="AB26" s="756">
        <f t="shared" si="42"/>
        <v>0.2625845</v>
      </c>
      <c r="AC26" s="752">
        <f t="shared" si="42"/>
        <v>9.0699000000000002E-2</v>
      </c>
      <c r="AD26" s="756"/>
      <c r="AE26" s="756">
        <f>IF(ISERROR(MEDIAN(AE12:AE13)),"n/a",MEDIAN(AE12:AE13))</f>
        <v>-5.8213999999999995E-2</v>
      </c>
      <c r="AF26" s="756">
        <f>IF(ISERROR(MEDIAN(AF12:AF13)),"n/a",MEDIAN(AF12:AF13))</f>
        <v>2.1610600000000004</v>
      </c>
      <c r="AG26" s="756">
        <f>IF(ISERROR(MEDIAN(AG12:AG13)),"n/a",MEDIAN(AG12:AG13))</f>
        <v>-5.7729999999999997E-2</v>
      </c>
      <c r="AH26" s="756"/>
      <c r="AI26" s="756"/>
      <c r="AJ26" s="752">
        <f>IF(ISERROR(MEDIAN(AJ12:AJ13)),"n/a",MEDIAN(AJ12:AJ13))</f>
        <v>1.0732428000000001</v>
      </c>
      <c r="AK26" s="756"/>
      <c r="AL26" s="756">
        <f>IF(ISERROR(MEDIAN(AL12:AL13)),"n/a",MEDIAN(AL12:AL13))</f>
        <v>0.1270445</v>
      </c>
      <c r="AM26" s="756">
        <f>IF(ISERROR(MEDIAN(AM12:AM13)),"n/a",MEDIAN(AM12:AM13))</f>
        <v>0.13227749999999999</v>
      </c>
      <c r="AN26" s="756">
        <f>IF(ISERROR(MEDIAN(AN12:AN13)),"n/a",MEDIAN(AN12:AN13))</f>
        <v>0.11743000000000001</v>
      </c>
      <c r="AO26" s="756">
        <f>IF(ISERROR(MEDIAN(AO12:AO13)),"n/a",MEDIAN(AO12:AO13))</f>
        <v>7.9072500000000018E-2</v>
      </c>
      <c r="AP26" s="756">
        <f>IF(ISERROR(MEDIAN(AP12:AP13)),"n/a",MEDIAN(AP12:AP13))</f>
        <v>8.943100000000001E-2</v>
      </c>
      <c r="AQ26" s="746"/>
      <c r="AR26" s="756">
        <f>IF(ISERROR(MEDIAN(AR12:AR13)),"n/a",MEDIAN(AR12:AR13))</f>
        <v>-2.9845E-2</v>
      </c>
      <c r="AS26" s="756">
        <f>IF(ISERROR(MEDIAN(AS12:AS13)),"n/a",MEDIAN(AS12:AS13))</f>
        <v>3.6965999999999999E-2</v>
      </c>
      <c r="AT26" s="756">
        <f>IF(ISERROR(MEDIAN(AT12:AT13)),"n/a",MEDIAN(AT12:AT13))</f>
        <v>-0.10337500000000001</v>
      </c>
      <c r="AU26" s="756"/>
      <c r="AV26" s="756"/>
      <c r="AW26" s="752">
        <f>IF(ISERROR(MEDIAN(AW12:AW13)),"n/a",MEDIAN(AW12:AW13))</f>
        <v>4.1314800000000006E-2</v>
      </c>
      <c r="AX26" s="756"/>
      <c r="AY26" s="756">
        <f>IF(ISERROR(MEDIAN(AY12:AY13)),"n/a",MEDIAN(AY12:AY13))</f>
        <v>6.626449999999999E-2</v>
      </c>
      <c r="AZ26" s="756">
        <f>IF(ISERROR(MEDIAN(AZ12:AZ13)),"n/a",MEDIAN(AZ12:AZ13))</f>
        <v>7.3457500000000009E-2</v>
      </c>
      <c r="BA26" s="756">
        <f>IF(ISERROR(MEDIAN(BA12:BA13)),"n/a",MEDIAN(BA12:BA13))</f>
        <v>5.9851500000000009E-2</v>
      </c>
      <c r="BB26" s="756"/>
      <c r="BC26" s="756"/>
      <c r="BD26" s="746"/>
      <c r="BE26" s="745">
        <f>IF(ISERROR(MEDIAN(BE12:BE13)),"n/a",MEDIAN(BE12:BE13))</f>
        <v>45.349429999999998</v>
      </c>
      <c r="BF26" s="745">
        <f>IF(ISERROR(MEDIAN(BF12:BF13)),"n/a",MEDIAN(BF12:BF13))</f>
        <v>46.169799999999995</v>
      </c>
      <c r="BG26" s="745">
        <f>IF(ISERROR(MEDIAN(BG12:BG13)),"n/a",MEDIAN(BG12:BG13))</f>
        <v>47.340505000000007</v>
      </c>
      <c r="BH26" s="745">
        <f>IF(ISERROR(MEDIAN(BH12:BH13)),"n/a",MEDIAN(BH12:BH13))</f>
        <v>46.286578333333338</v>
      </c>
      <c r="BI26" s="746"/>
      <c r="BJ26" s="745">
        <f>IF(ISERROR(MEDIAN(BJ12:BJ13)),"n/a",MEDIAN(BJ12:BJ13))</f>
        <v>42.982584999999993</v>
      </c>
      <c r="BK26" s="745">
        <f>IF(ISERROR(MEDIAN(BK12:BK13)),"n/a",MEDIAN(BK12:BK13))</f>
        <v>40.722439999999999</v>
      </c>
      <c r="BL26" s="745">
        <f>IF(ISERROR(MEDIAN(BL12:BL13)),"n/a",MEDIAN(BL12:BL13))</f>
        <v>41.678440000000002</v>
      </c>
      <c r="BM26" s="745">
        <f>IF(ISERROR(MEDIAN(BM12:BM13)),"n/a",MEDIAN(BM12:BM13))</f>
        <v>41.794488333333334</v>
      </c>
      <c r="BN26" s="747"/>
      <c r="BO26" s="745">
        <f>IF(ISERROR(MEDIAN(BO12:BO13)),"n/a",MEDIAN(BO12:BO13))</f>
        <v>23.107605</v>
      </c>
      <c r="BP26" s="745">
        <f>IF(ISERROR(MEDIAN(BP12:BP13)),"n/a",MEDIAN(BP12:BP13))</f>
        <v>22.25536</v>
      </c>
      <c r="BQ26" s="745">
        <f>IF(ISERROR(MEDIAN(BQ12:BQ13)),"n/a",MEDIAN(BQ12:BQ13))</f>
        <v>24.052225</v>
      </c>
      <c r="BR26" s="748">
        <f>IF(ISERROR(MEDIAN(BR12:BR13)),"n/a",MEDIAN(BR12:BR13))</f>
        <v>23.138396666666669</v>
      </c>
      <c r="BS26" s="149"/>
      <c r="BU26" s="214"/>
      <c r="BV26" s="214"/>
      <c r="BW26" s="214"/>
      <c r="BX26" s="214"/>
    </row>
    <row r="27" spans="1:76" s="117" customFormat="1" hidden="1" outlineLevel="1">
      <c r="A27" s="95"/>
      <c r="B27" s="140" t="s">
        <v>84</v>
      </c>
      <c r="C27" s="745">
        <f t="shared" ref="C27:H27" si="43">IF(ISERROR(AVERAGE(C12:C13)),"n/a",AVERAGE(C12:C13))</f>
        <v>5638.8040000000001</v>
      </c>
      <c r="D27" s="745">
        <f t="shared" si="43"/>
        <v>5531.0840000000007</v>
      </c>
      <c r="E27" s="745">
        <f t="shared" si="43"/>
        <v>5154.5639999999994</v>
      </c>
      <c r="F27" s="745">
        <f t="shared" si="43"/>
        <v>6541.0770000000002</v>
      </c>
      <c r="G27" s="756">
        <f t="shared" si="43"/>
        <v>6011.3135000000002</v>
      </c>
      <c r="H27" s="756">
        <f t="shared" si="43"/>
        <v>3.4227762555808616E-2</v>
      </c>
      <c r="I27" s="756"/>
      <c r="J27" s="756">
        <f t="shared" ref="J27:O27" si="44">IF(ISERROR(AVERAGE(J12:J13)),"n/a",AVERAGE(J12:J13))</f>
        <v>1210.9299999999998</v>
      </c>
      <c r="K27" s="756">
        <f t="shared" si="44"/>
        <v>1208.271</v>
      </c>
      <c r="L27" s="756">
        <f t="shared" si="44"/>
        <v>1131.1960000000001</v>
      </c>
      <c r="M27" s="756">
        <f t="shared" si="44"/>
        <v>1194.577</v>
      </c>
      <c r="N27" s="756">
        <f t="shared" si="44"/>
        <v>1188.0105000000001</v>
      </c>
      <c r="O27" s="756">
        <f t="shared" si="44"/>
        <v>-1.0768905196322041</v>
      </c>
      <c r="P27" s="756"/>
      <c r="Q27" s="756">
        <f t="shared" ref="Q27:V27" si="45">IF(ISERROR(AVERAGE(Q12:Q13)),"n/a",AVERAGE(Q12:Q13))</f>
        <v>812.41199999999992</v>
      </c>
      <c r="R27" s="756">
        <f t="shared" si="45"/>
        <v>839.0424999999999</v>
      </c>
      <c r="S27" s="756">
        <f t="shared" si="45"/>
        <v>803.74199999999996</v>
      </c>
      <c r="T27" s="756">
        <f t="shared" si="45"/>
        <v>893.36</v>
      </c>
      <c r="U27" s="756">
        <f t="shared" si="45"/>
        <v>918.90049999999997</v>
      </c>
      <c r="V27" s="756">
        <f t="shared" si="45"/>
        <v>-9.9604290066167944E-2</v>
      </c>
      <c r="W27" s="756"/>
      <c r="X27" s="756">
        <f t="shared" ref="X27:AC27" si="46">IF(ISERROR(AVERAGE(X12:X13)),"n/a",AVERAGE(X12:X13))</f>
        <v>4.6398000000000002E-2</v>
      </c>
      <c r="Y27" s="756">
        <f t="shared" si="46"/>
        <v>8.1242499999999995E-2</v>
      </c>
      <c r="Z27" s="756">
        <f t="shared" si="46"/>
        <v>-5.2423999999999991E-2</v>
      </c>
      <c r="AA27" s="756">
        <f t="shared" si="46"/>
        <v>0.11569400000000002</v>
      </c>
      <c r="AB27" s="756">
        <f t="shared" si="46"/>
        <v>0.2625845</v>
      </c>
      <c r="AC27" s="752">
        <f t="shared" si="46"/>
        <v>9.0699000000000002E-2</v>
      </c>
      <c r="AD27" s="756"/>
      <c r="AE27" s="756">
        <f>IF(ISERROR(AVERAGE(AE12:AE13)),"n/a",AVERAGE(AE12:AE13))</f>
        <v>-5.8213999999999995E-2</v>
      </c>
      <c r="AF27" s="756">
        <f>IF(ISERROR(AVERAGE(AF12:AF13)),"n/a",AVERAGE(AF12:AF13))</f>
        <v>2.16106</v>
      </c>
      <c r="AG27" s="756">
        <f>IF(ISERROR(AVERAGE(AG12:AG13)),"n/a",AVERAGE(AG12:AG13))</f>
        <v>-5.7729999999999997E-2</v>
      </c>
      <c r="AH27" s="756"/>
      <c r="AI27" s="756"/>
      <c r="AJ27" s="752">
        <f>IF(ISERROR(AVERAGE(AJ12:AJ13)),"n/a",AVERAGE(AJ12:AJ13))</f>
        <v>1.0732428000000001</v>
      </c>
      <c r="AK27" s="756"/>
      <c r="AL27" s="756">
        <f>IF(ISERROR(AVERAGE(AL12:AL13)),"n/a",AVERAGE(AL12:AL13))</f>
        <v>0.1270445</v>
      </c>
      <c r="AM27" s="756">
        <f>IF(ISERROR(AVERAGE(AM12:AM13)),"n/a",AVERAGE(AM12:AM13))</f>
        <v>0.13227749999999999</v>
      </c>
      <c r="AN27" s="756">
        <f>IF(ISERROR(AVERAGE(AN12:AN13)),"n/a",AVERAGE(AN12:AN13))</f>
        <v>0.11742999999999999</v>
      </c>
      <c r="AO27" s="756">
        <f>IF(ISERROR(AVERAGE(AO12:AO13)),"n/a",AVERAGE(AO12:AO13))</f>
        <v>7.9072500000000004E-2</v>
      </c>
      <c r="AP27" s="756">
        <f>IF(ISERROR(AVERAGE(AP12:AP13)),"n/a",AVERAGE(AP12:AP13))</f>
        <v>8.943100000000001E-2</v>
      </c>
      <c r="AQ27" s="746"/>
      <c r="AR27" s="756">
        <f>IF(ISERROR(AVERAGE(AR12:AR13)),"n/a",AVERAGE(AR12:AR13))</f>
        <v>-2.9845E-2</v>
      </c>
      <c r="AS27" s="756">
        <f>IF(ISERROR(AVERAGE(AS12:AS13)),"n/a",AVERAGE(AS12:AS13))</f>
        <v>3.6965999999999999E-2</v>
      </c>
      <c r="AT27" s="756">
        <f>IF(ISERROR(AVERAGE(AT12:AT13)),"n/a",AVERAGE(AT12:AT13))</f>
        <v>-0.10337500000000001</v>
      </c>
      <c r="AU27" s="756"/>
      <c r="AV27" s="756"/>
      <c r="AW27" s="752">
        <f>IF(ISERROR(AVERAGE(AW12:AW13)),"n/a",AVERAGE(AW12:AW13))</f>
        <v>4.1314800000000006E-2</v>
      </c>
      <c r="AX27" s="756"/>
      <c r="AY27" s="756">
        <f>IF(ISERROR(AVERAGE(AY12:AY13)),"n/a",AVERAGE(AY12:AY13))</f>
        <v>6.6264500000000004E-2</v>
      </c>
      <c r="AZ27" s="756">
        <f>IF(ISERROR(AVERAGE(AZ12:AZ13)),"n/a",AVERAGE(AZ12:AZ13))</f>
        <v>7.3457499999999995E-2</v>
      </c>
      <c r="BA27" s="756">
        <f>IF(ISERROR(AVERAGE(BA12:BA13)),"n/a",AVERAGE(BA12:BA13))</f>
        <v>5.9851500000000016E-2</v>
      </c>
      <c r="BB27" s="756"/>
      <c r="BC27" s="756"/>
      <c r="BD27" s="746"/>
      <c r="BE27" s="745">
        <f>IF(ISERROR(AVERAGE(BE12:BE13)),"n/a",AVERAGE(BE12:BE13))</f>
        <v>45.349429999999998</v>
      </c>
      <c r="BF27" s="745">
        <f>IF(ISERROR(AVERAGE(BF12:BF13)),"n/a",AVERAGE(BF12:BF13))</f>
        <v>46.169800000000002</v>
      </c>
      <c r="BG27" s="745">
        <f>IF(ISERROR(AVERAGE(BG12:BG13)),"n/a",AVERAGE(BG12:BG13))</f>
        <v>47.340505</v>
      </c>
      <c r="BH27" s="745">
        <f>IF(ISERROR(AVERAGE(BH12:BH13)),"n/a",AVERAGE(BH12:BH13))</f>
        <v>46.286578333333331</v>
      </c>
      <c r="BI27" s="746"/>
      <c r="BJ27" s="745">
        <f>IF(ISERROR(AVERAGE(BJ12:BJ13)),"n/a",AVERAGE(BJ12:BJ13))</f>
        <v>42.982585</v>
      </c>
      <c r="BK27" s="745">
        <f>IF(ISERROR(AVERAGE(BK12:BK13)),"n/a",AVERAGE(BK12:BK13))</f>
        <v>40.722439999999999</v>
      </c>
      <c r="BL27" s="745">
        <f>IF(ISERROR(AVERAGE(BL12:BL13)),"n/a",AVERAGE(BL12:BL13))</f>
        <v>41.678439999999995</v>
      </c>
      <c r="BM27" s="745">
        <f>IF(ISERROR(AVERAGE(BM12:BM13)),"n/a",AVERAGE(BM12:BM13))</f>
        <v>41.794488333333334</v>
      </c>
      <c r="BN27" s="747"/>
      <c r="BO27" s="745">
        <f>IF(ISERROR(AVERAGE(BO12:BO13)),"n/a",AVERAGE(BO12:BO13))</f>
        <v>23.107605</v>
      </c>
      <c r="BP27" s="745">
        <f>IF(ISERROR(AVERAGE(BP12:BP13)),"n/a",AVERAGE(BP12:BP13))</f>
        <v>22.25536</v>
      </c>
      <c r="BQ27" s="745">
        <f>IF(ISERROR(AVERAGE(BQ12:BQ13)),"n/a",AVERAGE(BQ12:BQ13))</f>
        <v>24.052225</v>
      </c>
      <c r="BR27" s="748">
        <f>IF(ISERROR(AVERAGE(BR12:BR13)),"n/a",AVERAGE(BR12:BR13))</f>
        <v>23.138396666666669</v>
      </c>
      <c r="BS27" s="149"/>
      <c r="BU27" s="214"/>
      <c r="BV27" s="214"/>
      <c r="BW27" s="214"/>
      <c r="BX27" s="214"/>
    </row>
    <row r="28" spans="1:76" s="117" customFormat="1" hidden="1" outlineLevel="1">
      <c r="A28" s="95"/>
      <c r="B28" s="140" t="s">
        <v>337</v>
      </c>
      <c r="C28" s="745">
        <f t="shared" ref="C28:H28" si="47">IFERROR(QUARTILE(C12:C13,1),"n/a")</f>
        <v>3016.3724999999995</v>
      </c>
      <c r="D28" s="745">
        <f t="shared" si="47"/>
        <v>2948.7310000000002</v>
      </c>
      <c r="E28" s="745">
        <f t="shared" si="47"/>
        <v>2745.3434999999999</v>
      </c>
      <c r="F28" s="745">
        <f t="shared" si="47"/>
        <v>3421.2889999999998</v>
      </c>
      <c r="G28" s="756">
        <f t="shared" si="47"/>
        <v>3137.3712500000001</v>
      </c>
      <c r="H28" s="756">
        <f t="shared" si="47"/>
        <v>9.4361869616083616E-3</v>
      </c>
      <c r="I28" s="756"/>
      <c r="J28" s="756">
        <f t="shared" ref="J28:O28" si="48">IFERROR(QUARTILE(J12:J13,1),"n/a")</f>
        <v>611.91650000000004</v>
      </c>
      <c r="K28" s="756">
        <f t="shared" si="48"/>
        <v>611.4615</v>
      </c>
      <c r="L28" s="756">
        <f t="shared" si="48"/>
        <v>566.99099999999999</v>
      </c>
      <c r="M28" s="756">
        <f t="shared" si="48"/>
        <v>592.84349999999995</v>
      </c>
      <c r="N28" s="756">
        <f t="shared" si="48"/>
        <v>590.88025000000005</v>
      </c>
      <c r="O28" s="756">
        <f t="shared" si="48"/>
        <v>-1.6164509852200448</v>
      </c>
      <c r="P28" s="756"/>
      <c r="Q28" s="756">
        <f t="shared" ref="Q28:V28" si="49">IFERROR(QUARTILE(Q12:Q13,1),"n/a")</f>
        <v>402.78050000000002</v>
      </c>
      <c r="R28" s="756">
        <f t="shared" si="49"/>
        <v>417.62874999999997</v>
      </c>
      <c r="S28" s="756">
        <f t="shared" si="49"/>
        <v>394.65650000000005</v>
      </c>
      <c r="T28" s="756">
        <f t="shared" si="49"/>
        <v>435.58649999999994</v>
      </c>
      <c r="U28" s="756">
        <f t="shared" si="49"/>
        <v>450.55124999999998</v>
      </c>
      <c r="V28" s="756">
        <f t="shared" si="49"/>
        <v>-0.13671036104081305</v>
      </c>
      <c r="W28" s="756"/>
      <c r="X28" s="756">
        <f t="shared" ref="X28:AC28" si="50">IFERROR(QUARTILE(X12:X13,1),"n/a")</f>
        <v>3.1981500000000003E-2</v>
      </c>
      <c r="Y28" s="756">
        <f t="shared" si="50"/>
        <v>7.6858249999999989E-2</v>
      </c>
      <c r="Z28" s="756">
        <f t="shared" si="50"/>
        <v>-0.13605200000000001</v>
      </c>
      <c r="AA28" s="756">
        <f t="shared" si="50"/>
        <v>0.10127900000000001</v>
      </c>
      <c r="AB28" s="756">
        <f t="shared" si="50"/>
        <v>0.17527025000000002</v>
      </c>
      <c r="AC28" s="752">
        <f t="shared" si="50"/>
        <v>8.479310000000001E-2</v>
      </c>
      <c r="AD28" s="756"/>
      <c r="AE28" s="756">
        <f>IFERROR(QUARTILE(AE12:AE13,1),"n/a")</f>
        <v>-8.8791999999999996E-2</v>
      </c>
      <c r="AF28" s="756">
        <f>IFERROR(QUARTILE(AF12:AF13,1),"n/a")</f>
        <v>1.1120140000000001</v>
      </c>
      <c r="AG28" s="756">
        <f>IFERROR(QUARTILE(AG12:AG13,1),"n/a")</f>
        <v>-5.7729999999999997E-2</v>
      </c>
      <c r="AH28" s="756"/>
      <c r="AI28" s="756"/>
      <c r="AJ28" s="752">
        <f>IFERROR(QUARTILE(AJ12:AJ13,1),"n/a")</f>
        <v>0.5749187</v>
      </c>
      <c r="AK28" s="756"/>
      <c r="AL28" s="756">
        <f>IFERROR(QUARTILE(AL12:AL13,1),"n/a")</f>
        <v>7.9898750000000004E-2</v>
      </c>
      <c r="AM28" s="756">
        <f>IFERROR(QUARTILE(AM12:AM13,1),"n/a")</f>
        <v>8.6134249999999996E-2</v>
      </c>
      <c r="AN28" s="756">
        <f>IFERROR(QUARTILE(AN12:AN13,1),"n/a")</f>
        <v>6.2858999999999998E-2</v>
      </c>
      <c r="AO28" s="756">
        <f>IFERROR(QUARTILE(AO12:AO13,1),"n/a")</f>
        <v>2.4793750000000007E-2</v>
      </c>
      <c r="AP28" s="756">
        <f>IFERROR(QUARTILE(AP12:AP13,1),"n/a")</f>
        <v>3.2853000000000007E-2</v>
      </c>
      <c r="AQ28" s="746"/>
      <c r="AR28" s="756">
        <f>IFERROR(QUARTILE(AR12:AR13,1),"n/a")</f>
        <v>-2.9845E-2</v>
      </c>
      <c r="AS28" s="756">
        <f>IFERROR(QUARTILE(AS12:AS13,1),"n/a")</f>
        <v>3.6965999999999999E-2</v>
      </c>
      <c r="AT28" s="756">
        <f>IFERROR(QUARTILE(AT12:AT13,1),"n/a")</f>
        <v>-0.10337500000000001</v>
      </c>
      <c r="AU28" s="756"/>
      <c r="AV28" s="756"/>
      <c r="AW28" s="752">
        <f>IFERROR(QUARTILE(AW12:AW13,1),"n/a")</f>
        <v>4.1314800000000006E-2</v>
      </c>
      <c r="AX28" s="756"/>
      <c r="AY28" s="756">
        <f>IFERROR(QUARTILE(AY12:AY13,1),"n/a")</f>
        <v>2.4437249999999994E-2</v>
      </c>
      <c r="AZ28" s="756">
        <f>IFERROR(QUARTILE(AZ12:AZ13,1),"n/a")</f>
        <v>3.1563750000000002E-2</v>
      </c>
      <c r="BA28" s="756">
        <f>IFERROR(QUARTILE(BA12:BA13,1),"n/a")</f>
        <v>8.4622500000000045E-3</v>
      </c>
      <c r="BB28" s="756"/>
      <c r="BC28" s="756"/>
      <c r="BD28" s="746"/>
      <c r="BE28" s="745">
        <f>IFERROR(QUARTILE(BE12:BE13,1),"n/a")</f>
        <v>37.478569999999998</v>
      </c>
      <c r="BF28" s="745">
        <f>IFERROR(QUARTILE(BF12:BF13,1),"n/a")</f>
        <v>37.440150000000003</v>
      </c>
      <c r="BG28" s="745">
        <f>IFERROR(QUARTILE(BG12:BG13,1),"n/a")</f>
        <v>37.052432500000002</v>
      </c>
      <c r="BH28" s="745">
        <f>IFERROR(QUARTILE(BH12:BH13,1),"n/a")</f>
        <v>37.323717500000001</v>
      </c>
      <c r="BI28" s="746"/>
      <c r="BJ28" s="745">
        <f>IFERROR(QUARTILE(BJ12:BJ13,1),"n/a")</f>
        <v>25.578562499999997</v>
      </c>
      <c r="BK28" s="745">
        <f>IFERROR(QUARTILE(BK12:BK13,1),"n/a")</f>
        <v>24.621094999999997</v>
      </c>
      <c r="BL28" s="745">
        <f>IFERROR(QUARTILE(BL12:BL13,1),"n/a")</f>
        <v>25.120125000000002</v>
      </c>
      <c r="BM28" s="745">
        <f>IFERROR(QUARTILE(BM12:BM13,1),"n/a")</f>
        <v>25.106594166666667</v>
      </c>
      <c r="BN28" s="747"/>
      <c r="BO28" s="745">
        <f>IFERROR(QUARTILE(BO12:BO13,1),"n/a")</f>
        <v>23.056047499999998</v>
      </c>
      <c r="BP28" s="745">
        <f>IFERROR(QUARTILE(BP12:BP13,1),"n/a")</f>
        <v>21.392515</v>
      </c>
      <c r="BQ28" s="745">
        <f>IFERROR(QUARTILE(BQ12:BQ13,1),"n/a")</f>
        <v>23.400792500000001</v>
      </c>
      <c r="BR28" s="748">
        <f>IFERROR(QUARTILE(BR12:BR13,1),"n/a")</f>
        <v>22.650823333333335</v>
      </c>
      <c r="BS28" s="149"/>
      <c r="BU28" s="214"/>
      <c r="BV28" s="214"/>
      <c r="BW28" s="214"/>
      <c r="BX28" s="214"/>
    </row>
    <row r="29" spans="1:76" s="117" customFormat="1" hidden="1" outlineLevel="1">
      <c r="A29" s="95"/>
      <c r="B29" s="734" t="s">
        <v>422</v>
      </c>
      <c r="C29" s="749">
        <f t="shared" ref="C29:H29" si="51">IFERROR(QUARTILE(C12:C13,3),"n/a")</f>
        <v>8261.2354999999989</v>
      </c>
      <c r="D29" s="749">
        <f t="shared" si="51"/>
        <v>8113.4369999999999</v>
      </c>
      <c r="E29" s="749">
        <f t="shared" si="51"/>
        <v>7563.7844999999998</v>
      </c>
      <c r="F29" s="749">
        <f t="shared" si="51"/>
        <v>9660.8649999999998</v>
      </c>
      <c r="G29" s="757">
        <f t="shared" si="51"/>
        <v>8885.2557500000003</v>
      </c>
      <c r="H29" s="757">
        <f t="shared" si="51"/>
        <v>5.9019338150008871E-2</v>
      </c>
      <c r="I29" s="757"/>
      <c r="J29" s="757">
        <f t="shared" ref="J29:O29" si="52">IFERROR(QUARTILE(J12:J13,3),"n/a")</f>
        <v>1809.9435000000001</v>
      </c>
      <c r="K29" s="757">
        <f t="shared" si="52"/>
        <v>1805.0805</v>
      </c>
      <c r="L29" s="757">
        <f t="shared" si="52"/>
        <v>1695.4010000000003</v>
      </c>
      <c r="M29" s="757">
        <f t="shared" si="52"/>
        <v>1796.3104999999998</v>
      </c>
      <c r="N29" s="757">
        <f t="shared" si="52"/>
        <v>1785.14075</v>
      </c>
      <c r="O29" s="757">
        <f t="shared" si="52"/>
        <v>-0.53733005404436329</v>
      </c>
      <c r="P29" s="757"/>
      <c r="Q29" s="757">
        <f t="shared" ref="Q29:V29" si="53">IFERROR(QUARTILE(Q12:Q13,3),"n/a")</f>
        <v>1222.0435</v>
      </c>
      <c r="R29" s="757">
        <f t="shared" si="53"/>
        <v>1260.45625</v>
      </c>
      <c r="S29" s="757">
        <f t="shared" si="53"/>
        <v>1212.8274999999999</v>
      </c>
      <c r="T29" s="757">
        <f t="shared" si="53"/>
        <v>1351.1334999999999</v>
      </c>
      <c r="U29" s="757">
        <f t="shared" si="53"/>
        <v>1387.2497499999999</v>
      </c>
      <c r="V29" s="757">
        <f t="shared" si="53"/>
        <v>-6.2498219091522839E-2</v>
      </c>
      <c r="W29" s="757"/>
      <c r="X29" s="757">
        <f t="shared" ref="X29:AC29" si="54">IFERROR(QUARTILE(X12:X13,3),"n/a")</f>
        <v>6.0814500000000007E-2</v>
      </c>
      <c r="Y29" s="757">
        <f t="shared" si="54"/>
        <v>8.5626750000000001E-2</v>
      </c>
      <c r="Z29" s="757">
        <f t="shared" si="54"/>
        <v>3.120400000000001E-2</v>
      </c>
      <c r="AA29" s="757">
        <f t="shared" si="54"/>
        <v>0.13010900000000003</v>
      </c>
      <c r="AB29" s="757">
        <f t="shared" si="54"/>
        <v>0.34989875000000004</v>
      </c>
      <c r="AC29" s="757">
        <f t="shared" si="54"/>
        <v>9.6604900000000007E-2</v>
      </c>
      <c r="AD29" s="757"/>
      <c r="AE29" s="757">
        <f>IFERROR(QUARTILE(AE12:AE13,3),"n/a")</f>
        <v>-2.7635999999999994E-2</v>
      </c>
      <c r="AF29" s="757">
        <f>IFERROR(QUARTILE(AF12:AF13,3),"n/a")</f>
        <v>3.2101060000000006</v>
      </c>
      <c r="AG29" s="757">
        <f>IFERROR(QUARTILE(AG12:AG13,3),"n/a")</f>
        <v>-5.7729999999999997E-2</v>
      </c>
      <c r="AH29" s="757"/>
      <c r="AI29" s="757"/>
      <c r="AJ29" s="757">
        <f>IFERROR(QUARTILE(AJ12:AJ13,3),"n/a")</f>
        <v>1.5715669000000001</v>
      </c>
      <c r="AK29" s="757"/>
      <c r="AL29" s="757">
        <f>IFERROR(QUARTILE(AL12:AL13,3),"n/a")</f>
        <v>0.17419025000000002</v>
      </c>
      <c r="AM29" s="757">
        <f>IFERROR(QUARTILE(AM12:AM13,3),"n/a")</f>
        <v>0.17842074999999999</v>
      </c>
      <c r="AN29" s="757">
        <f>IFERROR(QUARTILE(AN12:AN13,3),"n/a")</f>
        <v>0.17200099999999999</v>
      </c>
      <c r="AO29" s="757">
        <f>IFERROR(QUARTILE(AO12:AO13,3),"n/a")</f>
        <v>0.13335125</v>
      </c>
      <c r="AP29" s="757">
        <f>IFERROR(QUARTILE(AP12:AP13,3),"n/a")</f>
        <v>0.146009</v>
      </c>
      <c r="AQ29" s="749"/>
      <c r="AR29" s="757">
        <f>IFERROR(QUARTILE(AR12:AR13,3),"n/a")</f>
        <v>-2.9845E-2</v>
      </c>
      <c r="AS29" s="757">
        <f>IFERROR(QUARTILE(AS12:AS13,3),"n/a")</f>
        <v>3.6965999999999999E-2</v>
      </c>
      <c r="AT29" s="757">
        <f>IFERROR(QUARTILE(AT12:AT13,3),"n/a")</f>
        <v>-0.10337500000000001</v>
      </c>
      <c r="AU29" s="757"/>
      <c r="AV29" s="757"/>
      <c r="AW29" s="757">
        <f>IFERROR(QUARTILE(AW12:AW13,3),"n/a")</f>
        <v>4.1314800000000006E-2</v>
      </c>
      <c r="AX29" s="757"/>
      <c r="AY29" s="757">
        <f>IFERROR(QUARTILE(AY12:AY13,3),"n/a")</f>
        <v>0.10809175</v>
      </c>
      <c r="AZ29" s="757">
        <f>IFERROR(QUARTILE(AZ12:AZ13,3),"n/a")</f>
        <v>0.11535124999999999</v>
      </c>
      <c r="BA29" s="757">
        <f>IFERROR(QUARTILE(BA12:BA13,3),"n/a")</f>
        <v>0.11124075000000003</v>
      </c>
      <c r="BB29" s="757"/>
      <c r="BC29" s="757"/>
      <c r="BD29" s="749"/>
      <c r="BE29" s="749">
        <f>IFERROR(QUARTILE(BE12:BE13,3),"n/a")</f>
        <v>53.220289999999999</v>
      </c>
      <c r="BF29" s="749">
        <f>IFERROR(QUARTILE(BF12:BF13,3),"n/a")</f>
        <v>54.899450000000002</v>
      </c>
      <c r="BG29" s="749">
        <f>IFERROR(QUARTILE(BG12:BG13,3),"n/a")</f>
        <v>57.628577500000006</v>
      </c>
      <c r="BH29" s="749">
        <f>IFERROR(QUARTILE(BH12:BH13,3),"n/a")</f>
        <v>55.249439166666669</v>
      </c>
      <c r="BI29" s="749"/>
      <c r="BJ29" s="749">
        <f>IFERROR(QUARTILE(BJ12:BJ13,3),"n/a")</f>
        <v>60.38660749999999</v>
      </c>
      <c r="BK29" s="749">
        <f>IFERROR(QUARTILE(BK12:BK13,3),"n/a")</f>
        <v>56.823785000000001</v>
      </c>
      <c r="BL29" s="749">
        <f>IFERROR(QUARTILE(BL12:BL13,3),"n/a")</f>
        <v>58.236755000000002</v>
      </c>
      <c r="BM29" s="749">
        <f>IFERROR(QUARTILE(BM12:BM13,3),"n/a")</f>
        <v>58.4823825</v>
      </c>
      <c r="BN29" s="749"/>
      <c r="BO29" s="749">
        <f>IFERROR(QUARTILE(BO12:BO13,3),"n/a")</f>
        <v>23.159162500000001</v>
      </c>
      <c r="BP29" s="749">
        <f>IFERROR(QUARTILE(BP12:BP13,3),"n/a")</f>
        <v>23.118205</v>
      </c>
      <c r="BQ29" s="749">
        <f>IFERROR(QUARTILE(BQ12:BQ13,3),"n/a")</f>
        <v>24.703657499999998</v>
      </c>
      <c r="BR29" s="750">
        <f>IFERROR(QUARTILE(BR12:BR13,3),"n/a")</f>
        <v>23.625970000000002</v>
      </c>
      <c r="BS29" s="149"/>
      <c r="BU29" s="214"/>
      <c r="BV29" s="214"/>
      <c r="BW29" s="214"/>
      <c r="BX29" s="214"/>
    </row>
    <row r="30" spans="1:76" s="117" customFormat="1" collapsed="1">
      <c r="A30" s="95"/>
      <c r="B30" s="155"/>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213"/>
      <c r="AL30" s="116"/>
      <c r="AM30" s="116"/>
      <c r="AN30" s="116"/>
      <c r="AO30" s="116"/>
      <c r="AP30" s="116"/>
      <c r="AQ30" s="116"/>
      <c r="AR30" s="116"/>
      <c r="AS30" s="116"/>
      <c r="AT30" s="116"/>
      <c r="AU30" s="116"/>
      <c r="AV30" s="116"/>
      <c r="AW30" s="116"/>
      <c r="AX30" s="213"/>
      <c r="AY30" s="116"/>
      <c r="AZ30" s="116"/>
      <c r="BA30" s="116"/>
      <c r="BB30" s="116"/>
      <c r="BC30" s="116"/>
      <c r="BD30" s="116"/>
      <c r="BE30" s="116"/>
      <c r="BF30" s="116"/>
      <c r="BG30" s="116"/>
      <c r="BH30" s="116"/>
      <c r="BI30" s="116"/>
      <c r="BJ30" s="116"/>
      <c r="BK30" s="116"/>
      <c r="BL30" s="116"/>
      <c r="BM30" s="116"/>
      <c r="BN30" s="116"/>
      <c r="BO30" s="156"/>
      <c r="BP30" s="156"/>
      <c r="BQ30" s="156"/>
      <c r="BR30" s="156"/>
      <c r="BU30" s="95"/>
      <c r="BV30" s="95"/>
      <c r="BW30" s="95"/>
    </row>
    <row r="31" spans="1:76" s="117" customFormat="1">
      <c r="A31" s="95"/>
      <c r="B31" s="792" t="str">
        <f>Outline!$M$2</f>
        <v>WB Santa Cruz</v>
      </c>
      <c r="C31" s="935">
        <f>'Historical Actuals'!N44/10^6</f>
        <v>2.9985903899999995</v>
      </c>
      <c r="D31" s="935">
        <f>'Historical Actuals'!O44/10^6</f>
        <v>3.1262068000000003</v>
      </c>
      <c r="E31" s="935">
        <f>'Historical Actuals'!P44/10^6</f>
        <v>2.5900863100000007</v>
      </c>
      <c r="F31" s="935">
        <f>'Historical Actuals'!Q44/10^6</f>
        <v>2.4020425999999997</v>
      </c>
      <c r="G31" s="935">
        <f>'Historical Actuals'!R44/10^6</f>
        <v>2.5701793500000005</v>
      </c>
      <c r="H31" s="952">
        <f>IFERROR((C31/G31)^(1/5)-1,"NM")</f>
        <v>3.1313595527911353E-2</v>
      </c>
      <c r="I31" s="793"/>
      <c r="J31" s="935">
        <f>'Historical Actuals'!N72/10^6</f>
        <v>0.26572770799999884</v>
      </c>
      <c r="K31" s="935">
        <f>'Historical Actuals'!O72/10^6</f>
        <v>0.62993924799999967</v>
      </c>
      <c r="L31" s="935">
        <f>'Historical Actuals'!P72/10^6</f>
        <v>0.44002616099999964</v>
      </c>
      <c r="M31" s="935">
        <f>'Historical Actuals'!Q72/10^6</f>
        <v>0.3889933879999995</v>
      </c>
      <c r="N31" s="935">
        <f>'Historical Actuals'!R72/10^6</f>
        <v>0.53359753100000018</v>
      </c>
      <c r="O31" s="952">
        <f>IFERROR((J31/N31)^(1/5)-1,"NM")</f>
        <v>-0.13014952283786108</v>
      </c>
      <c r="P31" s="793"/>
      <c r="Q31" s="935">
        <f>'Historical Actuals'!N80/10^6</f>
        <v>0.13460976799999877</v>
      </c>
      <c r="R31" s="935">
        <f>'Historical Actuals'!O80/10^6</f>
        <v>0.49651964799999976</v>
      </c>
      <c r="S31" s="935">
        <f>'Historical Actuals'!P80/10^6</f>
        <v>0.31204600099999957</v>
      </c>
      <c r="T31" s="935">
        <f>'Historical Actuals'!Q80/10^6</f>
        <v>0.26469240799999949</v>
      </c>
      <c r="U31" s="935">
        <f>'Historical Actuals'!R80/10^6</f>
        <v>0.47107842100000014</v>
      </c>
      <c r="V31" s="952">
        <f>IFERROR((Q31/U31)^(1/4)-1,"NM")</f>
        <v>-0.2688679177520561</v>
      </c>
      <c r="W31" s="793"/>
      <c r="X31" s="758">
        <f>IFERROR('Historical Actuals'!N44/'Historical Actuals'!O44-1,"NM")</f>
        <v>-4.082148692146681E-2</v>
      </c>
      <c r="Y31" s="758">
        <f>IFERROR('Historical Actuals'!O44/'Historical Actuals'!P44-1,"NM")</f>
        <v>0.20698943040241757</v>
      </c>
      <c r="Z31" s="758">
        <f>IFERROR('Historical Actuals'!P44/'Historical Actuals'!Q44-1,"NM")</f>
        <v>7.8284918843654516E-2</v>
      </c>
      <c r="AA31" s="758">
        <f>IFERROR('Historical Actuals'!Q44/'Historical Actuals'!R44-1,"NM")</f>
        <v>-6.5418294641578556E-2</v>
      </c>
      <c r="AB31" s="758" t="s">
        <v>418</v>
      </c>
      <c r="AC31" s="955">
        <f>AVERAGE(X31:AB31)</f>
        <v>4.4758641920756681E-2</v>
      </c>
      <c r="AD31" s="793"/>
      <c r="AE31" s="758">
        <f>IFERROR(IF('Historical Actuals'!O72&lt;0,"NM",'Historical Actuals'!N72/'Historical Actuals'!O72-1),"NM")</f>
        <v>-0.57816930943156764</v>
      </c>
      <c r="AF31" s="758">
        <f>IFERROR(IF('Historical Actuals'!P72&lt;0,"NM",'Historical Actuals'!O72/'Historical Actuals'!P72-1),"NM")</f>
        <v>0.43159499100781917</v>
      </c>
      <c r="AG31" s="758">
        <f>IFERROR(IF('Historical Actuals'!Q72&lt;0,"NM",'Historical Actuals'!P72/'Historical Actuals'!Q72-1),"NM")</f>
        <v>0.13119187773957774</v>
      </c>
      <c r="AH31" s="758">
        <f>IFERROR(IF('Historical Actuals'!R72&lt;0,"NM",'Historical Actuals'!Q72/'Historical Actuals'!R72-1),"NM")</f>
        <v>-0.27099852341708197</v>
      </c>
      <c r="AI31" s="758" t="s">
        <v>418</v>
      </c>
      <c r="AJ31" s="955">
        <f>IFERROR(AVERAGE(AE31:AI31),"NM")</f>
        <v>-7.1595241025313172E-2</v>
      </c>
      <c r="AK31" s="958"/>
      <c r="AL31" s="758">
        <f>IFERROR('Historical Actuals'!N72/'Historical Actuals'!N44,"NM")</f>
        <v>8.8617541390839591E-2</v>
      </c>
      <c r="AM31" s="758">
        <f>IFERROR('Historical Actuals'!O72/'Historical Actuals'!O44,"NM")</f>
        <v>0.2015027438363961</v>
      </c>
      <c r="AN31" s="758">
        <f>IFERROR('Historical Actuals'!P72/'Historical Actuals'!P44,"NM")</f>
        <v>0.16988860923325738</v>
      </c>
      <c r="AO31" s="758">
        <f>IFERROR('Historical Actuals'!Q72/'Historical Actuals'!Q44,"NM")</f>
        <v>0.16194275155652926</v>
      </c>
      <c r="AP31" s="758">
        <f>IFERROR('Historical Actuals'!R72/'Historical Actuals'!R44,"NM")</f>
        <v>0.20761101010324437</v>
      </c>
      <c r="AQ31" s="957"/>
      <c r="AR31" s="758">
        <f>IFERROR(IF('Historical Actuals'!O80&lt;0,"NM",'Historical Actuals'!N80/'Historical Actuals'!O80-1),"NM")</f>
        <v>-0.72889337100311724</v>
      </c>
      <c r="AS31" s="758">
        <f>IFERROR(IF('Historical Actuals'!P80&lt;0,"NM",'Historical Actuals'!O80/'Historical Actuals'!P80-1),"NM")</f>
        <v>0.59117452686086636</v>
      </c>
      <c r="AT31" s="758">
        <f>IFERROR(IF('Historical Actuals'!Q80&lt;0,"NM",'Historical Actuals'!P80/'Historical Actuals'!Q80-1),"NM")</f>
        <v>0.17890045792322162</v>
      </c>
      <c r="AU31" s="758">
        <f>IFERROR(IF('Historical Actuals'!R80&lt;0,"NM",'Historical Actuals'!Q80/'Historical Actuals'!R80-1),"NM")</f>
        <v>-0.4381139186165367</v>
      </c>
      <c r="AV31" s="758" t="s">
        <v>418</v>
      </c>
      <c r="AW31" s="955">
        <f>IFERROR(AVERAGE(AR31:AV31),"NM")</f>
        <v>-9.9233076208891491E-2</v>
      </c>
      <c r="AX31" s="958"/>
      <c r="AY31" s="758">
        <f>IFERROR('Historical Actuals'!N80/'Historical Actuals'!N44,"NM")</f>
        <v>4.4891015608170069E-2</v>
      </c>
      <c r="AZ31" s="758">
        <f>IFERROR('Historical Actuals'!O80/'Historical Actuals'!O44,"NM")</f>
        <v>0.15882495297495985</v>
      </c>
      <c r="BA31" s="758">
        <f>IFERROR('Historical Actuals'!P80/'Historical Actuals'!P44,"NM")</f>
        <v>0.12047706665033858</v>
      </c>
      <c r="BB31" s="758">
        <f>IFERROR('Historical Actuals'!Q80/'Historical Actuals'!Q44,"NM")</f>
        <v>0.11019471844504319</v>
      </c>
      <c r="BC31" s="758">
        <f>IFERROR('Historical Actuals'!R80/'Historical Actuals'!R44,"NM")</f>
        <v>0.18328620568833068</v>
      </c>
      <c r="BD31" s="957"/>
      <c r="BE31" s="935"/>
      <c r="BF31" s="957"/>
      <c r="BG31" s="957"/>
      <c r="BH31" s="957"/>
      <c r="BI31" s="957"/>
      <c r="BJ31" s="935"/>
      <c r="BK31" s="957"/>
      <c r="BL31" s="957"/>
      <c r="BM31" s="957"/>
      <c r="BN31" s="957"/>
      <c r="BO31" s="935"/>
      <c r="BP31" s="962"/>
      <c r="BQ31" s="962"/>
      <c r="BR31" s="963"/>
      <c r="BU31" s="95"/>
      <c r="BV31" s="95"/>
      <c r="BW31" s="95"/>
    </row>
    <row r="32" spans="1:76" s="117" customFormat="1">
      <c r="A32" s="95"/>
      <c r="B32" s="155"/>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213"/>
      <c r="AY32" s="116"/>
      <c r="AZ32" s="116"/>
      <c r="BA32" s="116"/>
      <c r="BB32" s="116"/>
      <c r="BC32" s="116"/>
      <c r="BD32" s="116"/>
      <c r="BE32" s="116"/>
      <c r="BF32" s="116"/>
      <c r="BG32" s="116"/>
      <c r="BH32" s="116"/>
      <c r="BI32" s="116"/>
      <c r="BJ32" s="116"/>
      <c r="BK32" s="116"/>
      <c r="BL32" s="116"/>
      <c r="BM32" s="116"/>
      <c r="BN32" s="116"/>
      <c r="BO32" s="156"/>
      <c r="BP32" s="156"/>
      <c r="BQ32" s="156"/>
      <c r="BR32" s="156"/>
      <c r="BU32" s="95"/>
      <c r="BV32" s="95"/>
      <c r="BW32" s="95"/>
    </row>
    <row r="33" spans="1:74" s="117" customFormat="1">
      <c r="A33" s="95"/>
      <c r="B33" s="157"/>
      <c r="C33" s="157"/>
      <c r="D33" s="95"/>
      <c r="E33" s="95"/>
      <c r="F33" s="95"/>
      <c r="G33" s="95"/>
      <c r="H33" s="95"/>
      <c r="I33" s="95"/>
      <c r="J33" s="157"/>
      <c r="K33" s="95"/>
      <c r="L33" s="95"/>
      <c r="M33" s="95"/>
      <c r="N33" s="95"/>
      <c r="O33" s="95"/>
      <c r="P33" s="95"/>
      <c r="Q33" s="157"/>
      <c r="R33" s="95"/>
      <c r="S33" s="95"/>
      <c r="T33" s="95"/>
      <c r="U33" s="95"/>
      <c r="V33" s="95"/>
      <c r="W33" s="95"/>
      <c r="X33" s="157"/>
      <c r="Y33" s="95"/>
      <c r="Z33" s="95"/>
      <c r="AA33" s="95"/>
      <c r="AB33" s="95"/>
      <c r="AC33" s="95"/>
      <c r="AD33" s="95"/>
      <c r="AE33" s="95"/>
      <c r="AF33" s="95"/>
      <c r="AG33" s="95"/>
      <c r="AH33" s="95"/>
      <c r="AI33" s="95"/>
      <c r="AJ33" s="95"/>
      <c r="AK33" s="95"/>
      <c r="AL33" s="95"/>
      <c r="AM33" s="95"/>
      <c r="AN33" s="95"/>
      <c r="AO33" s="95"/>
      <c r="AP33" s="95"/>
      <c r="AQ33" s="95"/>
      <c r="AR33" s="157"/>
      <c r="AS33" s="95"/>
      <c r="AT33" s="95"/>
      <c r="AU33" s="95"/>
      <c r="AV33" s="95"/>
      <c r="AW33" s="95"/>
      <c r="AX33" s="213"/>
      <c r="AY33" s="95"/>
      <c r="AZ33" s="95"/>
      <c r="BA33" s="95"/>
      <c r="BB33" s="95"/>
      <c r="BC33" s="95"/>
      <c r="BD33" s="95"/>
      <c r="BE33" s="95"/>
      <c r="BF33" s="95"/>
      <c r="BG33" s="95"/>
      <c r="BH33" s="95"/>
      <c r="BI33" s="95"/>
      <c r="BJ33" s="95"/>
      <c r="BK33" s="95"/>
      <c r="BL33" s="95"/>
      <c r="BM33" s="95"/>
      <c r="BN33" s="95"/>
      <c r="BO33" s="158"/>
      <c r="BP33" s="158"/>
      <c r="BQ33" s="158"/>
      <c r="BR33" s="158"/>
      <c r="BT33" s="95"/>
      <c r="BU33" s="95"/>
      <c r="BV33" s="95"/>
    </row>
    <row r="34" spans="1:74" s="117" customFormat="1">
      <c r="A34" s="95"/>
      <c r="B34" s="95"/>
      <c r="C34" s="95"/>
      <c r="D34" s="159"/>
      <c r="E34" s="159"/>
      <c r="F34" s="159"/>
      <c r="G34" s="159"/>
      <c r="H34" s="159"/>
      <c r="I34" s="159"/>
      <c r="J34" s="95"/>
      <c r="K34" s="159"/>
      <c r="L34" s="159"/>
      <c r="M34" s="159"/>
      <c r="N34" s="159"/>
      <c r="O34" s="159"/>
      <c r="P34" s="159"/>
      <c r="Q34" s="95"/>
      <c r="R34" s="159"/>
      <c r="S34" s="159"/>
      <c r="T34" s="159"/>
      <c r="U34" s="159"/>
      <c r="V34" s="159"/>
      <c r="W34" s="159"/>
      <c r="X34" s="95"/>
      <c r="Y34" s="159"/>
      <c r="Z34" s="159"/>
      <c r="AA34" s="159"/>
      <c r="AB34" s="159"/>
      <c r="AC34" s="159"/>
      <c r="AD34" s="159"/>
      <c r="AE34" s="159"/>
      <c r="AF34" s="159"/>
      <c r="AG34" s="159"/>
      <c r="AH34" s="159"/>
      <c r="AI34" s="159"/>
      <c r="AJ34" s="159"/>
      <c r="AK34" s="159"/>
      <c r="AL34" s="159"/>
      <c r="AM34" s="159"/>
      <c r="AN34" s="159"/>
      <c r="AO34" s="159"/>
      <c r="AP34" s="159"/>
      <c r="AQ34" s="159"/>
      <c r="AR34" s="95"/>
      <c r="AS34" s="159"/>
      <c r="AT34" s="159"/>
      <c r="AU34" s="159"/>
      <c r="AV34" s="159"/>
      <c r="AW34" s="159"/>
      <c r="AX34" s="213"/>
      <c r="AY34" s="159"/>
      <c r="AZ34" s="159"/>
      <c r="BA34" s="159"/>
      <c r="BB34" s="159"/>
      <c r="BC34" s="159"/>
      <c r="BD34" s="159"/>
      <c r="BE34" s="159"/>
      <c r="BF34" s="159"/>
      <c r="BG34" s="159"/>
      <c r="BH34" s="159"/>
      <c r="BI34" s="159"/>
      <c r="BJ34" s="159"/>
      <c r="BK34" s="159"/>
      <c r="BL34" s="159"/>
      <c r="BM34" s="159"/>
      <c r="BN34" s="159"/>
      <c r="BO34" s="161"/>
      <c r="BP34" s="161"/>
      <c r="BQ34" s="161"/>
      <c r="BR34" s="161"/>
      <c r="BS34" s="160"/>
      <c r="BT34" s="159"/>
      <c r="BU34" s="159"/>
      <c r="BV34" s="159"/>
    </row>
    <row r="35" spans="1:74" s="117" customFormat="1">
      <c r="A35" s="116"/>
      <c r="B35" s="95"/>
      <c r="C35" s="95"/>
      <c r="D35" s="95"/>
      <c r="E35" s="95"/>
      <c r="F35" s="95"/>
      <c r="G35" s="95"/>
      <c r="J35" s="95"/>
      <c r="K35" s="95"/>
      <c r="L35" s="95"/>
      <c r="M35" s="95"/>
      <c r="N35" s="95"/>
      <c r="Q35" s="95"/>
      <c r="R35" s="95"/>
      <c r="S35" s="95"/>
      <c r="T35" s="95"/>
      <c r="U35" s="95"/>
      <c r="X35" s="95"/>
      <c r="Y35" s="95"/>
      <c r="Z35" s="95"/>
      <c r="AA35" s="95"/>
      <c r="AB35" s="95"/>
      <c r="AR35" s="95"/>
      <c r="AS35" s="95"/>
      <c r="AT35" s="95"/>
      <c r="AU35" s="95"/>
      <c r="AV35" s="95"/>
      <c r="AX35" s="213"/>
      <c r="AY35" s="95"/>
      <c r="AZ35" s="95"/>
      <c r="BA35" s="95"/>
      <c r="BB35" s="95"/>
      <c r="BC35" s="95"/>
      <c r="BD35" s="95"/>
      <c r="BE35" s="95"/>
      <c r="BF35" s="95"/>
      <c r="BG35" s="95"/>
      <c r="BH35" s="759"/>
      <c r="BI35" s="759"/>
      <c r="BJ35" s="759"/>
      <c r="BK35" s="759"/>
      <c r="BL35" s="759"/>
      <c r="BM35" s="759"/>
      <c r="BN35" s="759"/>
      <c r="BO35" s="760"/>
      <c r="BP35" s="760"/>
      <c r="BQ35" s="760"/>
      <c r="BR35" s="760"/>
      <c r="BT35" s="95"/>
      <c r="BU35" s="95"/>
      <c r="BV35" s="95"/>
    </row>
    <row r="36" spans="1:74" s="117" customFormat="1">
      <c r="B36" s="131"/>
      <c r="C36" s="131"/>
      <c r="D36" s="163"/>
      <c r="E36" s="163"/>
      <c r="F36" s="163"/>
      <c r="G36" s="163"/>
      <c r="H36" s="163"/>
      <c r="I36" s="163"/>
      <c r="J36" s="131"/>
      <c r="K36" s="163"/>
      <c r="L36" s="163"/>
      <c r="M36" s="163"/>
      <c r="N36" s="163"/>
      <c r="O36" s="163"/>
      <c r="P36" s="163"/>
      <c r="Q36" s="131"/>
      <c r="R36" s="163"/>
      <c r="S36" s="163"/>
      <c r="T36" s="163"/>
      <c r="U36" s="163"/>
      <c r="V36" s="163"/>
      <c r="W36" s="163"/>
      <c r="X36" s="131"/>
      <c r="Y36" s="163"/>
      <c r="Z36" s="163"/>
      <c r="AA36" s="163"/>
      <c r="AB36" s="163"/>
      <c r="AC36" s="163"/>
      <c r="AD36" s="163"/>
      <c r="AE36" s="163"/>
      <c r="AF36" s="163"/>
      <c r="AG36" s="163"/>
      <c r="AH36" s="163"/>
      <c r="AI36" s="163"/>
      <c r="AJ36" s="163"/>
      <c r="AK36" s="163"/>
      <c r="AL36" s="163"/>
      <c r="AM36" s="163"/>
      <c r="AN36" s="163"/>
      <c r="AO36" s="163"/>
      <c r="AP36" s="163"/>
      <c r="AQ36" s="163"/>
      <c r="AR36" s="131"/>
      <c r="AS36" s="163"/>
      <c r="AT36" s="163"/>
      <c r="AU36" s="163"/>
      <c r="AV36" s="163"/>
      <c r="AW36" s="163"/>
      <c r="AX36" s="213"/>
      <c r="AY36" s="163"/>
      <c r="AZ36" s="163"/>
      <c r="BA36" s="163"/>
      <c r="BB36" s="163"/>
      <c r="BC36" s="163"/>
      <c r="BD36" s="163"/>
      <c r="BE36" s="163"/>
      <c r="BF36" s="163"/>
      <c r="BG36" s="163"/>
      <c r="BH36" s="759"/>
      <c r="BI36" s="759"/>
      <c r="BJ36" s="759"/>
      <c r="BK36" s="759"/>
      <c r="BL36" s="759"/>
      <c r="BM36" s="759"/>
      <c r="BN36" s="759"/>
      <c r="BO36" s="760"/>
      <c r="BP36" s="760"/>
      <c r="BQ36" s="760"/>
      <c r="BR36" s="760"/>
      <c r="BS36" s="215"/>
      <c r="BT36" s="163"/>
      <c r="BU36" s="163"/>
      <c r="BV36" s="163"/>
    </row>
    <row r="37" spans="1:74" s="117" customFormat="1">
      <c r="B37" s="131"/>
      <c r="C37" s="131"/>
      <c r="D37" s="163"/>
      <c r="E37" s="163"/>
      <c r="F37" s="163"/>
      <c r="G37" s="163"/>
      <c r="H37" s="163"/>
      <c r="I37" s="163"/>
      <c r="J37" s="131"/>
      <c r="K37" s="163"/>
      <c r="L37" s="163"/>
      <c r="M37" s="163"/>
      <c r="N37" s="163"/>
      <c r="O37" s="163"/>
      <c r="P37" s="163"/>
      <c r="Q37" s="131"/>
      <c r="R37" s="163"/>
      <c r="S37" s="163"/>
      <c r="T37" s="163"/>
      <c r="U37" s="163"/>
      <c r="V37" s="163"/>
      <c r="W37" s="163"/>
      <c r="X37" s="131"/>
      <c r="Y37" s="163"/>
      <c r="Z37" s="163"/>
      <c r="AA37" s="163"/>
      <c r="AB37" s="163"/>
      <c r="AC37" s="163"/>
      <c r="AD37" s="163"/>
      <c r="AE37" s="163"/>
      <c r="AF37" s="163"/>
      <c r="AG37" s="163"/>
      <c r="AH37" s="163"/>
      <c r="AI37" s="163"/>
      <c r="AJ37" s="163"/>
      <c r="AK37" s="163"/>
      <c r="AL37" s="163"/>
      <c r="AM37" s="163"/>
      <c r="AN37" s="163"/>
      <c r="AO37" s="163"/>
      <c r="AP37" s="163"/>
      <c r="AQ37" s="163"/>
      <c r="AR37" s="131"/>
      <c r="AS37" s="163"/>
      <c r="AT37" s="163"/>
      <c r="AU37" s="163"/>
      <c r="AV37" s="163"/>
      <c r="AW37" s="163"/>
      <c r="AX37" s="213"/>
      <c r="AY37" s="163"/>
      <c r="AZ37" s="163"/>
      <c r="BA37" s="163"/>
      <c r="BB37" s="163"/>
      <c r="BC37" s="163"/>
      <c r="BD37" s="163"/>
      <c r="BE37" s="163"/>
      <c r="BF37" s="163"/>
      <c r="BG37" s="163"/>
      <c r="BH37" s="163"/>
      <c r="BI37" s="163"/>
      <c r="BJ37" s="163"/>
      <c r="BK37" s="163"/>
      <c r="BL37" s="163"/>
      <c r="BM37" s="163"/>
      <c r="BN37" s="95"/>
      <c r="BO37" s="163"/>
      <c r="BP37" s="163"/>
      <c r="BQ37" s="163"/>
      <c r="BR37" s="163"/>
      <c r="BT37" s="163"/>
      <c r="BU37" s="163"/>
      <c r="BV37" s="163"/>
    </row>
    <row r="38" spans="1:74" s="117" customFormat="1">
      <c r="B38" s="131"/>
      <c r="C38" s="131"/>
      <c r="D38" s="163"/>
      <c r="E38" s="163"/>
      <c r="F38" s="163"/>
      <c r="G38" s="163"/>
      <c r="H38" s="163"/>
      <c r="I38" s="163"/>
      <c r="J38" s="131"/>
      <c r="K38" s="163"/>
      <c r="L38" s="163"/>
      <c r="M38" s="163"/>
      <c r="N38" s="163"/>
      <c r="O38" s="163"/>
      <c r="P38" s="163"/>
      <c r="Q38" s="131"/>
      <c r="R38" s="163"/>
      <c r="S38" s="163"/>
      <c r="T38" s="163"/>
      <c r="U38" s="163"/>
      <c r="V38" s="163"/>
      <c r="W38" s="163"/>
      <c r="X38" s="131"/>
      <c r="Y38" s="163"/>
      <c r="Z38" s="163"/>
      <c r="AA38" s="163"/>
      <c r="AB38" s="163"/>
      <c r="AC38" s="163"/>
      <c r="AD38" s="163"/>
      <c r="AE38" s="163"/>
      <c r="AF38" s="163"/>
      <c r="AG38" s="163"/>
      <c r="AH38" s="163"/>
      <c r="AI38" s="163"/>
      <c r="AJ38" s="163"/>
      <c r="AK38" s="163"/>
      <c r="AL38" s="163"/>
      <c r="AM38" s="163"/>
      <c r="AN38" s="163"/>
      <c r="AO38" s="163"/>
      <c r="AP38" s="163"/>
      <c r="AQ38" s="163"/>
      <c r="AR38" s="131"/>
      <c r="AS38" s="163"/>
      <c r="AT38" s="163"/>
      <c r="AU38" s="163"/>
      <c r="AV38" s="163"/>
      <c r="AW38" s="163"/>
      <c r="AX38" s="163"/>
      <c r="AY38" s="163"/>
      <c r="AZ38" s="163"/>
      <c r="BA38" s="163"/>
      <c r="BB38" s="163"/>
      <c r="BC38" s="163"/>
      <c r="BD38" s="163"/>
      <c r="BE38" s="163"/>
      <c r="BF38" s="163"/>
      <c r="BG38" s="163"/>
      <c r="BH38" s="163"/>
      <c r="BI38" s="163"/>
      <c r="BJ38" s="163"/>
      <c r="BK38" s="163"/>
      <c r="BL38" s="163"/>
      <c r="BM38" s="163"/>
      <c r="BN38" s="163"/>
      <c r="BO38" s="164"/>
      <c r="BP38" s="164"/>
      <c r="BQ38" s="164"/>
      <c r="BR38" s="164"/>
      <c r="BT38" s="163"/>
      <c r="BU38" s="163"/>
      <c r="BV38" s="163"/>
    </row>
    <row r="39" spans="1:74" s="117" customFormat="1">
      <c r="B39" s="131"/>
      <c r="C39" s="131"/>
      <c r="D39" s="163"/>
      <c r="E39" s="163"/>
      <c r="F39" s="163"/>
      <c r="G39" s="163"/>
      <c r="H39" s="163"/>
      <c r="I39" s="163"/>
      <c r="J39" s="131"/>
      <c r="K39" s="163"/>
      <c r="L39" s="163"/>
      <c r="M39" s="163"/>
      <c r="N39" s="163"/>
      <c r="O39" s="163"/>
      <c r="P39" s="163"/>
      <c r="Q39" s="131"/>
      <c r="R39" s="163"/>
      <c r="S39" s="163"/>
      <c r="T39" s="163"/>
      <c r="U39" s="163"/>
      <c r="V39" s="163"/>
      <c r="W39" s="163"/>
      <c r="X39" s="131"/>
      <c r="Y39" s="163"/>
      <c r="Z39" s="163"/>
      <c r="AA39" s="163"/>
      <c r="AB39" s="163"/>
      <c r="AC39" s="163"/>
      <c r="AD39" s="163"/>
      <c r="AE39" s="163"/>
      <c r="AF39" s="163"/>
      <c r="AG39" s="163"/>
      <c r="AH39" s="163"/>
      <c r="AI39" s="163"/>
      <c r="AJ39" s="163"/>
      <c r="AK39" s="163"/>
      <c r="AL39" s="163"/>
      <c r="AM39" s="163"/>
      <c r="AN39" s="163"/>
      <c r="AO39" s="163"/>
      <c r="AP39" s="163"/>
      <c r="AQ39" s="163"/>
      <c r="AR39" s="131"/>
      <c r="AS39" s="163"/>
      <c r="AT39" s="163"/>
      <c r="AU39" s="163"/>
      <c r="AV39" s="163"/>
      <c r="AW39" s="163"/>
      <c r="AX39" s="163"/>
      <c r="AY39" s="163"/>
      <c r="AZ39" s="163"/>
      <c r="BA39" s="163"/>
      <c r="BB39" s="163"/>
      <c r="BC39" s="163"/>
      <c r="BD39" s="163"/>
      <c r="BE39" s="163"/>
      <c r="BF39" s="163"/>
      <c r="BG39" s="163"/>
      <c r="BH39" s="163"/>
      <c r="BI39" s="163"/>
      <c r="BJ39" s="163"/>
      <c r="BK39" s="163"/>
      <c r="BL39" s="163"/>
      <c r="BM39" s="163"/>
      <c r="BN39" s="163"/>
      <c r="BO39" s="164"/>
      <c r="BP39" s="164"/>
      <c r="BQ39" s="164"/>
      <c r="BR39" s="164"/>
      <c r="BT39" s="163"/>
      <c r="BU39" s="163"/>
      <c r="BV39" s="163"/>
    </row>
    <row r="40" spans="1:74" s="117" customFormat="1">
      <c r="B40" s="131"/>
      <c r="C40" s="131"/>
      <c r="D40" s="163"/>
      <c r="E40" s="163"/>
      <c r="F40" s="163"/>
      <c r="G40" s="163"/>
      <c r="H40" s="163"/>
      <c r="I40" s="163"/>
      <c r="J40" s="131"/>
      <c r="K40" s="163"/>
      <c r="L40" s="163"/>
      <c r="M40" s="163"/>
      <c r="N40" s="163"/>
      <c r="O40" s="163"/>
      <c r="P40" s="163"/>
      <c r="Q40" s="131"/>
      <c r="R40" s="163"/>
      <c r="S40" s="163"/>
      <c r="T40" s="163"/>
      <c r="U40" s="163"/>
      <c r="V40" s="163"/>
      <c r="W40" s="163"/>
      <c r="X40" s="131"/>
      <c r="Y40" s="163"/>
      <c r="Z40" s="163"/>
      <c r="AA40" s="163"/>
      <c r="AB40" s="163"/>
      <c r="AC40" s="163"/>
      <c r="AD40" s="163"/>
      <c r="AE40" s="163"/>
      <c r="AF40" s="163"/>
      <c r="AG40" s="163"/>
      <c r="AH40" s="163"/>
      <c r="AI40" s="163"/>
      <c r="AJ40" s="163"/>
      <c r="AK40" s="163"/>
      <c r="AL40" s="163"/>
      <c r="AM40" s="163"/>
      <c r="AN40" s="163"/>
      <c r="AO40" s="163"/>
      <c r="AP40" s="163"/>
      <c r="AQ40" s="163"/>
      <c r="AR40" s="131"/>
      <c r="AS40" s="163"/>
      <c r="AT40" s="163"/>
      <c r="AU40" s="163"/>
      <c r="AV40" s="163"/>
      <c r="AW40" s="163"/>
      <c r="AX40" s="163"/>
      <c r="AY40" s="163"/>
      <c r="AZ40" s="163"/>
      <c r="BA40" s="163"/>
      <c r="BB40" s="163"/>
      <c r="BC40" s="163"/>
      <c r="BD40" s="163"/>
      <c r="BE40" s="163"/>
      <c r="BF40" s="163"/>
      <c r="BG40" s="163"/>
      <c r="BH40" s="163"/>
      <c r="BI40" s="163"/>
      <c r="BJ40" s="163"/>
      <c r="BK40" s="163"/>
      <c r="BL40" s="163"/>
      <c r="BM40" s="163"/>
      <c r="BN40" s="163"/>
      <c r="BO40" s="164"/>
      <c r="BP40" s="164"/>
      <c r="BQ40" s="164"/>
      <c r="BR40" s="164"/>
      <c r="BT40" s="163"/>
      <c r="BU40" s="163"/>
      <c r="BV40" s="163"/>
    </row>
    <row r="41" spans="1:74" s="117" customFormat="1">
      <c r="B41" s="131"/>
      <c r="C41" s="131"/>
      <c r="D41" s="163"/>
      <c r="E41" s="163"/>
      <c r="F41" s="163"/>
      <c r="G41" s="163"/>
      <c r="H41" s="163"/>
      <c r="I41" s="163"/>
      <c r="J41" s="131"/>
      <c r="K41" s="163"/>
      <c r="L41" s="163"/>
      <c r="M41" s="163"/>
      <c r="N41" s="163"/>
      <c r="O41" s="163"/>
      <c r="P41" s="163"/>
      <c r="Q41" s="131"/>
      <c r="R41" s="163"/>
      <c r="S41" s="163"/>
      <c r="T41" s="163"/>
      <c r="U41" s="163"/>
      <c r="V41" s="163"/>
      <c r="W41" s="163"/>
      <c r="X41" s="131"/>
      <c r="Y41" s="163"/>
      <c r="Z41" s="163"/>
      <c r="AA41" s="163"/>
      <c r="AB41" s="163"/>
      <c r="AC41" s="163"/>
      <c r="AD41" s="163"/>
      <c r="AE41" s="163"/>
      <c r="AF41" s="163"/>
      <c r="AG41" s="163"/>
      <c r="AH41" s="163"/>
      <c r="AI41" s="163"/>
      <c r="AJ41" s="163"/>
      <c r="AK41" s="163"/>
      <c r="AL41" s="163"/>
      <c r="AM41" s="163"/>
      <c r="AN41" s="163"/>
      <c r="AO41" s="163"/>
      <c r="AP41" s="163"/>
      <c r="AQ41" s="163"/>
      <c r="AR41" s="131"/>
      <c r="AS41" s="163"/>
      <c r="AT41" s="163"/>
      <c r="AU41" s="163"/>
      <c r="AV41" s="163"/>
      <c r="AW41" s="163"/>
      <c r="AX41" s="163"/>
      <c r="AY41" s="163"/>
      <c r="AZ41" s="163"/>
      <c r="BA41" s="163"/>
      <c r="BB41" s="163"/>
      <c r="BC41" s="163"/>
      <c r="BD41" s="163"/>
      <c r="BE41" s="163"/>
      <c r="BF41" s="163"/>
      <c r="BG41" s="163"/>
      <c r="BH41" s="163"/>
      <c r="BI41" s="163"/>
      <c r="BJ41" s="163"/>
      <c r="BK41" s="163"/>
      <c r="BL41" s="163"/>
      <c r="BM41" s="163"/>
      <c r="BN41" s="163"/>
      <c r="BO41" s="164"/>
      <c r="BP41" s="164"/>
      <c r="BQ41" s="164"/>
      <c r="BR41" s="164"/>
      <c r="BT41" s="163"/>
      <c r="BU41" s="163"/>
      <c r="BV41" s="163"/>
    </row>
    <row r="42" spans="1:74" s="117" customFormat="1">
      <c r="B42" s="131"/>
      <c r="C42" s="131"/>
      <c r="D42" s="163"/>
      <c r="E42" s="163"/>
      <c r="F42" s="163"/>
      <c r="G42" s="163"/>
      <c r="H42" s="163"/>
      <c r="I42" s="163"/>
      <c r="J42" s="131"/>
      <c r="K42" s="163"/>
      <c r="L42" s="163"/>
      <c r="M42" s="163"/>
      <c r="N42" s="163"/>
      <c r="O42" s="163"/>
      <c r="P42" s="163"/>
      <c r="Q42" s="131"/>
      <c r="R42" s="163"/>
      <c r="S42" s="163"/>
      <c r="T42" s="163"/>
      <c r="U42" s="163"/>
      <c r="V42" s="163"/>
      <c r="W42" s="163"/>
      <c r="X42" s="131"/>
      <c r="Y42" s="163"/>
      <c r="Z42" s="163"/>
      <c r="AA42" s="163"/>
      <c r="AB42" s="163"/>
      <c r="AC42" s="163"/>
      <c r="AD42" s="163"/>
      <c r="AE42" s="163"/>
      <c r="AF42" s="163"/>
      <c r="AG42" s="163"/>
      <c r="AH42" s="163"/>
      <c r="AI42" s="163"/>
      <c r="AJ42" s="163"/>
      <c r="AK42" s="163"/>
      <c r="AL42" s="163"/>
      <c r="AM42" s="163"/>
      <c r="AN42" s="163"/>
      <c r="AO42" s="163"/>
      <c r="AP42" s="163"/>
      <c r="AQ42" s="163"/>
      <c r="AR42" s="131"/>
      <c r="AS42" s="163"/>
      <c r="AT42" s="163"/>
      <c r="AU42" s="163"/>
      <c r="AV42" s="163"/>
      <c r="AW42" s="163"/>
      <c r="AX42" s="163"/>
      <c r="AY42" s="163"/>
      <c r="AZ42" s="163"/>
      <c r="BA42" s="163"/>
      <c r="BB42" s="163"/>
      <c r="BC42" s="163"/>
      <c r="BD42" s="163"/>
      <c r="BE42" s="163"/>
      <c r="BF42" s="163"/>
      <c r="BG42" s="163"/>
      <c r="BH42" s="163"/>
      <c r="BI42" s="163"/>
      <c r="BJ42" s="163"/>
      <c r="BK42" s="163"/>
      <c r="BL42" s="163"/>
      <c r="BM42" s="163"/>
      <c r="BN42" s="163"/>
      <c r="BO42" s="164"/>
      <c r="BP42" s="164"/>
      <c r="BQ42" s="164"/>
      <c r="BR42" s="164"/>
      <c r="BT42" s="163"/>
      <c r="BU42" s="163"/>
      <c r="BV42" s="163"/>
    </row>
    <row r="43" spans="1:74" s="117" customFormat="1">
      <c r="B43" s="131"/>
      <c r="C43" s="131"/>
      <c r="D43" s="163"/>
      <c r="E43" s="163"/>
      <c r="F43" s="163"/>
      <c r="G43" s="163"/>
      <c r="H43" s="163"/>
      <c r="I43" s="163"/>
      <c r="J43" s="131"/>
      <c r="K43" s="163"/>
      <c r="L43" s="163"/>
      <c r="M43" s="163"/>
      <c r="N43" s="163"/>
      <c r="O43" s="163"/>
      <c r="P43" s="163"/>
      <c r="Q43" s="131"/>
      <c r="R43" s="163"/>
      <c r="S43" s="163"/>
      <c r="T43" s="163"/>
      <c r="U43" s="163"/>
      <c r="V43" s="163"/>
      <c r="W43" s="163"/>
      <c r="X43" s="131"/>
      <c r="Y43" s="163"/>
      <c r="Z43" s="163"/>
      <c r="AA43" s="163"/>
      <c r="AB43" s="163"/>
      <c r="AC43" s="163"/>
      <c r="AD43" s="163"/>
      <c r="AE43" s="163"/>
      <c r="AF43" s="163"/>
      <c r="AG43" s="163"/>
      <c r="AH43" s="163"/>
      <c r="AI43" s="163"/>
      <c r="AJ43" s="163"/>
      <c r="AK43" s="163"/>
      <c r="AL43" s="163"/>
      <c r="AM43" s="163"/>
      <c r="AN43" s="163"/>
      <c r="AO43" s="163"/>
      <c r="AP43" s="163"/>
      <c r="AQ43" s="163"/>
      <c r="AR43" s="131"/>
      <c r="AS43" s="163"/>
      <c r="AT43" s="163"/>
      <c r="AU43" s="163"/>
      <c r="AV43" s="163"/>
      <c r="AW43" s="163"/>
      <c r="AX43" s="163"/>
      <c r="AY43" s="163"/>
      <c r="AZ43" s="163"/>
      <c r="BA43" s="163"/>
      <c r="BB43" s="163"/>
      <c r="BC43" s="163"/>
      <c r="BD43" s="163"/>
      <c r="BE43" s="163"/>
      <c r="BF43" s="163"/>
      <c r="BG43" s="163"/>
      <c r="BH43" s="163"/>
      <c r="BI43" s="163"/>
      <c r="BJ43" s="163"/>
      <c r="BK43" s="163"/>
      <c r="BL43" s="163"/>
      <c r="BM43" s="163"/>
      <c r="BN43" s="163"/>
      <c r="BO43" s="164"/>
      <c r="BP43" s="164"/>
      <c r="BQ43" s="164"/>
      <c r="BR43" s="164"/>
      <c r="BT43" s="163"/>
      <c r="BU43" s="163"/>
      <c r="BV43" s="163"/>
    </row>
    <row r="44" spans="1:74" s="117" customFormat="1">
      <c r="B44" s="131"/>
      <c r="C44" s="131"/>
      <c r="D44" s="163"/>
      <c r="E44" s="163"/>
      <c r="F44" s="163"/>
      <c r="G44" s="163"/>
      <c r="H44" s="163"/>
      <c r="I44" s="163"/>
      <c r="J44" s="131"/>
      <c r="K44" s="163"/>
      <c r="L44" s="163"/>
      <c r="M44" s="163"/>
      <c r="N44" s="163"/>
      <c r="O44" s="163"/>
      <c r="P44" s="163"/>
      <c r="Q44" s="131"/>
      <c r="R44" s="163"/>
      <c r="S44" s="163"/>
      <c r="T44" s="163"/>
      <c r="U44" s="163"/>
      <c r="V44" s="163"/>
      <c r="W44" s="163"/>
      <c r="X44" s="131"/>
      <c r="Y44" s="163"/>
      <c r="Z44" s="163"/>
      <c r="AA44" s="163"/>
      <c r="AB44" s="163"/>
      <c r="AC44" s="163"/>
      <c r="AD44" s="163"/>
      <c r="AE44" s="163"/>
      <c r="AF44" s="163"/>
      <c r="AG44" s="163"/>
      <c r="AH44" s="163"/>
      <c r="AI44" s="163"/>
      <c r="AJ44" s="163"/>
      <c r="AK44" s="163"/>
      <c r="AL44" s="163"/>
      <c r="AM44" s="163"/>
      <c r="AN44" s="163"/>
      <c r="AO44" s="163"/>
      <c r="AP44" s="163"/>
      <c r="AQ44" s="163"/>
      <c r="AR44" s="131"/>
      <c r="AS44" s="163"/>
      <c r="AT44" s="163"/>
      <c r="AU44" s="163"/>
      <c r="AV44" s="163"/>
      <c r="AW44" s="163"/>
      <c r="AX44" s="163"/>
      <c r="AY44" s="163"/>
      <c r="AZ44" s="163"/>
      <c r="BA44" s="163"/>
      <c r="BB44" s="163"/>
      <c r="BC44" s="163"/>
      <c r="BD44" s="163"/>
      <c r="BE44" s="163"/>
      <c r="BF44" s="163"/>
      <c r="BG44" s="163"/>
      <c r="BH44" s="163"/>
      <c r="BI44" s="163"/>
      <c r="BJ44" s="163"/>
      <c r="BK44" s="163"/>
      <c r="BL44" s="163"/>
      <c r="BM44" s="163"/>
      <c r="BN44" s="163"/>
      <c r="BO44" s="164"/>
      <c r="BP44" s="164"/>
      <c r="BQ44" s="164"/>
      <c r="BR44" s="164"/>
      <c r="BT44" s="163"/>
      <c r="BU44" s="163"/>
      <c r="BV44" s="163"/>
    </row>
    <row r="45" spans="1:74" s="117" customFormat="1">
      <c r="B45" s="131"/>
      <c r="C45" s="131"/>
      <c r="D45" s="163"/>
      <c r="E45" s="163"/>
      <c r="F45" s="163"/>
      <c r="G45" s="163"/>
      <c r="H45" s="163"/>
      <c r="I45" s="163"/>
      <c r="J45" s="131"/>
      <c r="K45" s="163"/>
      <c r="L45" s="163"/>
      <c r="M45" s="163"/>
      <c r="N45" s="163"/>
      <c r="O45" s="163"/>
      <c r="P45" s="163"/>
      <c r="Q45" s="131"/>
      <c r="R45" s="163"/>
      <c r="S45" s="163"/>
      <c r="T45" s="163"/>
      <c r="U45" s="163"/>
      <c r="V45" s="163"/>
      <c r="W45" s="163"/>
      <c r="X45" s="131"/>
      <c r="Y45" s="163"/>
      <c r="Z45" s="163"/>
      <c r="AA45" s="163"/>
      <c r="AB45" s="163"/>
      <c r="AC45" s="163"/>
      <c r="AD45" s="163"/>
      <c r="AE45" s="163"/>
      <c r="AF45" s="163"/>
      <c r="AG45" s="163"/>
      <c r="AH45" s="163"/>
      <c r="AI45" s="163"/>
      <c r="AJ45" s="163"/>
      <c r="AK45" s="163"/>
      <c r="AL45" s="163"/>
      <c r="AM45" s="163"/>
      <c r="AN45" s="163"/>
      <c r="AO45" s="163"/>
      <c r="AP45" s="163"/>
      <c r="AQ45" s="163"/>
      <c r="AR45" s="131"/>
      <c r="AS45" s="163"/>
      <c r="AT45" s="163"/>
      <c r="AU45" s="163"/>
      <c r="AV45" s="163"/>
      <c r="AW45" s="163"/>
      <c r="AX45" s="163"/>
      <c r="AY45" s="163"/>
      <c r="AZ45" s="163"/>
      <c r="BA45" s="163"/>
      <c r="BB45" s="163"/>
      <c r="BC45" s="163"/>
      <c r="BD45" s="163"/>
      <c r="BE45" s="163"/>
      <c r="BF45" s="163"/>
      <c r="BG45" s="163"/>
      <c r="BH45" s="163"/>
      <c r="BI45" s="163"/>
      <c r="BJ45" s="163"/>
      <c r="BK45" s="163"/>
      <c r="BL45" s="163"/>
      <c r="BM45" s="163"/>
      <c r="BN45" s="163"/>
      <c r="BO45" s="164"/>
      <c r="BP45" s="164"/>
      <c r="BQ45" s="164"/>
      <c r="BR45" s="164"/>
      <c r="BT45" s="163"/>
      <c r="BU45" s="163"/>
      <c r="BV45" s="163"/>
    </row>
    <row r="46" spans="1:74" s="117" customFormat="1">
      <c r="B46" s="131"/>
      <c r="C46" s="131"/>
      <c r="D46" s="132"/>
      <c r="E46" s="132"/>
      <c r="F46" s="132"/>
      <c r="G46" s="132"/>
      <c r="H46" s="132"/>
      <c r="I46" s="132"/>
      <c r="J46" s="131"/>
      <c r="K46" s="132"/>
      <c r="L46" s="132"/>
      <c r="M46" s="132"/>
      <c r="N46" s="132"/>
      <c r="O46" s="132"/>
      <c r="P46" s="132"/>
      <c r="Q46" s="131"/>
      <c r="R46" s="132"/>
      <c r="S46" s="132"/>
      <c r="T46" s="132"/>
      <c r="U46" s="132"/>
      <c r="V46" s="132"/>
      <c r="W46" s="132"/>
      <c r="X46" s="131"/>
      <c r="Y46" s="132"/>
      <c r="Z46" s="132"/>
      <c r="AA46" s="132"/>
      <c r="AB46" s="132"/>
      <c r="AC46" s="132"/>
      <c r="AD46" s="132"/>
      <c r="AE46" s="132"/>
      <c r="AF46" s="132"/>
      <c r="AG46" s="132"/>
      <c r="AH46" s="132"/>
      <c r="AI46" s="132"/>
      <c r="AJ46" s="132"/>
      <c r="AK46" s="132"/>
      <c r="AL46" s="132"/>
      <c r="AM46" s="132"/>
      <c r="AN46" s="132"/>
      <c r="AO46" s="132"/>
      <c r="AP46" s="132"/>
      <c r="AQ46" s="132"/>
      <c r="AR46" s="131"/>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65"/>
      <c r="BP46" s="165"/>
      <c r="BQ46" s="165"/>
      <c r="BR46" s="165"/>
      <c r="BT46" s="132"/>
      <c r="BU46" s="132"/>
      <c r="BV46" s="132"/>
    </row>
    <row r="47" spans="1:74" s="117" customFormat="1">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c r="BH47" s="166"/>
      <c r="BI47" s="166"/>
      <c r="BJ47" s="166"/>
      <c r="BK47" s="166"/>
      <c r="BL47" s="166"/>
      <c r="BM47" s="166"/>
      <c r="BN47" s="166"/>
      <c r="BO47" s="167"/>
      <c r="BP47" s="167"/>
      <c r="BQ47" s="167"/>
      <c r="BR47" s="167"/>
      <c r="BT47" s="166"/>
      <c r="BU47" s="166"/>
      <c r="BV47" s="166"/>
    </row>
    <row r="48" spans="1:74" s="117" customFormat="1">
      <c r="A48" s="95"/>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66"/>
      <c r="BN48" s="166"/>
      <c r="BO48" s="167"/>
      <c r="BP48" s="167"/>
      <c r="BQ48" s="167"/>
      <c r="BR48" s="167"/>
      <c r="BT48" s="166"/>
      <c r="BU48" s="166"/>
      <c r="BV48" s="166"/>
    </row>
    <row r="49" spans="1:75" s="117" customFormat="1">
      <c r="A49" s="95"/>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6"/>
      <c r="BG49" s="166"/>
      <c r="BH49" s="166"/>
      <c r="BI49" s="166"/>
      <c r="BJ49" s="166"/>
      <c r="BK49" s="166"/>
      <c r="BL49" s="166"/>
      <c r="BM49" s="166"/>
      <c r="BN49" s="166"/>
      <c r="BO49" s="167"/>
      <c r="BP49" s="167"/>
      <c r="BQ49" s="167"/>
      <c r="BR49" s="167"/>
      <c r="BT49" s="166"/>
      <c r="BU49" s="166"/>
      <c r="BV49" s="166"/>
    </row>
    <row r="50" spans="1:75" s="117" customFormat="1">
      <c r="A50" s="95"/>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6"/>
      <c r="BG50" s="166"/>
      <c r="BH50" s="166"/>
      <c r="BI50" s="166"/>
      <c r="BJ50" s="166"/>
      <c r="BK50" s="166"/>
      <c r="BL50" s="166"/>
      <c r="BM50" s="166"/>
      <c r="BN50" s="166"/>
      <c r="BO50" s="167"/>
      <c r="BP50" s="167"/>
      <c r="BQ50" s="167"/>
      <c r="BR50" s="167"/>
      <c r="BT50" s="166"/>
      <c r="BU50" s="166"/>
      <c r="BV50" s="166"/>
    </row>
    <row r="51" spans="1:75" s="117" customFormat="1">
      <c r="A51" s="95"/>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7"/>
      <c r="BP51" s="167"/>
      <c r="BQ51" s="167"/>
      <c r="BR51" s="167"/>
      <c r="BT51" s="166"/>
      <c r="BU51" s="166"/>
      <c r="BV51" s="166"/>
    </row>
    <row r="52" spans="1:75" s="168" customFormat="1"/>
    <row r="53" spans="1:75" s="168" customFormat="1">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1"/>
      <c r="BP53" s="171"/>
      <c r="BQ53" s="171"/>
      <c r="BR53" s="171"/>
      <c r="BT53" s="170"/>
      <c r="BU53" s="170"/>
      <c r="BV53" s="170"/>
    </row>
    <row r="54" spans="1:75" s="168" customFormat="1">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1"/>
      <c r="BP54" s="171"/>
      <c r="BQ54" s="171"/>
      <c r="BR54" s="171"/>
      <c r="BT54" s="170"/>
      <c r="BU54" s="170"/>
      <c r="BV54" s="170"/>
    </row>
    <row r="55" spans="1:75" s="168" customFormat="1">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1"/>
      <c r="BP55" s="171"/>
      <c r="BQ55" s="171"/>
      <c r="BR55" s="171"/>
      <c r="BT55" s="170"/>
      <c r="BU55" s="170"/>
      <c r="BV55" s="170"/>
    </row>
    <row r="56" spans="1:75" s="168" customFormat="1">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1"/>
      <c r="BP56" s="171"/>
      <c r="BQ56" s="171"/>
      <c r="BR56" s="171"/>
      <c r="BT56" s="170"/>
      <c r="BU56" s="170"/>
      <c r="BV56" s="170"/>
    </row>
    <row r="57" spans="1:75" s="168" customFormat="1">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1"/>
      <c r="BP57" s="171"/>
      <c r="BQ57" s="171"/>
      <c r="BR57" s="171"/>
      <c r="BT57" s="170"/>
      <c r="BU57" s="170"/>
      <c r="BV57" s="170"/>
    </row>
    <row r="58" spans="1:75" s="117" customFormat="1">
      <c r="A58" s="95"/>
      <c r="B58" s="116"/>
      <c r="C58" s="116"/>
      <c r="D58" s="172"/>
      <c r="E58" s="172"/>
      <c r="F58" s="172"/>
      <c r="G58" s="172"/>
      <c r="H58" s="172"/>
      <c r="I58" s="172"/>
      <c r="J58" s="116"/>
      <c r="K58" s="172"/>
      <c r="L58" s="172"/>
      <c r="M58" s="172"/>
      <c r="N58" s="172"/>
      <c r="O58" s="172"/>
      <c r="P58" s="172"/>
      <c r="Q58" s="116"/>
      <c r="R58" s="172"/>
      <c r="S58" s="172"/>
      <c r="T58" s="172"/>
      <c r="U58" s="172"/>
      <c r="V58" s="172"/>
      <c r="W58" s="172"/>
      <c r="X58" s="116"/>
      <c r="Y58" s="172"/>
      <c r="Z58" s="172"/>
      <c r="AA58" s="172"/>
      <c r="AB58" s="172"/>
      <c r="AC58" s="172"/>
      <c r="AD58" s="172"/>
      <c r="AE58" s="172"/>
      <c r="AF58" s="172"/>
      <c r="AG58" s="172"/>
      <c r="AH58" s="172"/>
      <c r="AI58" s="172"/>
      <c r="AJ58" s="172"/>
      <c r="AK58" s="172"/>
      <c r="AL58" s="172"/>
      <c r="AM58" s="172"/>
      <c r="AN58" s="172"/>
      <c r="AO58" s="172"/>
      <c r="AP58" s="172"/>
      <c r="AQ58" s="172"/>
      <c r="AR58" s="116"/>
      <c r="AS58" s="172"/>
      <c r="AT58" s="172"/>
      <c r="AU58" s="172"/>
      <c r="AV58" s="172"/>
      <c r="AW58" s="172"/>
      <c r="AX58" s="116"/>
      <c r="AY58" s="116"/>
      <c r="AZ58" s="116"/>
      <c r="BA58" s="116"/>
      <c r="BB58" s="116"/>
      <c r="BC58" s="116"/>
      <c r="BD58" s="116"/>
      <c r="BE58" s="116"/>
      <c r="BF58" s="116"/>
      <c r="BG58" s="116"/>
      <c r="BH58" s="116"/>
      <c r="BI58" s="116"/>
      <c r="BJ58" s="116"/>
      <c r="BK58" s="116"/>
      <c r="BL58" s="116"/>
      <c r="BM58" s="116"/>
      <c r="BN58" s="116"/>
      <c r="BO58" s="156"/>
      <c r="BP58" s="156"/>
      <c r="BQ58" s="156"/>
      <c r="BR58" s="156"/>
      <c r="BT58" s="116"/>
      <c r="BU58" s="116"/>
      <c r="BV58" s="116"/>
    </row>
    <row r="59" spans="1:75" s="117" customFormat="1">
      <c r="A59" s="95"/>
      <c r="B59" s="116"/>
      <c r="C59" s="116"/>
      <c r="D59" s="172"/>
      <c r="E59" s="172"/>
      <c r="F59" s="172"/>
      <c r="G59" s="172"/>
      <c r="H59" s="172"/>
      <c r="I59" s="172"/>
      <c r="J59" s="116"/>
      <c r="K59" s="172"/>
      <c r="L59" s="172"/>
      <c r="M59" s="172"/>
      <c r="N59" s="172"/>
      <c r="O59" s="172"/>
      <c r="P59" s="172"/>
      <c r="Q59" s="116"/>
      <c r="R59" s="172"/>
      <c r="S59" s="172"/>
      <c r="T59" s="172"/>
      <c r="U59" s="172"/>
      <c r="V59" s="172"/>
      <c r="W59" s="172"/>
      <c r="X59" s="116"/>
      <c r="Y59" s="172"/>
      <c r="Z59" s="172"/>
      <c r="AA59" s="172"/>
      <c r="AB59" s="172"/>
      <c r="AC59" s="172"/>
      <c r="AD59" s="172"/>
      <c r="AE59" s="172"/>
      <c r="AF59" s="172"/>
      <c r="AG59" s="172"/>
      <c r="AH59" s="172"/>
      <c r="AI59" s="172"/>
      <c r="AJ59" s="172"/>
      <c r="AK59" s="172"/>
      <c r="AL59" s="172"/>
      <c r="AM59" s="172"/>
      <c r="AN59" s="172"/>
      <c r="AO59" s="172"/>
      <c r="AP59" s="172"/>
      <c r="AQ59" s="172"/>
      <c r="AR59" s="116"/>
      <c r="AS59" s="172"/>
      <c r="AT59" s="172"/>
      <c r="AU59" s="172"/>
      <c r="AV59" s="172"/>
      <c r="AW59" s="172"/>
      <c r="AX59" s="116"/>
      <c r="AY59" s="116"/>
      <c r="AZ59" s="116"/>
      <c r="BA59" s="116"/>
      <c r="BB59" s="116"/>
      <c r="BC59" s="116"/>
      <c r="BD59" s="116"/>
      <c r="BE59" s="116"/>
      <c r="BF59" s="116"/>
      <c r="BG59" s="116"/>
      <c r="BH59" s="116"/>
      <c r="BI59" s="116"/>
      <c r="BJ59" s="116"/>
      <c r="BK59" s="116"/>
      <c r="BL59" s="116"/>
      <c r="BM59" s="116"/>
      <c r="BN59" s="116"/>
      <c r="BO59" s="156"/>
      <c r="BP59" s="156"/>
      <c r="BQ59" s="156"/>
      <c r="BR59" s="156"/>
      <c r="BT59" s="116"/>
      <c r="BU59" s="116"/>
      <c r="BV59" s="116"/>
    </row>
    <row r="60" spans="1:75" s="117" customFormat="1">
      <c r="B60" s="173"/>
      <c r="C60" s="173"/>
      <c r="D60" s="95"/>
      <c r="E60" s="95"/>
      <c r="F60" s="95"/>
      <c r="G60" s="95"/>
      <c r="H60" s="95"/>
      <c r="I60" s="95"/>
      <c r="J60" s="173"/>
      <c r="K60" s="95"/>
      <c r="L60" s="95"/>
      <c r="M60" s="95"/>
      <c r="N60" s="95"/>
      <c r="O60" s="95"/>
      <c r="P60" s="95"/>
      <c r="Q60" s="173"/>
      <c r="R60" s="95"/>
      <c r="S60" s="95"/>
      <c r="T60" s="95"/>
      <c r="U60" s="95"/>
      <c r="V60" s="95"/>
      <c r="W60" s="95"/>
      <c r="X60" s="173"/>
      <c r="Y60" s="95"/>
      <c r="Z60" s="95"/>
      <c r="AA60" s="95"/>
      <c r="AB60" s="95"/>
      <c r="AC60" s="95"/>
      <c r="AD60" s="95"/>
      <c r="AE60" s="95"/>
      <c r="AF60" s="95"/>
      <c r="AG60" s="95"/>
      <c r="AH60" s="95"/>
      <c r="AI60" s="95"/>
      <c r="AJ60" s="95"/>
      <c r="AK60" s="95"/>
      <c r="AL60" s="95"/>
      <c r="AM60" s="95"/>
      <c r="AN60" s="95"/>
      <c r="AO60" s="95"/>
      <c r="AP60" s="95"/>
      <c r="AQ60" s="95"/>
      <c r="AR60" s="173"/>
      <c r="AS60" s="95"/>
      <c r="AT60" s="95"/>
      <c r="AU60" s="95"/>
      <c r="AV60" s="95"/>
      <c r="AW60" s="95"/>
      <c r="AX60" s="95"/>
      <c r="AY60" s="95"/>
      <c r="AZ60" s="95"/>
      <c r="BA60" s="95"/>
      <c r="BB60" s="95"/>
      <c r="BC60" s="95"/>
      <c r="BD60" s="95"/>
      <c r="BE60" s="95"/>
      <c r="BF60" s="95"/>
      <c r="BG60" s="95"/>
      <c r="BH60" s="95"/>
      <c r="BI60" s="95"/>
      <c r="BJ60" s="95"/>
      <c r="BK60" s="95"/>
      <c r="BL60" s="95"/>
      <c r="BM60" s="95"/>
      <c r="BN60" s="95"/>
      <c r="BO60" s="175"/>
      <c r="BP60" s="175"/>
      <c r="BQ60" s="175"/>
      <c r="BR60" s="175"/>
      <c r="BS60" s="176"/>
      <c r="BT60" s="95"/>
      <c r="BU60" s="95"/>
      <c r="BV60" s="95"/>
      <c r="BW60" s="176"/>
    </row>
    <row r="61" spans="1:75" s="117" customFormat="1">
      <c r="B61" s="95"/>
      <c r="C61" s="95"/>
      <c r="D61" s="177"/>
      <c r="E61" s="177"/>
      <c r="F61" s="177"/>
      <c r="G61" s="177"/>
      <c r="H61" s="177"/>
      <c r="I61" s="177"/>
      <c r="J61" s="95"/>
      <c r="K61" s="177"/>
      <c r="L61" s="177"/>
      <c r="M61" s="177"/>
      <c r="N61" s="177"/>
      <c r="O61" s="177"/>
      <c r="P61" s="177"/>
      <c r="Q61" s="95"/>
      <c r="R61" s="177"/>
      <c r="S61" s="177"/>
      <c r="T61" s="177"/>
      <c r="U61" s="177"/>
      <c r="V61" s="177"/>
      <c r="W61" s="177"/>
      <c r="X61" s="95"/>
      <c r="Y61" s="177"/>
      <c r="Z61" s="177"/>
      <c r="AA61" s="177"/>
      <c r="AB61" s="177"/>
      <c r="AC61" s="177"/>
      <c r="AD61" s="177"/>
      <c r="AE61" s="177"/>
      <c r="AF61" s="177"/>
      <c r="AG61" s="177"/>
      <c r="AH61" s="177"/>
      <c r="AI61" s="177"/>
      <c r="AJ61" s="177"/>
      <c r="AK61" s="177"/>
      <c r="AL61" s="177"/>
      <c r="AM61" s="177"/>
      <c r="AN61" s="177"/>
      <c r="AO61" s="177"/>
      <c r="AP61" s="177"/>
      <c r="AQ61" s="177"/>
      <c r="AR61" s="95"/>
      <c r="AS61" s="177"/>
      <c r="AT61" s="177"/>
      <c r="AU61" s="177"/>
      <c r="AV61" s="177"/>
      <c r="AW61" s="177"/>
      <c r="AX61" s="177"/>
      <c r="AY61" s="177"/>
      <c r="AZ61" s="177"/>
      <c r="BA61" s="177"/>
      <c r="BB61" s="177"/>
      <c r="BC61" s="177"/>
      <c r="BD61" s="177"/>
      <c r="BE61" s="177"/>
      <c r="BF61" s="177"/>
      <c r="BG61" s="177"/>
      <c r="BH61" s="177"/>
      <c r="BI61" s="177"/>
      <c r="BJ61" s="177"/>
      <c r="BK61" s="177"/>
      <c r="BL61" s="177"/>
      <c r="BM61" s="177"/>
      <c r="BN61" s="177"/>
      <c r="BO61" s="178"/>
      <c r="BP61" s="178"/>
      <c r="BQ61" s="178"/>
      <c r="BR61" s="178"/>
      <c r="BS61" s="176"/>
      <c r="BT61" s="177"/>
      <c r="BU61" s="177"/>
      <c r="BV61" s="177"/>
      <c r="BW61" s="176"/>
    </row>
    <row r="62" spans="1:75" s="117" customFormat="1">
      <c r="B62" s="95"/>
      <c r="C62" s="95"/>
      <c r="D62" s="95"/>
      <c r="E62" s="95"/>
      <c r="F62" s="95"/>
      <c r="G62" s="95"/>
      <c r="J62" s="95"/>
      <c r="K62" s="95"/>
      <c r="L62" s="95"/>
      <c r="M62" s="95"/>
      <c r="N62" s="95"/>
      <c r="Q62" s="95"/>
      <c r="R62" s="95"/>
      <c r="S62" s="95"/>
      <c r="T62" s="95"/>
      <c r="U62" s="95"/>
      <c r="X62" s="95"/>
      <c r="Y62" s="95"/>
      <c r="Z62" s="95"/>
      <c r="AA62" s="95"/>
      <c r="AB62" s="95"/>
      <c r="AR62" s="95"/>
      <c r="AS62" s="95"/>
      <c r="AT62" s="95"/>
      <c r="AU62" s="95"/>
      <c r="AV62" s="95"/>
      <c r="AX62" s="95"/>
      <c r="AY62" s="95"/>
      <c r="AZ62" s="95"/>
      <c r="BA62" s="95"/>
      <c r="BB62" s="95"/>
      <c r="BC62" s="95"/>
      <c r="BD62" s="95"/>
      <c r="BE62" s="95"/>
      <c r="BF62" s="95"/>
      <c r="BG62" s="95"/>
      <c r="BH62" s="95"/>
      <c r="BI62" s="95"/>
      <c r="BJ62" s="95"/>
      <c r="BK62" s="95"/>
      <c r="BL62" s="95"/>
      <c r="BM62" s="95"/>
      <c r="BN62" s="95"/>
      <c r="BO62" s="162"/>
      <c r="BP62" s="162"/>
      <c r="BQ62" s="162"/>
      <c r="BR62" s="162"/>
      <c r="BS62" s="176"/>
      <c r="BT62" s="95"/>
      <c r="BU62" s="95"/>
      <c r="BV62" s="95"/>
      <c r="BW62" s="176"/>
    </row>
    <row r="63" spans="1:75" s="117" customFormat="1">
      <c r="B63" s="179"/>
      <c r="C63" s="179"/>
      <c r="D63" s="163"/>
      <c r="E63" s="163"/>
      <c r="F63" s="163"/>
      <c r="G63" s="163"/>
      <c r="H63" s="163"/>
      <c r="I63" s="163"/>
      <c r="J63" s="179"/>
      <c r="K63" s="163"/>
      <c r="L63" s="163"/>
      <c r="M63" s="163"/>
      <c r="N63" s="163"/>
      <c r="O63" s="163"/>
      <c r="P63" s="163"/>
      <c r="Q63" s="179"/>
      <c r="R63" s="163"/>
      <c r="S63" s="163"/>
      <c r="T63" s="163"/>
      <c r="U63" s="163"/>
      <c r="V63" s="163"/>
      <c r="W63" s="163"/>
      <c r="X63" s="179"/>
      <c r="Y63" s="163"/>
      <c r="Z63" s="163"/>
      <c r="AA63" s="163"/>
      <c r="AB63" s="163"/>
      <c r="AC63" s="163"/>
      <c r="AD63" s="163"/>
      <c r="AE63" s="163"/>
      <c r="AF63" s="163"/>
      <c r="AG63" s="163"/>
      <c r="AH63" s="163"/>
      <c r="AI63" s="163"/>
      <c r="AJ63" s="163"/>
      <c r="AK63" s="163"/>
      <c r="AL63" s="163"/>
      <c r="AM63" s="163"/>
      <c r="AN63" s="163"/>
      <c r="AO63" s="163"/>
      <c r="AP63" s="163"/>
      <c r="AQ63" s="163"/>
      <c r="AR63" s="179"/>
      <c r="AS63" s="163"/>
      <c r="AT63" s="163"/>
      <c r="AU63" s="163"/>
      <c r="AV63" s="163"/>
      <c r="AW63" s="163"/>
      <c r="AX63" s="163"/>
      <c r="AY63" s="163"/>
      <c r="AZ63" s="163"/>
      <c r="BA63" s="163"/>
      <c r="BB63" s="163"/>
      <c r="BC63" s="163"/>
      <c r="BD63" s="163"/>
      <c r="BE63" s="163"/>
      <c r="BF63" s="163"/>
      <c r="BG63" s="163"/>
      <c r="BH63" s="163"/>
      <c r="BI63" s="163"/>
      <c r="BJ63" s="163"/>
      <c r="BK63" s="163"/>
      <c r="BL63" s="163"/>
      <c r="BM63" s="163"/>
      <c r="BN63" s="163"/>
      <c r="BO63" s="164"/>
      <c r="BP63" s="164"/>
      <c r="BQ63" s="164"/>
      <c r="BR63" s="164"/>
      <c r="BS63" s="176"/>
      <c r="BT63" s="163"/>
      <c r="BU63" s="163"/>
      <c r="BV63" s="163"/>
      <c r="BW63" s="176"/>
    </row>
    <row r="64" spans="1:75" s="117" customFormat="1">
      <c r="B64" s="179"/>
      <c r="C64" s="179"/>
      <c r="D64" s="163"/>
      <c r="E64" s="163"/>
      <c r="F64" s="163"/>
      <c r="G64" s="163"/>
      <c r="H64" s="163"/>
      <c r="I64" s="163"/>
      <c r="J64" s="179"/>
      <c r="K64" s="163"/>
      <c r="L64" s="163"/>
      <c r="M64" s="163"/>
      <c r="N64" s="163"/>
      <c r="O64" s="163"/>
      <c r="P64" s="163"/>
      <c r="Q64" s="179"/>
      <c r="R64" s="163"/>
      <c r="S64" s="163"/>
      <c r="T64" s="163"/>
      <c r="U64" s="163"/>
      <c r="V64" s="163"/>
      <c r="W64" s="163"/>
      <c r="X64" s="179"/>
      <c r="Y64" s="163"/>
      <c r="Z64" s="163"/>
      <c r="AA64" s="163"/>
      <c r="AB64" s="163"/>
      <c r="AC64" s="163"/>
      <c r="AD64" s="163"/>
      <c r="AE64" s="163"/>
      <c r="AF64" s="163"/>
      <c r="AG64" s="163"/>
      <c r="AH64" s="163"/>
      <c r="AI64" s="163"/>
      <c r="AJ64" s="163"/>
      <c r="AK64" s="163"/>
      <c r="AL64" s="163"/>
      <c r="AM64" s="163"/>
      <c r="AN64" s="163"/>
      <c r="AO64" s="163"/>
      <c r="AP64" s="163"/>
      <c r="AQ64" s="163"/>
      <c r="AR64" s="179"/>
      <c r="AS64" s="163"/>
      <c r="AT64" s="163"/>
      <c r="AU64" s="163"/>
      <c r="AV64" s="163"/>
      <c r="AW64" s="163"/>
      <c r="AX64" s="163"/>
      <c r="AY64" s="163"/>
      <c r="AZ64" s="163"/>
      <c r="BA64" s="163"/>
      <c r="BB64" s="163"/>
      <c r="BC64" s="163"/>
      <c r="BD64" s="163"/>
      <c r="BE64" s="163"/>
      <c r="BF64" s="163"/>
      <c r="BG64" s="163"/>
      <c r="BH64" s="163"/>
      <c r="BI64" s="163"/>
      <c r="BJ64" s="163"/>
      <c r="BK64" s="163"/>
      <c r="BL64" s="163"/>
      <c r="BM64" s="163"/>
      <c r="BN64" s="163"/>
      <c r="BO64" s="164"/>
      <c r="BP64" s="164"/>
      <c r="BQ64" s="164"/>
      <c r="BR64" s="164"/>
      <c r="BS64" s="176"/>
      <c r="BT64" s="163"/>
      <c r="BU64" s="163"/>
      <c r="BV64" s="163"/>
      <c r="BW64" s="176"/>
    </row>
    <row r="65" spans="2:75" s="117" customFormat="1">
      <c r="B65" s="179"/>
      <c r="C65" s="179"/>
      <c r="D65" s="163"/>
      <c r="E65" s="163"/>
      <c r="F65" s="163"/>
      <c r="G65" s="163"/>
      <c r="H65" s="163"/>
      <c r="I65" s="163"/>
      <c r="J65" s="179"/>
      <c r="K65" s="163"/>
      <c r="L65" s="163"/>
      <c r="M65" s="163"/>
      <c r="N65" s="163"/>
      <c r="O65" s="163"/>
      <c r="P65" s="163"/>
      <c r="Q65" s="179"/>
      <c r="R65" s="163"/>
      <c r="S65" s="163"/>
      <c r="T65" s="163"/>
      <c r="U65" s="163"/>
      <c r="V65" s="163"/>
      <c r="W65" s="163"/>
      <c r="X65" s="179"/>
      <c r="Y65" s="163"/>
      <c r="Z65" s="163"/>
      <c r="AA65" s="163"/>
      <c r="AB65" s="163"/>
      <c r="AC65" s="163"/>
      <c r="AD65" s="163"/>
      <c r="AE65" s="163"/>
      <c r="AF65" s="163"/>
      <c r="AG65" s="163"/>
      <c r="AH65" s="163"/>
      <c r="AI65" s="163"/>
      <c r="AJ65" s="163"/>
      <c r="AK65" s="163"/>
      <c r="AL65" s="163"/>
      <c r="AM65" s="163"/>
      <c r="AN65" s="163"/>
      <c r="AO65" s="163"/>
      <c r="AP65" s="163"/>
      <c r="AQ65" s="163"/>
      <c r="AR65" s="179"/>
      <c r="AS65" s="163"/>
      <c r="AT65" s="163"/>
      <c r="AU65" s="163"/>
      <c r="AV65" s="163"/>
      <c r="AW65" s="163"/>
      <c r="AX65" s="163"/>
      <c r="AY65" s="163"/>
      <c r="AZ65" s="163"/>
      <c r="BA65" s="163"/>
      <c r="BB65" s="163"/>
      <c r="BC65" s="163"/>
      <c r="BD65" s="163"/>
      <c r="BE65" s="163"/>
      <c r="BF65" s="163"/>
      <c r="BG65" s="163"/>
      <c r="BH65" s="163"/>
      <c r="BI65" s="163"/>
      <c r="BJ65" s="163"/>
      <c r="BK65" s="163"/>
      <c r="BL65" s="163"/>
      <c r="BM65" s="163"/>
      <c r="BN65" s="163"/>
      <c r="BO65" s="164"/>
      <c r="BP65" s="164"/>
      <c r="BQ65" s="164"/>
      <c r="BR65" s="164"/>
      <c r="BS65" s="176"/>
      <c r="BT65" s="163"/>
      <c r="BU65" s="163"/>
      <c r="BV65" s="163"/>
      <c r="BW65" s="176"/>
    </row>
    <row r="66" spans="2:75" s="117" customFormat="1">
      <c r="B66" s="179"/>
      <c r="C66" s="179"/>
      <c r="D66" s="163"/>
      <c r="E66" s="163"/>
      <c r="F66" s="163"/>
      <c r="G66" s="163"/>
      <c r="H66" s="163"/>
      <c r="I66" s="163"/>
      <c r="J66" s="179"/>
      <c r="K66" s="163"/>
      <c r="L66" s="163"/>
      <c r="M66" s="163"/>
      <c r="N66" s="163"/>
      <c r="O66" s="163"/>
      <c r="P66" s="163"/>
      <c r="Q66" s="179"/>
      <c r="R66" s="163"/>
      <c r="S66" s="163"/>
      <c r="T66" s="163"/>
      <c r="U66" s="163"/>
      <c r="V66" s="163"/>
      <c r="W66" s="163"/>
      <c r="X66" s="179"/>
      <c r="Y66" s="163"/>
      <c r="Z66" s="163"/>
      <c r="AA66" s="163"/>
      <c r="AB66" s="163"/>
      <c r="AC66" s="163"/>
      <c r="AD66" s="163"/>
      <c r="AE66" s="163"/>
      <c r="AF66" s="163"/>
      <c r="AG66" s="163"/>
      <c r="AH66" s="163"/>
      <c r="AI66" s="163"/>
      <c r="AJ66" s="163"/>
      <c r="AK66" s="163"/>
      <c r="AL66" s="163"/>
      <c r="AM66" s="163"/>
      <c r="AN66" s="163"/>
      <c r="AO66" s="163"/>
      <c r="AP66" s="163"/>
      <c r="AQ66" s="163"/>
      <c r="AR66" s="179"/>
      <c r="AS66" s="163"/>
      <c r="AT66" s="163"/>
      <c r="AU66" s="163"/>
      <c r="AV66" s="163"/>
      <c r="AW66" s="163"/>
      <c r="AX66" s="163"/>
      <c r="AY66" s="163"/>
      <c r="AZ66" s="163"/>
      <c r="BA66" s="163"/>
      <c r="BB66" s="163"/>
      <c r="BC66" s="163"/>
      <c r="BD66" s="163"/>
      <c r="BE66" s="163"/>
      <c r="BF66" s="163"/>
      <c r="BG66" s="163"/>
      <c r="BH66" s="163"/>
      <c r="BI66" s="163"/>
      <c r="BJ66" s="163"/>
      <c r="BK66" s="163"/>
      <c r="BL66" s="163"/>
      <c r="BM66" s="163"/>
      <c r="BN66" s="163"/>
      <c r="BO66" s="164"/>
      <c r="BP66" s="164"/>
      <c r="BQ66" s="164"/>
      <c r="BR66" s="164"/>
      <c r="BS66" s="176"/>
      <c r="BT66" s="163"/>
      <c r="BU66" s="163"/>
      <c r="BV66" s="163"/>
      <c r="BW66" s="176"/>
    </row>
    <row r="67" spans="2:75" s="117" customFormat="1">
      <c r="B67" s="179"/>
      <c r="C67" s="179"/>
      <c r="D67" s="163"/>
      <c r="E67" s="163"/>
      <c r="F67" s="163"/>
      <c r="G67" s="163"/>
      <c r="H67" s="163"/>
      <c r="I67" s="163"/>
      <c r="J67" s="179"/>
      <c r="K67" s="163"/>
      <c r="L67" s="163"/>
      <c r="M67" s="163"/>
      <c r="N67" s="163"/>
      <c r="O67" s="163"/>
      <c r="P67" s="163"/>
      <c r="Q67" s="179"/>
      <c r="R67" s="163"/>
      <c r="S67" s="163"/>
      <c r="T67" s="163"/>
      <c r="U67" s="163"/>
      <c r="V67" s="163"/>
      <c r="W67" s="163"/>
      <c r="X67" s="179"/>
      <c r="Y67" s="163"/>
      <c r="Z67" s="163"/>
      <c r="AA67" s="163"/>
      <c r="AB67" s="163"/>
      <c r="AC67" s="163"/>
      <c r="AD67" s="163"/>
      <c r="AE67" s="163"/>
      <c r="AF67" s="163"/>
      <c r="AG67" s="163"/>
      <c r="AH67" s="163"/>
      <c r="AI67" s="163"/>
      <c r="AJ67" s="163"/>
      <c r="AK67" s="163"/>
      <c r="AL67" s="163"/>
      <c r="AM67" s="163"/>
      <c r="AN67" s="163"/>
      <c r="AO67" s="163"/>
      <c r="AP67" s="163"/>
      <c r="AQ67" s="163"/>
      <c r="AR67" s="179"/>
      <c r="AS67" s="163"/>
      <c r="AT67" s="163"/>
      <c r="AU67" s="163"/>
      <c r="AV67" s="163"/>
      <c r="AW67" s="163"/>
      <c r="AX67" s="163"/>
      <c r="AY67" s="163"/>
      <c r="AZ67" s="163"/>
      <c r="BA67" s="163"/>
      <c r="BB67" s="163"/>
      <c r="BC67" s="163"/>
      <c r="BD67" s="163"/>
      <c r="BE67" s="163"/>
      <c r="BF67" s="163"/>
      <c r="BG67" s="163"/>
      <c r="BH67" s="163"/>
      <c r="BI67" s="163"/>
      <c r="BJ67" s="163"/>
      <c r="BK67" s="163"/>
      <c r="BL67" s="163"/>
      <c r="BM67" s="163"/>
      <c r="BN67" s="163"/>
      <c r="BO67" s="164"/>
      <c r="BP67" s="164"/>
      <c r="BQ67" s="164"/>
      <c r="BR67" s="164"/>
      <c r="BS67" s="176"/>
      <c r="BT67" s="163"/>
      <c r="BU67" s="163"/>
      <c r="BV67" s="163"/>
      <c r="BW67" s="176"/>
    </row>
    <row r="68" spans="2:75" s="117" customFormat="1">
      <c r="B68" s="179"/>
      <c r="C68" s="179"/>
      <c r="D68" s="163"/>
      <c r="E68" s="163"/>
      <c r="F68" s="163"/>
      <c r="G68" s="163"/>
      <c r="H68" s="163"/>
      <c r="I68" s="163"/>
      <c r="J68" s="179"/>
      <c r="K68" s="163"/>
      <c r="L68" s="163"/>
      <c r="M68" s="163"/>
      <c r="N68" s="163"/>
      <c r="O68" s="163"/>
      <c r="P68" s="163"/>
      <c r="Q68" s="179"/>
      <c r="R68" s="163"/>
      <c r="S68" s="163"/>
      <c r="T68" s="163"/>
      <c r="U68" s="163"/>
      <c r="V68" s="163"/>
      <c r="W68" s="163"/>
      <c r="X68" s="179"/>
      <c r="Y68" s="163"/>
      <c r="Z68" s="163"/>
      <c r="AA68" s="163"/>
      <c r="AB68" s="163"/>
      <c r="AC68" s="163"/>
      <c r="AD68" s="163"/>
      <c r="AE68" s="163"/>
      <c r="AF68" s="163"/>
      <c r="AG68" s="163"/>
      <c r="AH68" s="163"/>
      <c r="AI68" s="163"/>
      <c r="AJ68" s="163"/>
      <c r="AK68" s="163"/>
      <c r="AL68" s="163"/>
      <c r="AM68" s="163"/>
      <c r="AN68" s="163"/>
      <c r="AO68" s="163"/>
      <c r="AP68" s="163"/>
      <c r="AQ68" s="163"/>
      <c r="AR68" s="179"/>
      <c r="AS68" s="163"/>
      <c r="AT68" s="163"/>
      <c r="AU68" s="163"/>
      <c r="AV68" s="163"/>
      <c r="AW68" s="163"/>
      <c r="AX68" s="163"/>
      <c r="AY68" s="163"/>
      <c r="AZ68" s="163"/>
      <c r="BA68" s="163"/>
      <c r="BB68" s="163"/>
      <c r="BC68" s="163"/>
      <c r="BD68" s="163"/>
      <c r="BE68" s="163"/>
      <c r="BF68" s="163"/>
      <c r="BG68" s="163"/>
      <c r="BH68" s="163"/>
      <c r="BI68" s="163"/>
      <c r="BJ68" s="163"/>
      <c r="BK68" s="163"/>
      <c r="BL68" s="163"/>
      <c r="BM68" s="163"/>
      <c r="BN68" s="163"/>
      <c r="BO68" s="164"/>
      <c r="BP68" s="164"/>
      <c r="BQ68" s="164"/>
      <c r="BR68" s="164"/>
      <c r="BS68" s="176"/>
      <c r="BT68" s="163"/>
      <c r="BU68" s="163"/>
      <c r="BV68" s="163"/>
      <c r="BW68" s="176"/>
    </row>
    <row r="69" spans="2:75" s="117" customFormat="1">
      <c r="B69" s="179"/>
      <c r="C69" s="179"/>
      <c r="D69" s="163"/>
      <c r="E69" s="163"/>
      <c r="F69" s="163"/>
      <c r="G69" s="163"/>
      <c r="H69" s="163"/>
      <c r="I69" s="163"/>
      <c r="J69" s="179"/>
      <c r="K69" s="163"/>
      <c r="L69" s="163"/>
      <c r="M69" s="163"/>
      <c r="N69" s="163"/>
      <c r="O69" s="163"/>
      <c r="P69" s="163"/>
      <c r="Q69" s="179"/>
      <c r="R69" s="163"/>
      <c r="S69" s="163"/>
      <c r="T69" s="163"/>
      <c r="U69" s="163"/>
      <c r="V69" s="163"/>
      <c r="W69" s="163"/>
      <c r="X69" s="179"/>
      <c r="Y69" s="163"/>
      <c r="Z69" s="163"/>
      <c r="AA69" s="163"/>
      <c r="AB69" s="163"/>
      <c r="AC69" s="163"/>
      <c r="AD69" s="163"/>
      <c r="AE69" s="163"/>
      <c r="AF69" s="163"/>
      <c r="AG69" s="163"/>
      <c r="AH69" s="163"/>
      <c r="AI69" s="163"/>
      <c r="AJ69" s="163"/>
      <c r="AK69" s="163"/>
      <c r="AL69" s="163"/>
      <c r="AM69" s="163"/>
      <c r="AN69" s="163"/>
      <c r="AO69" s="163"/>
      <c r="AP69" s="163"/>
      <c r="AQ69" s="163"/>
      <c r="AR69" s="179"/>
      <c r="AS69" s="163"/>
      <c r="AT69" s="163"/>
      <c r="AU69" s="163"/>
      <c r="AV69" s="163"/>
      <c r="AW69" s="163"/>
      <c r="AX69" s="163"/>
      <c r="AY69" s="163"/>
      <c r="AZ69" s="163"/>
      <c r="BA69" s="163"/>
      <c r="BB69" s="163"/>
      <c r="BC69" s="163"/>
      <c r="BD69" s="163"/>
      <c r="BE69" s="163"/>
      <c r="BF69" s="163"/>
      <c r="BG69" s="163"/>
      <c r="BH69" s="163"/>
      <c r="BI69" s="163"/>
      <c r="BJ69" s="163"/>
      <c r="BK69" s="163"/>
      <c r="BL69" s="163"/>
      <c r="BM69" s="163"/>
      <c r="BN69" s="163"/>
      <c r="BO69" s="164"/>
      <c r="BP69" s="164"/>
      <c r="BQ69" s="164"/>
      <c r="BR69" s="164"/>
      <c r="BS69" s="176"/>
      <c r="BT69" s="163"/>
      <c r="BU69" s="163"/>
      <c r="BV69" s="163"/>
      <c r="BW69" s="176"/>
    </row>
    <row r="70" spans="2:75" s="117" customFormat="1">
      <c r="B70" s="179"/>
      <c r="C70" s="179"/>
      <c r="D70" s="163"/>
      <c r="E70" s="163"/>
      <c r="F70" s="163"/>
      <c r="G70" s="163"/>
      <c r="H70" s="163"/>
      <c r="I70" s="163"/>
      <c r="J70" s="179"/>
      <c r="K70" s="163"/>
      <c r="L70" s="163"/>
      <c r="M70" s="163"/>
      <c r="N70" s="163"/>
      <c r="O70" s="163"/>
      <c r="P70" s="163"/>
      <c r="Q70" s="179"/>
      <c r="R70" s="163"/>
      <c r="S70" s="163"/>
      <c r="T70" s="163"/>
      <c r="U70" s="163"/>
      <c r="V70" s="163"/>
      <c r="W70" s="163"/>
      <c r="X70" s="179"/>
      <c r="Y70" s="163"/>
      <c r="Z70" s="163"/>
      <c r="AA70" s="163"/>
      <c r="AB70" s="163"/>
      <c r="AC70" s="163"/>
      <c r="AD70" s="163"/>
      <c r="AE70" s="163"/>
      <c r="AF70" s="163"/>
      <c r="AG70" s="163"/>
      <c r="AH70" s="163"/>
      <c r="AI70" s="163"/>
      <c r="AJ70" s="163"/>
      <c r="AK70" s="163"/>
      <c r="AL70" s="163"/>
      <c r="AM70" s="163"/>
      <c r="AN70" s="163"/>
      <c r="AO70" s="163"/>
      <c r="AP70" s="163"/>
      <c r="AQ70" s="163"/>
      <c r="AR70" s="179"/>
      <c r="AS70" s="163"/>
      <c r="AT70" s="163"/>
      <c r="AU70" s="163"/>
      <c r="AV70" s="163"/>
      <c r="AW70" s="163"/>
      <c r="AX70" s="163"/>
      <c r="AY70" s="163"/>
      <c r="AZ70" s="163"/>
      <c r="BA70" s="163"/>
      <c r="BB70" s="163"/>
      <c r="BC70" s="163"/>
      <c r="BD70" s="163"/>
      <c r="BE70" s="163"/>
      <c r="BF70" s="163"/>
      <c r="BG70" s="163"/>
      <c r="BH70" s="163"/>
      <c r="BI70" s="163"/>
      <c r="BJ70" s="163"/>
      <c r="BK70" s="163"/>
      <c r="BL70" s="163"/>
      <c r="BM70" s="163"/>
      <c r="BN70" s="163"/>
      <c r="BO70" s="164"/>
      <c r="BP70" s="164"/>
      <c r="BQ70" s="164"/>
      <c r="BR70" s="164"/>
      <c r="BS70" s="176"/>
      <c r="BT70" s="163"/>
      <c r="BU70" s="163"/>
      <c r="BV70" s="163"/>
      <c r="BW70" s="176"/>
    </row>
    <row r="71" spans="2:75" s="117" customFormat="1">
      <c r="B71" s="179"/>
      <c r="C71" s="179"/>
      <c r="D71" s="163"/>
      <c r="E71" s="163"/>
      <c r="F71" s="163"/>
      <c r="G71" s="163"/>
      <c r="H71" s="163"/>
      <c r="I71" s="163"/>
      <c r="J71" s="179"/>
      <c r="K71" s="163"/>
      <c r="L71" s="163"/>
      <c r="M71" s="163"/>
      <c r="N71" s="163"/>
      <c r="O71" s="163"/>
      <c r="P71" s="163"/>
      <c r="Q71" s="179"/>
      <c r="R71" s="163"/>
      <c r="S71" s="163"/>
      <c r="T71" s="163"/>
      <c r="U71" s="163"/>
      <c r="V71" s="163"/>
      <c r="W71" s="163"/>
      <c r="X71" s="179"/>
      <c r="Y71" s="163"/>
      <c r="Z71" s="163"/>
      <c r="AA71" s="163"/>
      <c r="AB71" s="163"/>
      <c r="AC71" s="163"/>
      <c r="AD71" s="163"/>
      <c r="AE71" s="163"/>
      <c r="AF71" s="163"/>
      <c r="AG71" s="163"/>
      <c r="AH71" s="163"/>
      <c r="AI71" s="163"/>
      <c r="AJ71" s="163"/>
      <c r="AK71" s="163"/>
      <c r="AL71" s="163"/>
      <c r="AM71" s="163"/>
      <c r="AN71" s="163"/>
      <c r="AO71" s="163"/>
      <c r="AP71" s="163"/>
      <c r="AQ71" s="163"/>
      <c r="AR71" s="179"/>
      <c r="AS71" s="163"/>
      <c r="AT71" s="163"/>
      <c r="AU71" s="163"/>
      <c r="AV71" s="163"/>
      <c r="AW71" s="163"/>
      <c r="AX71" s="163"/>
      <c r="AY71" s="163"/>
      <c r="AZ71" s="163"/>
      <c r="BA71" s="163"/>
      <c r="BB71" s="163"/>
      <c r="BC71" s="163"/>
      <c r="BD71" s="163"/>
      <c r="BE71" s="163"/>
      <c r="BF71" s="163"/>
      <c r="BG71" s="163"/>
      <c r="BH71" s="163"/>
      <c r="BI71" s="163"/>
      <c r="BJ71" s="163"/>
      <c r="BK71" s="163"/>
      <c r="BL71" s="163"/>
      <c r="BM71" s="163"/>
      <c r="BN71" s="163"/>
      <c r="BO71" s="164"/>
      <c r="BP71" s="164"/>
      <c r="BQ71" s="164"/>
      <c r="BR71" s="164"/>
      <c r="BS71" s="176"/>
      <c r="BT71" s="163"/>
      <c r="BU71" s="163"/>
      <c r="BV71" s="163"/>
      <c r="BW71" s="176"/>
    </row>
    <row r="72" spans="2:75" s="117" customFormat="1">
      <c r="B72" s="179"/>
      <c r="C72" s="179"/>
      <c r="D72" s="163"/>
      <c r="E72" s="163"/>
      <c r="F72" s="163"/>
      <c r="G72" s="163"/>
      <c r="H72" s="163"/>
      <c r="I72" s="163"/>
      <c r="J72" s="179"/>
      <c r="K72" s="163"/>
      <c r="L72" s="163"/>
      <c r="M72" s="163"/>
      <c r="N72" s="163"/>
      <c r="O72" s="163"/>
      <c r="P72" s="163"/>
      <c r="Q72" s="179"/>
      <c r="R72" s="163"/>
      <c r="S72" s="163"/>
      <c r="T72" s="163"/>
      <c r="U72" s="163"/>
      <c r="V72" s="163"/>
      <c r="W72" s="163"/>
      <c r="X72" s="179"/>
      <c r="Y72" s="163"/>
      <c r="Z72" s="163"/>
      <c r="AA72" s="163"/>
      <c r="AB72" s="163"/>
      <c r="AC72" s="163"/>
      <c r="AD72" s="163"/>
      <c r="AE72" s="163"/>
      <c r="AF72" s="163"/>
      <c r="AG72" s="163"/>
      <c r="AH72" s="163"/>
      <c r="AI72" s="163"/>
      <c r="AJ72" s="163"/>
      <c r="AK72" s="163"/>
      <c r="AL72" s="163"/>
      <c r="AM72" s="163"/>
      <c r="AN72" s="163"/>
      <c r="AO72" s="163"/>
      <c r="AP72" s="163"/>
      <c r="AQ72" s="163"/>
      <c r="AR72" s="179"/>
      <c r="AS72" s="163"/>
      <c r="AT72" s="163"/>
      <c r="AU72" s="163"/>
      <c r="AV72" s="163"/>
      <c r="AW72" s="163"/>
      <c r="AX72" s="163"/>
      <c r="AY72" s="163"/>
      <c r="AZ72" s="163"/>
      <c r="BA72" s="163"/>
      <c r="BB72" s="163"/>
      <c r="BC72" s="163"/>
      <c r="BD72" s="163"/>
      <c r="BE72" s="163"/>
      <c r="BF72" s="163"/>
      <c r="BG72" s="163"/>
      <c r="BH72" s="163"/>
      <c r="BI72" s="163"/>
      <c r="BJ72" s="163"/>
      <c r="BK72" s="163"/>
      <c r="BL72" s="163"/>
      <c r="BM72" s="163"/>
      <c r="BN72" s="163"/>
      <c r="BO72" s="164"/>
      <c r="BP72" s="164"/>
      <c r="BQ72" s="164"/>
      <c r="BR72" s="164"/>
      <c r="BS72" s="176"/>
      <c r="BT72" s="163"/>
      <c r="BU72" s="163"/>
      <c r="BV72" s="163"/>
      <c r="BW72" s="176"/>
    </row>
    <row r="73" spans="2:75" s="117" customFormat="1" outlineLevel="1">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180"/>
      <c r="BP73" s="180"/>
      <c r="BQ73" s="180"/>
      <c r="BR73" s="180"/>
      <c r="BS73" s="176"/>
      <c r="BT73" s="95"/>
      <c r="BU73" s="95"/>
      <c r="BV73" s="95"/>
      <c r="BW73" s="176"/>
    </row>
    <row r="74" spans="2:75" s="117" customFormat="1" outlineLevel="1">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7"/>
      <c r="BP74" s="167"/>
      <c r="BQ74" s="167"/>
      <c r="BR74" s="167"/>
      <c r="BS74" s="176"/>
      <c r="BT74" s="166"/>
      <c r="BU74" s="166"/>
      <c r="BV74" s="166"/>
      <c r="BW74" s="176"/>
    </row>
    <row r="75" spans="2:75" s="117" customFormat="1" outlineLevel="1">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7"/>
      <c r="BP75" s="167"/>
      <c r="BQ75" s="167"/>
      <c r="BR75" s="167"/>
      <c r="BS75" s="176"/>
      <c r="BT75" s="166"/>
      <c r="BU75" s="166"/>
      <c r="BV75" s="166"/>
      <c r="BW75" s="176"/>
    </row>
    <row r="76" spans="2:75" s="117" customFormat="1" outlineLevel="1">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7"/>
      <c r="BP76" s="167"/>
      <c r="BQ76" s="167"/>
      <c r="BR76" s="167"/>
      <c r="BS76" s="176"/>
      <c r="BT76" s="166"/>
      <c r="BU76" s="166"/>
      <c r="BV76" s="166"/>
      <c r="BW76" s="176"/>
    </row>
    <row r="77" spans="2:75" s="117" customFormat="1" outlineLevel="1">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7"/>
      <c r="BP77" s="167"/>
      <c r="BQ77" s="167"/>
      <c r="BR77" s="167"/>
      <c r="BS77" s="176"/>
      <c r="BT77" s="166"/>
      <c r="BU77" s="166"/>
      <c r="BV77" s="166"/>
      <c r="BW77" s="176"/>
    </row>
    <row r="78" spans="2:75" s="117" customFormat="1" outlineLevel="1">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7"/>
      <c r="BP78" s="167"/>
      <c r="BQ78" s="167"/>
      <c r="BR78" s="167"/>
      <c r="BS78" s="176"/>
      <c r="BT78" s="166"/>
      <c r="BU78" s="166"/>
      <c r="BV78" s="166"/>
      <c r="BW78" s="176"/>
    </row>
    <row r="79" spans="2:75" s="117" customFormat="1" outlineLevel="1">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56"/>
      <c r="BP79" s="156"/>
      <c r="BQ79" s="156"/>
      <c r="BR79" s="156"/>
      <c r="BS79" s="176"/>
      <c r="BT79" s="116"/>
      <c r="BU79" s="116"/>
      <c r="BV79" s="116"/>
      <c r="BW79" s="176"/>
    </row>
    <row r="80" spans="2:75" s="117" customFormat="1" outlineLevel="1">
      <c r="B80" s="157"/>
      <c r="C80" s="157"/>
      <c r="D80" s="95"/>
      <c r="E80" s="95"/>
      <c r="F80" s="95"/>
      <c r="G80" s="95"/>
      <c r="H80" s="95"/>
      <c r="I80" s="95"/>
      <c r="J80" s="157"/>
      <c r="K80" s="95"/>
      <c r="L80" s="95"/>
      <c r="M80" s="95"/>
      <c r="N80" s="95"/>
      <c r="O80" s="95"/>
      <c r="P80" s="95"/>
      <c r="Q80" s="157"/>
      <c r="R80" s="95"/>
      <c r="S80" s="95"/>
      <c r="T80" s="95"/>
      <c r="U80" s="95"/>
      <c r="V80" s="95"/>
      <c r="W80" s="95"/>
      <c r="X80" s="157"/>
      <c r="Y80" s="95"/>
      <c r="Z80" s="95"/>
      <c r="AA80" s="95"/>
      <c r="AB80" s="95"/>
      <c r="AC80" s="95"/>
      <c r="AD80" s="95"/>
      <c r="AE80" s="95"/>
      <c r="AF80" s="95"/>
      <c r="AG80" s="95"/>
      <c r="AH80" s="95"/>
      <c r="AI80" s="95"/>
      <c r="AJ80" s="95"/>
      <c r="AK80" s="95"/>
      <c r="AL80" s="95"/>
      <c r="AM80" s="95"/>
      <c r="AN80" s="95"/>
      <c r="AO80" s="95"/>
      <c r="AP80" s="95"/>
      <c r="AQ80" s="95"/>
      <c r="AR80" s="157"/>
      <c r="AS80" s="95"/>
      <c r="AT80" s="95"/>
      <c r="AU80" s="95"/>
      <c r="AV80" s="95"/>
      <c r="AW80" s="95"/>
      <c r="AX80" s="95"/>
      <c r="AY80" s="95"/>
      <c r="AZ80" s="95"/>
      <c r="BA80" s="95"/>
      <c r="BB80" s="95"/>
      <c r="BC80" s="95"/>
      <c r="BD80" s="95"/>
      <c r="BE80" s="95"/>
      <c r="BF80" s="95"/>
      <c r="BG80" s="95"/>
      <c r="BH80" s="95"/>
      <c r="BI80" s="95"/>
      <c r="BJ80" s="95"/>
      <c r="BK80" s="95"/>
      <c r="BL80" s="95"/>
      <c r="BM80" s="95"/>
      <c r="BN80" s="95"/>
      <c r="BO80" s="158"/>
      <c r="BP80" s="158"/>
      <c r="BQ80" s="158"/>
      <c r="BR80" s="158"/>
      <c r="BS80" s="176"/>
      <c r="BT80" s="95"/>
      <c r="BU80" s="95"/>
      <c r="BV80" s="95"/>
      <c r="BW80" s="176"/>
    </row>
    <row r="81" spans="2:75" s="117" customFormat="1" outlineLevel="1">
      <c r="B81" s="95"/>
      <c r="C81" s="95"/>
      <c r="D81" s="159"/>
      <c r="E81" s="159"/>
      <c r="F81" s="159"/>
      <c r="G81" s="159"/>
      <c r="H81" s="159"/>
      <c r="I81" s="159"/>
      <c r="J81" s="95"/>
      <c r="K81" s="159"/>
      <c r="L81" s="159"/>
      <c r="M81" s="159"/>
      <c r="N81" s="159"/>
      <c r="O81" s="159"/>
      <c r="P81" s="159"/>
      <c r="Q81" s="95"/>
      <c r="R81" s="159"/>
      <c r="S81" s="159"/>
      <c r="T81" s="159"/>
      <c r="U81" s="159"/>
      <c r="V81" s="159"/>
      <c r="W81" s="159"/>
      <c r="X81" s="95"/>
      <c r="Y81" s="159"/>
      <c r="Z81" s="159"/>
      <c r="AA81" s="159"/>
      <c r="AB81" s="159"/>
      <c r="AC81" s="159"/>
      <c r="AD81" s="159"/>
      <c r="AE81" s="159"/>
      <c r="AF81" s="159"/>
      <c r="AG81" s="159"/>
      <c r="AH81" s="159"/>
      <c r="AI81" s="159"/>
      <c r="AJ81" s="159"/>
      <c r="AK81" s="159"/>
      <c r="AL81" s="159"/>
      <c r="AM81" s="159"/>
      <c r="AN81" s="159"/>
      <c r="AO81" s="159"/>
      <c r="AP81" s="159"/>
      <c r="AQ81" s="159"/>
      <c r="AR81" s="95"/>
      <c r="AS81" s="159"/>
      <c r="AT81" s="159"/>
      <c r="AU81" s="159"/>
      <c r="AV81" s="159"/>
      <c r="AW81" s="159"/>
      <c r="AX81" s="159"/>
      <c r="AY81" s="159"/>
      <c r="AZ81" s="159"/>
      <c r="BA81" s="159"/>
      <c r="BB81" s="159"/>
      <c r="BC81" s="159"/>
      <c r="BD81" s="159"/>
      <c r="BE81" s="159"/>
      <c r="BF81" s="159"/>
      <c r="BG81" s="159"/>
      <c r="BH81" s="159"/>
      <c r="BI81" s="159"/>
      <c r="BJ81" s="159"/>
      <c r="BK81" s="159"/>
      <c r="BL81" s="159"/>
      <c r="BM81" s="159"/>
      <c r="BN81" s="159"/>
      <c r="BO81" s="161"/>
      <c r="BP81" s="161"/>
      <c r="BQ81" s="161"/>
      <c r="BR81" s="161"/>
      <c r="BS81" s="176"/>
      <c r="BT81" s="159"/>
      <c r="BU81" s="159"/>
      <c r="BV81" s="159"/>
      <c r="BW81" s="176"/>
    </row>
    <row r="82" spans="2:75" s="117" customFormat="1" outlineLevel="1">
      <c r="B82" s="95"/>
      <c r="C82" s="95"/>
      <c r="D82" s="95"/>
      <c r="E82" s="95"/>
      <c r="F82" s="95"/>
      <c r="G82" s="95"/>
      <c r="J82" s="95"/>
      <c r="K82" s="95"/>
      <c r="L82" s="95"/>
      <c r="M82" s="95"/>
      <c r="N82" s="95"/>
      <c r="Q82" s="95"/>
      <c r="R82" s="95"/>
      <c r="S82" s="95"/>
      <c r="T82" s="95"/>
      <c r="U82" s="95"/>
      <c r="X82" s="95"/>
      <c r="Y82" s="95"/>
      <c r="Z82" s="95"/>
      <c r="AA82" s="95"/>
      <c r="AB82" s="95"/>
      <c r="AR82" s="95"/>
      <c r="AS82" s="95"/>
      <c r="AT82" s="95"/>
      <c r="AU82" s="95"/>
      <c r="AV82" s="95"/>
      <c r="AX82" s="95"/>
      <c r="AY82" s="95"/>
      <c r="AZ82" s="95"/>
      <c r="BA82" s="95"/>
      <c r="BB82" s="95"/>
      <c r="BC82" s="95"/>
      <c r="BD82" s="95"/>
      <c r="BE82" s="95"/>
      <c r="BF82" s="95"/>
      <c r="BG82" s="95"/>
      <c r="BH82" s="95"/>
      <c r="BI82" s="95"/>
      <c r="BJ82" s="95"/>
      <c r="BK82" s="95"/>
      <c r="BL82" s="95"/>
      <c r="BM82" s="95"/>
      <c r="BN82" s="95"/>
      <c r="BO82" s="162"/>
      <c r="BP82" s="162"/>
      <c r="BQ82" s="162"/>
      <c r="BR82" s="162"/>
      <c r="BS82" s="176"/>
      <c r="BT82" s="95"/>
      <c r="BU82" s="95"/>
      <c r="BV82" s="95"/>
      <c r="BW82" s="176"/>
    </row>
    <row r="83" spans="2:75" s="117" customFormat="1">
      <c r="B83" s="179"/>
      <c r="C83" s="179"/>
      <c r="D83" s="163"/>
      <c r="E83" s="163"/>
      <c r="F83" s="163"/>
      <c r="G83" s="163"/>
      <c r="H83" s="163"/>
      <c r="I83" s="163"/>
      <c r="J83" s="179"/>
      <c r="K83" s="163"/>
      <c r="L83" s="163"/>
      <c r="M83" s="163"/>
      <c r="N83" s="163"/>
      <c r="O83" s="163"/>
      <c r="P83" s="163"/>
      <c r="Q83" s="179"/>
      <c r="R83" s="163"/>
      <c r="S83" s="163"/>
      <c r="T83" s="163"/>
      <c r="U83" s="163"/>
      <c r="V83" s="163"/>
      <c r="W83" s="163"/>
      <c r="X83" s="179"/>
      <c r="Y83" s="163"/>
      <c r="Z83" s="163"/>
      <c r="AA83" s="163"/>
      <c r="AB83" s="163"/>
      <c r="AC83" s="163"/>
      <c r="AD83" s="163"/>
      <c r="AE83" s="163"/>
      <c r="AF83" s="163"/>
      <c r="AG83" s="163"/>
      <c r="AH83" s="163"/>
      <c r="AI83" s="163"/>
      <c r="AJ83" s="163"/>
      <c r="AK83" s="163"/>
      <c r="AL83" s="163"/>
      <c r="AM83" s="163"/>
      <c r="AN83" s="163"/>
      <c r="AO83" s="163"/>
      <c r="AP83" s="163"/>
      <c r="AQ83" s="163"/>
      <c r="AR83" s="179"/>
      <c r="AS83" s="163"/>
      <c r="AT83" s="163"/>
      <c r="AU83" s="163"/>
      <c r="AV83" s="163"/>
      <c r="AW83" s="163"/>
      <c r="AX83" s="163"/>
      <c r="AY83" s="163"/>
      <c r="AZ83" s="163"/>
      <c r="BA83" s="163"/>
      <c r="BB83" s="163"/>
      <c r="BC83" s="163"/>
      <c r="BD83" s="163"/>
      <c r="BE83" s="163"/>
      <c r="BF83" s="163"/>
      <c r="BG83" s="163"/>
      <c r="BH83" s="163"/>
      <c r="BI83" s="163"/>
      <c r="BJ83" s="163"/>
      <c r="BK83" s="163"/>
      <c r="BL83" s="163"/>
      <c r="BM83" s="163"/>
      <c r="BN83" s="163"/>
      <c r="BO83" s="164"/>
      <c r="BP83" s="164"/>
      <c r="BQ83" s="164"/>
      <c r="BR83" s="164"/>
      <c r="BS83" s="176"/>
      <c r="BT83" s="163"/>
      <c r="BU83" s="163"/>
      <c r="BV83" s="163"/>
      <c r="BW83" s="176"/>
    </row>
    <row r="84" spans="2:75" s="117" customFormat="1">
      <c r="B84" s="179"/>
      <c r="C84" s="179"/>
      <c r="D84" s="163"/>
      <c r="E84" s="163"/>
      <c r="F84" s="163"/>
      <c r="G84" s="163"/>
      <c r="H84" s="163"/>
      <c r="I84" s="163"/>
      <c r="J84" s="179"/>
      <c r="K84" s="163"/>
      <c r="L84" s="163"/>
      <c r="M84" s="163"/>
      <c r="N84" s="163"/>
      <c r="O84" s="163"/>
      <c r="P84" s="163"/>
      <c r="Q84" s="179"/>
      <c r="R84" s="163"/>
      <c r="S84" s="163"/>
      <c r="T84" s="163"/>
      <c r="U84" s="163"/>
      <c r="V84" s="163"/>
      <c r="W84" s="163"/>
      <c r="X84" s="179"/>
      <c r="Y84" s="163"/>
      <c r="Z84" s="163"/>
      <c r="AA84" s="163"/>
      <c r="AB84" s="163"/>
      <c r="AC84" s="163"/>
      <c r="AD84" s="163"/>
      <c r="AE84" s="163"/>
      <c r="AF84" s="163"/>
      <c r="AG84" s="163"/>
      <c r="AH84" s="163"/>
      <c r="AI84" s="163"/>
      <c r="AJ84" s="163"/>
      <c r="AK84" s="163"/>
      <c r="AL84" s="163"/>
      <c r="AM84" s="163"/>
      <c r="AN84" s="163"/>
      <c r="AO84" s="163"/>
      <c r="AP84" s="163"/>
      <c r="AQ84" s="163"/>
      <c r="AR84" s="179"/>
      <c r="AS84" s="163"/>
      <c r="AT84" s="163"/>
      <c r="AU84" s="163"/>
      <c r="AV84" s="163"/>
      <c r="AW84" s="163"/>
      <c r="AX84" s="163"/>
      <c r="AY84" s="163"/>
      <c r="AZ84" s="163"/>
      <c r="BA84" s="163"/>
      <c r="BB84" s="163"/>
      <c r="BC84" s="163"/>
      <c r="BD84" s="163"/>
      <c r="BE84" s="163"/>
      <c r="BF84" s="163"/>
      <c r="BG84" s="163"/>
      <c r="BH84" s="163"/>
      <c r="BI84" s="163"/>
      <c r="BJ84" s="163"/>
      <c r="BK84" s="163"/>
      <c r="BL84" s="163"/>
      <c r="BM84" s="163"/>
      <c r="BN84" s="163"/>
      <c r="BO84" s="164"/>
      <c r="BP84" s="164"/>
      <c r="BQ84" s="164"/>
      <c r="BR84" s="164"/>
      <c r="BS84" s="176"/>
      <c r="BT84" s="163"/>
      <c r="BU84" s="163"/>
      <c r="BV84" s="163"/>
      <c r="BW84" s="176"/>
    </row>
    <row r="85" spans="2:75" s="117" customFormat="1">
      <c r="B85" s="179"/>
      <c r="C85" s="179"/>
      <c r="D85" s="163"/>
      <c r="E85" s="163"/>
      <c r="F85" s="163"/>
      <c r="G85" s="163"/>
      <c r="H85" s="163"/>
      <c r="I85" s="163"/>
      <c r="J85" s="179"/>
      <c r="K85" s="163"/>
      <c r="L85" s="163"/>
      <c r="M85" s="163"/>
      <c r="N85" s="163"/>
      <c r="O85" s="163"/>
      <c r="P85" s="163"/>
      <c r="Q85" s="179"/>
      <c r="R85" s="163"/>
      <c r="S85" s="163"/>
      <c r="T85" s="163"/>
      <c r="U85" s="163"/>
      <c r="V85" s="163"/>
      <c r="W85" s="163"/>
      <c r="X85" s="179"/>
      <c r="Y85" s="163"/>
      <c r="Z85" s="163"/>
      <c r="AA85" s="163"/>
      <c r="AB85" s="163"/>
      <c r="AC85" s="163"/>
      <c r="AD85" s="163"/>
      <c r="AE85" s="163"/>
      <c r="AF85" s="163"/>
      <c r="AG85" s="163"/>
      <c r="AH85" s="163"/>
      <c r="AI85" s="163"/>
      <c r="AJ85" s="163"/>
      <c r="AK85" s="163"/>
      <c r="AL85" s="163"/>
      <c r="AM85" s="163"/>
      <c r="AN85" s="163"/>
      <c r="AO85" s="163"/>
      <c r="AP85" s="163"/>
      <c r="AQ85" s="163"/>
      <c r="AR85" s="179"/>
      <c r="AS85" s="163"/>
      <c r="AT85" s="163"/>
      <c r="AU85" s="163"/>
      <c r="AV85" s="163"/>
      <c r="AW85" s="163"/>
      <c r="AX85" s="163"/>
      <c r="AY85" s="163"/>
      <c r="AZ85" s="163"/>
      <c r="BA85" s="163"/>
      <c r="BB85" s="163"/>
      <c r="BC85" s="163"/>
      <c r="BD85" s="163"/>
      <c r="BE85" s="163"/>
      <c r="BF85" s="163"/>
      <c r="BG85" s="163"/>
      <c r="BH85" s="163"/>
      <c r="BI85" s="163"/>
      <c r="BJ85" s="163"/>
      <c r="BK85" s="163"/>
      <c r="BL85" s="163"/>
      <c r="BM85" s="163"/>
      <c r="BN85" s="163"/>
      <c r="BO85" s="164"/>
      <c r="BP85" s="164"/>
      <c r="BQ85" s="164"/>
      <c r="BR85" s="164"/>
      <c r="BS85" s="176"/>
      <c r="BT85" s="163"/>
      <c r="BU85" s="163"/>
      <c r="BV85" s="163"/>
      <c r="BW85" s="176"/>
    </row>
    <row r="86" spans="2:75" s="117" customFormat="1" outlineLevel="1">
      <c r="B86" s="179"/>
      <c r="C86" s="179"/>
      <c r="D86" s="163"/>
      <c r="E86" s="163"/>
      <c r="F86" s="163"/>
      <c r="G86" s="163"/>
      <c r="H86" s="163"/>
      <c r="I86" s="163"/>
      <c r="J86" s="179"/>
      <c r="K86" s="163"/>
      <c r="L86" s="163"/>
      <c r="M86" s="163"/>
      <c r="N86" s="163"/>
      <c r="O86" s="163"/>
      <c r="P86" s="163"/>
      <c r="Q86" s="179"/>
      <c r="R86" s="163"/>
      <c r="S86" s="163"/>
      <c r="T86" s="163"/>
      <c r="U86" s="163"/>
      <c r="V86" s="163"/>
      <c r="W86" s="163"/>
      <c r="X86" s="179"/>
      <c r="Y86" s="163"/>
      <c r="Z86" s="163"/>
      <c r="AA86" s="163"/>
      <c r="AB86" s="163"/>
      <c r="AC86" s="163"/>
      <c r="AD86" s="163"/>
      <c r="AE86" s="163"/>
      <c r="AF86" s="163"/>
      <c r="AG86" s="163"/>
      <c r="AH86" s="163"/>
      <c r="AI86" s="163"/>
      <c r="AJ86" s="163"/>
      <c r="AK86" s="163"/>
      <c r="AL86" s="163"/>
      <c r="AM86" s="163"/>
      <c r="AN86" s="163"/>
      <c r="AO86" s="163"/>
      <c r="AP86" s="163"/>
      <c r="AQ86" s="163"/>
      <c r="AR86" s="179"/>
      <c r="AS86" s="163"/>
      <c r="AT86" s="163"/>
      <c r="AU86" s="163"/>
      <c r="AV86" s="163"/>
      <c r="AW86" s="163"/>
      <c r="AX86" s="163"/>
      <c r="AY86" s="163"/>
      <c r="AZ86" s="163"/>
      <c r="BA86" s="163"/>
      <c r="BB86" s="163"/>
      <c r="BC86" s="163"/>
      <c r="BD86" s="163"/>
      <c r="BE86" s="163"/>
      <c r="BF86" s="163"/>
      <c r="BG86" s="163"/>
      <c r="BH86" s="163"/>
      <c r="BI86" s="163"/>
      <c r="BJ86" s="163"/>
      <c r="BK86" s="163"/>
      <c r="BL86" s="163"/>
      <c r="BM86" s="163"/>
      <c r="BN86" s="163"/>
      <c r="BO86" s="164"/>
      <c r="BP86" s="164"/>
      <c r="BQ86" s="164"/>
      <c r="BR86" s="164"/>
      <c r="BS86" s="176"/>
      <c r="BT86" s="163"/>
      <c r="BU86" s="163"/>
      <c r="BV86" s="163"/>
      <c r="BW86" s="176"/>
    </row>
    <row r="87" spans="2:75" s="117" customFormat="1" outlineLevel="1">
      <c r="B87" s="179"/>
      <c r="C87" s="179"/>
      <c r="D87" s="163"/>
      <c r="E87" s="163"/>
      <c r="F87" s="163"/>
      <c r="G87" s="163"/>
      <c r="H87" s="163"/>
      <c r="I87" s="163"/>
      <c r="J87" s="179"/>
      <c r="K87" s="163"/>
      <c r="L87" s="163"/>
      <c r="M87" s="163"/>
      <c r="N87" s="163"/>
      <c r="O87" s="163"/>
      <c r="P87" s="163"/>
      <c r="Q87" s="179"/>
      <c r="R87" s="163"/>
      <c r="S87" s="163"/>
      <c r="T87" s="163"/>
      <c r="U87" s="163"/>
      <c r="V87" s="163"/>
      <c r="W87" s="163"/>
      <c r="X87" s="179"/>
      <c r="Y87" s="163"/>
      <c r="Z87" s="163"/>
      <c r="AA87" s="163"/>
      <c r="AB87" s="163"/>
      <c r="AC87" s="163"/>
      <c r="AD87" s="163"/>
      <c r="AE87" s="163"/>
      <c r="AF87" s="163"/>
      <c r="AG87" s="163"/>
      <c r="AH87" s="163"/>
      <c r="AI87" s="163"/>
      <c r="AJ87" s="163"/>
      <c r="AK87" s="163"/>
      <c r="AL87" s="163"/>
      <c r="AM87" s="163"/>
      <c r="AN87" s="163"/>
      <c r="AO87" s="163"/>
      <c r="AP87" s="163"/>
      <c r="AQ87" s="163"/>
      <c r="AR87" s="179"/>
      <c r="AS87" s="163"/>
      <c r="AT87" s="163"/>
      <c r="AU87" s="163"/>
      <c r="AV87" s="163"/>
      <c r="AW87" s="163"/>
      <c r="AX87" s="163"/>
      <c r="AY87" s="163"/>
      <c r="AZ87" s="163"/>
      <c r="BA87" s="163"/>
      <c r="BB87" s="163"/>
      <c r="BC87" s="163"/>
      <c r="BD87" s="163"/>
      <c r="BE87" s="163"/>
      <c r="BF87" s="163"/>
      <c r="BG87" s="163"/>
      <c r="BH87" s="163"/>
      <c r="BI87" s="163"/>
      <c r="BJ87" s="163"/>
      <c r="BK87" s="163"/>
      <c r="BL87" s="163"/>
      <c r="BM87" s="163"/>
      <c r="BN87" s="163"/>
      <c r="BO87" s="164"/>
      <c r="BP87" s="164"/>
      <c r="BQ87" s="164"/>
      <c r="BR87" s="164"/>
      <c r="BS87" s="176"/>
      <c r="BT87" s="163"/>
      <c r="BU87" s="163"/>
      <c r="BV87" s="163"/>
      <c r="BW87" s="176"/>
    </row>
    <row r="88" spans="2:75" s="117" customFormat="1" outlineLevel="1">
      <c r="B88" s="179"/>
      <c r="C88" s="179"/>
      <c r="D88" s="163"/>
      <c r="E88" s="163"/>
      <c r="F88" s="163"/>
      <c r="G88" s="163"/>
      <c r="H88" s="163"/>
      <c r="I88" s="163"/>
      <c r="J88" s="179"/>
      <c r="K88" s="163"/>
      <c r="L88" s="163"/>
      <c r="M88" s="163"/>
      <c r="N88" s="163"/>
      <c r="O88" s="163"/>
      <c r="P88" s="163"/>
      <c r="Q88" s="179"/>
      <c r="R88" s="163"/>
      <c r="S88" s="163"/>
      <c r="T88" s="163"/>
      <c r="U88" s="163"/>
      <c r="V88" s="163"/>
      <c r="W88" s="163"/>
      <c r="X88" s="179"/>
      <c r="Y88" s="163"/>
      <c r="Z88" s="163"/>
      <c r="AA88" s="163"/>
      <c r="AB88" s="163"/>
      <c r="AC88" s="163"/>
      <c r="AD88" s="163"/>
      <c r="AE88" s="163"/>
      <c r="AF88" s="163"/>
      <c r="AG88" s="163"/>
      <c r="AH88" s="163"/>
      <c r="AI88" s="163"/>
      <c r="AJ88" s="163"/>
      <c r="AK88" s="163"/>
      <c r="AL88" s="163"/>
      <c r="AM88" s="163"/>
      <c r="AN88" s="163"/>
      <c r="AO88" s="163"/>
      <c r="AP88" s="163"/>
      <c r="AQ88" s="163"/>
      <c r="AR88" s="179"/>
      <c r="AS88" s="163"/>
      <c r="AT88" s="163"/>
      <c r="AU88" s="163"/>
      <c r="AV88" s="163"/>
      <c r="AW88" s="163"/>
      <c r="AX88" s="163"/>
      <c r="AY88" s="163"/>
      <c r="AZ88" s="163"/>
      <c r="BA88" s="163"/>
      <c r="BB88" s="163"/>
      <c r="BC88" s="163"/>
      <c r="BD88" s="163"/>
      <c r="BE88" s="163"/>
      <c r="BF88" s="163"/>
      <c r="BG88" s="163"/>
      <c r="BH88" s="163"/>
      <c r="BI88" s="163"/>
      <c r="BJ88" s="163"/>
      <c r="BK88" s="163"/>
      <c r="BL88" s="163"/>
      <c r="BM88" s="163"/>
      <c r="BN88" s="163"/>
      <c r="BO88" s="164"/>
      <c r="BP88" s="164"/>
      <c r="BQ88" s="164"/>
      <c r="BR88" s="164"/>
      <c r="BS88" s="176"/>
      <c r="BT88" s="163"/>
      <c r="BU88" s="163"/>
      <c r="BV88" s="163"/>
      <c r="BW88" s="176"/>
    </row>
    <row r="89" spans="2:75" s="117" customFormat="1" outlineLevel="1">
      <c r="B89" s="179"/>
      <c r="C89" s="179"/>
      <c r="D89" s="163"/>
      <c r="E89" s="163"/>
      <c r="F89" s="163"/>
      <c r="G89" s="163"/>
      <c r="H89" s="163"/>
      <c r="I89" s="163"/>
      <c r="J89" s="179"/>
      <c r="K89" s="163"/>
      <c r="L89" s="163"/>
      <c r="M89" s="163"/>
      <c r="N89" s="163"/>
      <c r="O89" s="163"/>
      <c r="P89" s="163"/>
      <c r="Q89" s="179"/>
      <c r="R89" s="163"/>
      <c r="S89" s="163"/>
      <c r="T89" s="163"/>
      <c r="U89" s="163"/>
      <c r="V89" s="163"/>
      <c r="W89" s="163"/>
      <c r="X89" s="179"/>
      <c r="Y89" s="163"/>
      <c r="Z89" s="163"/>
      <c r="AA89" s="163"/>
      <c r="AB89" s="163"/>
      <c r="AC89" s="163"/>
      <c r="AD89" s="163"/>
      <c r="AE89" s="163"/>
      <c r="AF89" s="163"/>
      <c r="AG89" s="163"/>
      <c r="AH89" s="163"/>
      <c r="AI89" s="163"/>
      <c r="AJ89" s="163"/>
      <c r="AK89" s="163"/>
      <c r="AL89" s="163"/>
      <c r="AM89" s="163"/>
      <c r="AN89" s="163"/>
      <c r="AO89" s="163"/>
      <c r="AP89" s="163"/>
      <c r="AQ89" s="163"/>
      <c r="AR89" s="179"/>
      <c r="AS89" s="163"/>
      <c r="AT89" s="163"/>
      <c r="AU89" s="163"/>
      <c r="AV89" s="163"/>
      <c r="AW89" s="163"/>
      <c r="AX89" s="163"/>
      <c r="AY89" s="163"/>
      <c r="AZ89" s="163"/>
      <c r="BA89" s="163"/>
      <c r="BB89" s="163"/>
      <c r="BC89" s="163"/>
      <c r="BD89" s="163"/>
      <c r="BE89" s="163"/>
      <c r="BF89" s="163"/>
      <c r="BG89" s="163"/>
      <c r="BH89" s="163"/>
      <c r="BI89" s="163"/>
      <c r="BJ89" s="163"/>
      <c r="BK89" s="163"/>
      <c r="BL89" s="163"/>
      <c r="BM89" s="163"/>
      <c r="BN89" s="163"/>
      <c r="BO89" s="164"/>
      <c r="BP89" s="164"/>
      <c r="BQ89" s="164"/>
      <c r="BR89" s="164"/>
      <c r="BS89" s="176"/>
      <c r="BT89" s="163"/>
      <c r="BU89" s="163"/>
      <c r="BV89" s="163"/>
      <c r="BW89" s="176"/>
    </row>
    <row r="90" spans="2:75" s="117" customFormat="1" outlineLevel="1">
      <c r="B90" s="179"/>
      <c r="C90" s="179"/>
      <c r="D90" s="163"/>
      <c r="E90" s="163"/>
      <c r="F90" s="163"/>
      <c r="G90" s="163"/>
      <c r="H90" s="163"/>
      <c r="I90" s="163"/>
      <c r="J90" s="179"/>
      <c r="K90" s="163"/>
      <c r="L90" s="163"/>
      <c r="M90" s="163"/>
      <c r="N90" s="163"/>
      <c r="O90" s="163"/>
      <c r="P90" s="163"/>
      <c r="Q90" s="179"/>
      <c r="R90" s="163"/>
      <c r="S90" s="163"/>
      <c r="T90" s="163"/>
      <c r="U90" s="163"/>
      <c r="V90" s="163"/>
      <c r="W90" s="163"/>
      <c r="X90" s="179"/>
      <c r="Y90" s="163"/>
      <c r="Z90" s="163"/>
      <c r="AA90" s="163"/>
      <c r="AB90" s="163"/>
      <c r="AC90" s="163"/>
      <c r="AD90" s="163"/>
      <c r="AE90" s="163"/>
      <c r="AF90" s="163"/>
      <c r="AG90" s="163"/>
      <c r="AH90" s="163"/>
      <c r="AI90" s="163"/>
      <c r="AJ90" s="163"/>
      <c r="AK90" s="163"/>
      <c r="AL90" s="163"/>
      <c r="AM90" s="163"/>
      <c r="AN90" s="163"/>
      <c r="AO90" s="163"/>
      <c r="AP90" s="163"/>
      <c r="AQ90" s="163"/>
      <c r="AR90" s="179"/>
      <c r="AS90" s="163"/>
      <c r="AT90" s="163"/>
      <c r="AU90" s="163"/>
      <c r="AV90" s="163"/>
      <c r="AW90" s="163"/>
      <c r="AX90" s="163"/>
      <c r="AY90" s="163"/>
      <c r="AZ90" s="163"/>
      <c r="BA90" s="163"/>
      <c r="BB90" s="163"/>
      <c r="BC90" s="163"/>
      <c r="BD90" s="163"/>
      <c r="BE90" s="163"/>
      <c r="BF90" s="163"/>
      <c r="BG90" s="163"/>
      <c r="BH90" s="163"/>
      <c r="BI90" s="163"/>
      <c r="BJ90" s="163"/>
      <c r="BK90" s="163"/>
      <c r="BL90" s="163"/>
      <c r="BM90" s="163"/>
      <c r="BN90" s="163"/>
      <c r="BO90" s="164"/>
      <c r="BP90" s="164"/>
      <c r="BQ90" s="164"/>
      <c r="BR90" s="164"/>
      <c r="BS90" s="176"/>
      <c r="BT90" s="163"/>
      <c r="BU90" s="163"/>
      <c r="BV90" s="163"/>
      <c r="BW90" s="176"/>
    </row>
    <row r="91" spans="2:75" s="117" customFormat="1" outlineLevel="1">
      <c r="B91" s="179"/>
      <c r="C91" s="179"/>
      <c r="D91" s="163"/>
      <c r="E91" s="163"/>
      <c r="F91" s="163"/>
      <c r="G91" s="163"/>
      <c r="H91" s="163"/>
      <c r="I91" s="163"/>
      <c r="J91" s="179"/>
      <c r="K91" s="163"/>
      <c r="L91" s="163"/>
      <c r="M91" s="163"/>
      <c r="N91" s="163"/>
      <c r="O91" s="163"/>
      <c r="P91" s="163"/>
      <c r="Q91" s="179"/>
      <c r="R91" s="163"/>
      <c r="S91" s="163"/>
      <c r="T91" s="163"/>
      <c r="U91" s="163"/>
      <c r="V91" s="163"/>
      <c r="W91" s="163"/>
      <c r="X91" s="179"/>
      <c r="Y91" s="163"/>
      <c r="Z91" s="163"/>
      <c r="AA91" s="163"/>
      <c r="AB91" s="163"/>
      <c r="AC91" s="163"/>
      <c r="AD91" s="163"/>
      <c r="AE91" s="163"/>
      <c r="AF91" s="163"/>
      <c r="AG91" s="163"/>
      <c r="AH91" s="163"/>
      <c r="AI91" s="163"/>
      <c r="AJ91" s="163"/>
      <c r="AK91" s="163"/>
      <c r="AL91" s="163"/>
      <c r="AM91" s="163"/>
      <c r="AN91" s="163"/>
      <c r="AO91" s="163"/>
      <c r="AP91" s="163"/>
      <c r="AQ91" s="163"/>
      <c r="AR91" s="179"/>
      <c r="AS91" s="163"/>
      <c r="AT91" s="163"/>
      <c r="AU91" s="163"/>
      <c r="AV91" s="163"/>
      <c r="AW91" s="163"/>
      <c r="AX91" s="163"/>
      <c r="AY91" s="163"/>
      <c r="AZ91" s="163"/>
      <c r="BA91" s="163"/>
      <c r="BB91" s="163"/>
      <c r="BC91" s="163"/>
      <c r="BD91" s="163"/>
      <c r="BE91" s="163"/>
      <c r="BF91" s="163"/>
      <c r="BG91" s="163"/>
      <c r="BH91" s="163"/>
      <c r="BI91" s="163"/>
      <c r="BJ91" s="163"/>
      <c r="BK91" s="163"/>
      <c r="BL91" s="163"/>
      <c r="BM91" s="163"/>
      <c r="BN91" s="163"/>
      <c r="BO91" s="164"/>
      <c r="BP91" s="164"/>
      <c r="BQ91" s="164"/>
      <c r="BR91" s="164"/>
      <c r="BS91" s="176"/>
      <c r="BT91" s="163"/>
      <c r="BU91" s="163"/>
      <c r="BV91" s="163"/>
      <c r="BW91" s="176"/>
    </row>
    <row r="92" spans="2:75" s="117" customFormat="1" outlineLevel="1">
      <c r="B92" s="179"/>
      <c r="C92" s="179"/>
      <c r="D92" s="163"/>
      <c r="E92" s="163"/>
      <c r="F92" s="163"/>
      <c r="G92" s="163"/>
      <c r="H92" s="163"/>
      <c r="I92" s="163"/>
      <c r="J92" s="179"/>
      <c r="K92" s="163"/>
      <c r="L92" s="163"/>
      <c r="M92" s="163"/>
      <c r="N92" s="163"/>
      <c r="O92" s="163"/>
      <c r="P92" s="163"/>
      <c r="Q92" s="179"/>
      <c r="R92" s="163"/>
      <c r="S92" s="163"/>
      <c r="T92" s="163"/>
      <c r="U92" s="163"/>
      <c r="V92" s="163"/>
      <c r="W92" s="163"/>
      <c r="X92" s="179"/>
      <c r="Y92" s="163"/>
      <c r="Z92" s="163"/>
      <c r="AA92" s="163"/>
      <c r="AB92" s="163"/>
      <c r="AC92" s="163"/>
      <c r="AD92" s="163"/>
      <c r="AE92" s="163"/>
      <c r="AF92" s="163"/>
      <c r="AG92" s="163"/>
      <c r="AH92" s="163"/>
      <c r="AI92" s="163"/>
      <c r="AJ92" s="163"/>
      <c r="AK92" s="163"/>
      <c r="AL92" s="163"/>
      <c r="AM92" s="163"/>
      <c r="AN92" s="163"/>
      <c r="AO92" s="163"/>
      <c r="AP92" s="163"/>
      <c r="AQ92" s="163"/>
      <c r="AR92" s="179"/>
      <c r="AS92" s="163"/>
      <c r="AT92" s="163"/>
      <c r="AU92" s="163"/>
      <c r="AV92" s="163"/>
      <c r="AW92" s="163"/>
      <c r="AX92" s="163"/>
      <c r="AY92" s="163"/>
      <c r="AZ92" s="163"/>
      <c r="BA92" s="163"/>
      <c r="BB92" s="163"/>
      <c r="BC92" s="163"/>
      <c r="BD92" s="163"/>
      <c r="BE92" s="163"/>
      <c r="BF92" s="163"/>
      <c r="BG92" s="163"/>
      <c r="BH92" s="163"/>
      <c r="BI92" s="163"/>
      <c r="BJ92" s="163"/>
      <c r="BK92" s="163"/>
      <c r="BL92" s="163"/>
      <c r="BM92" s="163"/>
      <c r="BN92" s="163"/>
      <c r="BO92" s="164"/>
      <c r="BP92" s="164"/>
      <c r="BQ92" s="164"/>
      <c r="BR92" s="164"/>
      <c r="BS92" s="176"/>
      <c r="BT92" s="163"/>
      <c r="BU92" s="163"/>
      <c r="BV92" s="163"/>
      <c r="BW92" s="176"/>
    </row>
    <row r="93" spans="2:75" s="117" customFormat="1" outlineLevel="1">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180"/>
      <c r="BP93" s="180"/>
      <c r="BQ93" s="180"/>
      <c r="BR93" s="180"/>
      <c r="BS93" s="176"/>
      <c r="BT93" s="95"/>
      <c r="BU93" s="95"/>
      <c r="BV93" s="95"/>
      <c r="BW93" s="176"/>
    </row>
    <row r="94" spans="2:75" s="117" customFormat="1" outlineLevel="1">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7"/>
      <c r="BP94" s="167"/>
      <c r="BQ94" s="167"/>
      <c r="BR94" s="167"/>
      <c r="BS94" s="176"/>
      <c r="BT94" s="166"/>
      <c r="BU94" s="166"/>
      <c r="BV94" s="166"/>
      <c r="BW94" s="176"/>
    </row>
    <row r="95" spans="2:75" s="117" customFormat="1" outlineLevel="1">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7"/>
      <c r="BP95" s="167"/>
      <c r="BQ95" s="167"/>
      <c r="BR95" s="167"/>
      <c r="BS95" s="176"/>
      <c r="BT95" s="166"/>
      <c r="BU95" s="166"/>
      <c r="BV95" s="166"/>
      <c r="BW95" s="176"/>
    </row>
    <row r="96" spans="2:75" s="117" customFormat="1" outlineLevel="1">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7"/>
      <c r="BP96" s="167"/>
      <c r="BQ96" s="167"/>
      <c r="BR96" s="167"/>
      <c r="BS96" s="176"/>
      <c r="BT96" s="166"/>
      <c r="BU96" s="166"/>
      <c r="BV96" s="166"/>
      <c r="BW96" s="176"/>
    </row>
    <row r="97" spans="2:75" s="117" customFormat="1" outlineLevel="1">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7"/>
      <c r="BP97" s="167"/>
      <c r="BQ97" s="167"/>
      <c r="BR97" s="167"/>
      <c r="BS97" s="176"/>
      <c r="BT97" s="166"/>
      <c r="BU97" s="166"/>
      <c r="BV97" s="166"/>
      <c r="BW97" s="176"/>
    </row>
    <row r="98" spans="2:75" s="117" customFormat="1" outlineLevel="1">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7"/>
      <c r="BP98" s="167"/>
      <c r="BQ98" s="167"/>
      <c r="BR98" s="167"/>
      <c r="BS98" s="176"/>
      <c r="BT98" s="166"/>
      <c r="BU98" s="166"/>
      <c r="BV98" s="166"/>
      <c r="BW98" s="176"/>
    </row>
    <row r="99" spans="2:75" s="117" customFormat="1">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76"/>
      <c r="BT99" s="168"/>
      <c r="BU99" s="168"/>
      <c r="BV99" s="168"/>
      <c r="BW99" s="176"/>
    </row>
    <row r="100" spans="2:75" s="117" customFormat="1">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1"/>
      <c r="BP100" s="171"/>
      <c r="BQ100" s="171"/>
      <c r="BR100" s="171"/>
      <c r="BS100" s="176"/>
      <c r="BT100" s="170"/>
      <c r="BU100" s="170"/>
      <c r="BV100" s="170"/>
      <c r="BW100" s="176"/>
    </row>
    <row r="101" spans="2:75" s="117" customFormat="1">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1"/>
      <c r="BP101" s="171"/>
      <c r="BQ101" s="171"/>
      <c r="BR101" s="171"/>
      <c r="BS101" s="176"/>
      <c r="BT101" s="170"/>
      <c r="BU101" s="170"/>
      <c r="BV101" s="170"/>
      <c r="BW101" s="176"/>
    </row>
    <row r="102" spans="2:75" s="117" customFormat="1">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1"/>
      <c r="BP102" s="171"/>
      <c r="BQ102" s="171"/>
      <c r="BR102" s="171"/>
      <c r="BS102" s="176"/>
      <c r="BT102" s="170"/>
      <c r="BU102" s="170"/>
      <c r="BV102" s="170"/>
      <c r="BW102" s="176"/>
    </row>
    <row r="103" spans="2:75" s="117" customFormat="1">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1"/>
      <c r="BP103" s="171"/>
      <c r="BQ103" s="171"/>
      <c r="BR103" s="171"/>
      <c r="BS103" s="176"/>
      <c r="BT103" s="170"/>
      <c r="BU103" s="170"/>
      <c r="BV103" s="170"/>
      <c r="BW103" s="176"/>
    </row>
    <row r="104" spans="2:75" s="117" customFormat="1">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1"/>
      <c r="BP104" s="171"/>
      <c r="BQ104" s="171"/>
      <c r="BR104" s="171"/>
      <c r="BS104" s="176"/>
      <c r="BT104" s="170"/>
      <c r="BU104" s="170"/>
      <c r="BV104" s="170"/>
      <c r="BW104" s="176"/>
    </row>
    <row r="105" spans="2:75" s="168" customFormat="1"/>
    <row r="106" spans="2:75" s="168" customFormat="1"/>
    <row r="107" spans="2:75" s="117" customFormat="1">
      <c r="B107" s="173"/>
      <c r="C107" s="173"/>
      <c r="D107" s="95"/>
      <c r="E107" s="95"/>
      <c r="F107" s="95"/>
      <c r="G107" s="95"/>
      <c r="H107" s="95"/>
      <c r="I107" s="95"/>
      <c r="J107" s="173"/>
      <c r="K107" s="95"/>
      <c r="L107" s="95"/>
      <c r="M107" s="95"/>
      <c r="N107" s="95"/>
      <c r="O107" s="95"/>
      <c r="P107" s="95"/>
      <c r="Q107" s="173"/>
      <c r="R107" s="95"/>
      <c r="S107" s="95"/>
      <c r="T107" s="95"/>
      <c r="U107" s="95"/>
      <c r="V107" s="95"/>
      <c r="W107" s="95"/>
      <c r="X107" s="173"/>
      <c r="Y107" s="95"/>
      <c r="Z107" s="95"/>
      <c r="AA107" s="95"/>
      <c r="AB107" s="95"/>
      <c r="AC107" s="95"/>
      <c r="AD107" s="95"/>
      <c r="AE107" s="95"/>
      <c r="AF107" s="95"/>
      <c r="AG107" s="95"/>
      <c r="AH107" s="95"/>
      <c r="AI107" s="95"/>
      <c r="AJ107" s="95"/>
      <c r="AK107" s="95"/>
      <c r="AL107" s="95"/>
      <c r="AM107" s="95"/>
      <c r="AN107" s="95"/>
      <c r="AO107" s="95"/>
      <c r="AP107" s="95"/>
      <c r="AQ107" s="95"/>
      <c r="AR107" s="173"/>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175"/>
      <c r="BP107" s="175"/>
      <c r="BQ107" s="175"/>
      <c r="BR107" s="181"/>
      <c r="BS107" s="176"/>
      <c r="BT107" s="95"/>
      <c r="BU107" s="95"/>
      <c r="BV107" s="95"/>
      <c r="BW107" s="176"/>
    </row>
    <row r="108" spans="2:75" s="117" customFormat="1">
      <c r="B108" s="95"/>
      <c r="C108" s="95"/>
      <c r="D108" s="177"/>
      <c r="E108" s="177"/>
      <c r="F108" s="177"/>
      <c r="G108" s="177"/>
      <c r="H108" s="177"/>
      <c r="I108" s="177"/>
      <c r="J108" s="95"/>
      <c r="K108" s="177"/>
      <c r="L108" s="177"/>
      <c r="M108" s="177"/>
      <c r="N108" s="177"/>
      <c r="O108" s="177"/>
      <c r="P108" s="177"/>
      <c r="Q108" s="95"/>
      <c r="R108" s="177"/>
      <c r="S108" s="177"/>
      <c r="T108" s="177"/>
      <c r="U108" s="177"/>
      <c r="V108" s="177"/>
      <c r="W108" s="177"/>
      <c r="X108" s="95"/>
      <c r="Y108" s="177"/>
      <c r="Z108" s="177"/>
      <c r="AA108" s="177"/>
      <c r="AB108" s="177"/>
      <c r="AC108" s="177"/>
      <c r="AD108" s="177"/>
      <c r="AE108" s="177"/>
      <c r="AF108" s="177"/>
      <c r="AG108" s="177"/>
      <c r="AH108" s="177"/>
      <c r="AI108" s="177"/>
      <c r="AJ108" s="177"/>
      <c r="AK108" s="177"/>
      <c r="AL108" s="177"/>
      <c r="AM108" s="177"/>
      <c r="AN108" s="177"/>
      <c r="AO108" s="177"/>
      <c r="AP108" s="177"/>
      <c r="AQ108" s="177"/>
      <c r="AR108" s="95"/>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8"/>
      <c r="BP108" s="178"/>
      <c r="BQ108" s="178"/>
      <c r="BR108" s="181"/>
      <c r="BS108" s="176"/>
      <c r="BT108" s="177"/>
      <c r="BU108" s="177"/>
      <c r="BV108" s="177"/>
      <c r="BW108" s="176"/>
    </row>
    <row r="109" spans="2:75" s="117" customFormat="1">
      <c r="B109" s="95"/>
      <c r="C109" s="95"/>
      <c r="D109" s="95"/>
      <c r="E109" s="95"/>
      <c r="F109" s="95"/>
      <c r="G109" s="95"/>
      <c r="J109" s="95"/>
      <c r="K109" s="95"/>
      <c r="L109" s="95"/>
      <c r="M109" s="95"/>
      <c r="N109" s="95"/>
      <c r="Q109" s="95"/>
      <c r="R109" s="95"/>
      <c r="S109" s="95"/>
      <c r="T109" s="95"/>
      <c r="U109" s="95"/>
      <c r="X109" s="95"/>
      <c r="Y109" s="95"/>
      <c r="Z109" s="95"/>
      <c r="AA109" s="95"/>
      <c r="AB109" s="95"/>
      <c r="AR109" s="95"/>
      <c r="AS109" s="95"/>
      <c r="AT109" s="95"/>
      <c r="AU109" s="95"/>
      <c r="AV109" s="95"/>
      <c r="AX109" s="95"/>
      <c r="AY109" s="95"/>
      <c r="AZ109" s="95"/>
      <c r="BA109" s="95"/>
      <c r="BB109" s="95"/>
      <c r="BC109" s="95"/>
      <c r="BD109" s="95"/>
      <c r="BE109" s="95"/>
      <c r="BF109" s="95"/>
      <c r="BG109" s="95"/>
      <c r="BH109" s="95"/>
      <c r="BI109" s="95"/>
      <c r="BJ109" s="95"/>
      <c r="BK109" s="95"/>
      <c r="BL109" s="95"/>
      <c r="BM109" s="95"/>
      <c r="BN109" s="95"/>
      <c r="BO109" s="162"/>
      <c r="BP109" s="162"/>
      <c r="BQ109" s="162"/>
      <c r="BR109" s="162"/>
      <c r="BS109" s="176"/>
      <c r="BT109" s="95"/>
      <c r="BU109" s="95"/>
      <c r="BV109" s="95"/>
      <c r="BW109" s="176"/>
    </row>
    <row r="110" spans="2:75" s="117" customFormat="1">
      <c r="B110" s="179"/>
      <c r="C110" s="179"/>
      <c r="D110" s="163"/>
      <c r="E110" s="163"/>
      <c r="F110" s="163"/>
      <c r="G110" s="163"/>
      <c r="H110" s="163"/>
      <c r="I110" s="163"/>
      <c r="J110" s="179"/>
      <c r="K110" s="163"/>
      <c r="L110" s="163"/>
      <c r="M110" s="163"/>
      <c r="N110" s="163"/>
      <c r="O110" s="163"/>
      <c r="P110" s="163"/>
      <c r="Q110" s="179"/>
      <c r="R110" s="163"/>
      <c r="S110" s="163"/>
      <c r="T110" s="163"/>
      <c r="U110" s="163"/>
      <c r="V110" s="163"/>
      <c r="W110" s="163"/>
      <c r="X110" s="179"/>
      <c r="Y110" s="163"/>
      <c r="Z110" s="163"/>
      <c r="AA110" s="163"/>
      <c r="AB110" s="163"/>
      <c r="AC110" s="163"/>
      <c r="AD110" s="163"/>
      <c r="AE110" s="163"/>
      <c r="AF110" s="163"/>
      <c r="AG110" s="163"/>
      <c r="AH110" s="163"/>
      <c r="AI110" s="163"/>
      <c r="AJ110" s="163"/>
      <c r="AK110" s="163"/>
      <c r="AL110" s="163"/>
      <c r="AM110" s="163"/>
      <c r="AN110" s="163"/>
      <c r="AO110" s="163"/>
      <c r="AP110" s="163"/>
      <c r="AQ110" s="163"/>
      <c r="AR110" s="179"/>
      <c r="AS110" s="163"/>
      <c r="AT110" s="163"/>
      <c r="AU110" s="163"/>
      <c r="AV110" s="163"/>
      <c r="AW110" s="163"/>
      <c r="AX110" s="163"/>
      <c r="AY110" s="163"/>
      <c r="AZ110" s="163"/>
      <c r="BA110" s="163"/>
      <c r="BB110" s="163"/>
      <c r="BC110" s="163"/>
      <c r="BD110" s="163"/>
      <c r="BE110" s="163"/>
      <c r="BF110" s="163"/>
      <c r="BG110" s="163"/>
      <c r="BH110" s="163"/>
      <c r="BI110" s="163"/>
      <c r="BJ110" s="163"/>
      <c r="BK110" s="163"/>
      <c r="BL110" s="163"/>
      <c r="BM110" s="163"/>
      <c r="BN110" s="163"/>
      <c r="BO110" s="164"/>
      <c r="BP110" s="164"/>
      <c r="BQ110" s="164"/>
      <c r="BR110" s="164"/>
      <c r="BS110" s="176"/>
      <c r="BT110" s="163"/>
      <c r="BU110" s="163"/>
      <c r="BV110" s="163"/>
      <c r="BW110" s="176"/>
    </row>
    <row r="111" spans="2:75" s="117" customFormat="1">
      <c r="B111" s="179"/>
      <c r="C111" s="179"/>
      <c r="D111" s="163"/>
      <c r="E111" s="163"/>
      <c r="F111" s="163"/>
      <c r="G111" s="163"/>
      <c r="H111" s="163"/>
      <c r="I111" s="163"/>
      <c r="J111" s="179"/>
      <c r="K111" s="163"/>
      <c r="L111" s="163"/>
      <c r="M111" s="163"/>
      <c r="N111" s="163"/>
      <c r="O111" s="163"/>
      <c r="P111" s="163"/>
      <c r="Q111" s="179"/>
      <c r="R111" s="163"/>
      <c r="S111" s="163"/>
      <c r="T111" s="163"/>
      <c r="U111" s="163"/>
      <c r="V111" s="163"/>
      <c r="W111" s="163"/>
      <c r="X111" s="179"/>
      <c r="Y111" s="163"/>
      <c r="Z111" s="163"/>
      <c r="AA111" s="163"/>
      <c r="AB111" s="163"/>
      <c r="AC111" s="163"/>
      <c r="AD111" s="163"/>
      <c r="AE111" s="163"/>
      <c r="AF111" s="163"/>
      <c r="AG111" s="163"/>
      <c r="AH111" s="163"/>
      <c r="AI111" s="163"/>
      <c r="AJ111" s="163"/>
      <c r="AK111" s="163"/>
      <c r="AL111" s="163"/>
      <c r="AM111" s="163"/>
      <c r="AN111" s="163"/>
      <c r="AO111" s="163"/>
      <c r="AP111" s="163"/>
      <c r="AQ111" s="163"/>
      <c r="AR111" s="179"/>
      <c r="AS111" s="163"/>
      <c r="AT111" s="163"/>
      <c r="AU111" s="163"/>
      <c r="AV111" s="163"/>
      <c r="AW111" s="163"/>
      <c r="AX111" s="163"/>
      <c r="AY111" s="163"/>
      <c r="AZ111" s="163"/>
      <c r="BA111" s="163"/>
      <c r="BB111" s="163"/>
      <c r="BC111" s="163"/>
      <c r="BD111" s="163"/>
      <c r="BE111" s="163"/>
      <c r="BF111" s="163"/>
      <c r="BG111" s="163"/>
      <c r="BH111" s="163"/>
      <c r="BI111" s="163"/>
      <c r="BJ111" s="163"/>
      <c r="BK111" s="163"/>
      <c r="BL111" s="163"/>
      <c r="BM111" s="163"/>
      <c r="BN111" s="163"/>
      <c r="BO111" s="164"/>
      <c r="BP111" s="164"/>
      <c r="BQ111" s="164"/>
      <c r="BR111" s="164"/>
      <c r="BS111" s="176"/>
      <c r="BT111" s="163"/>
      <c r="BU111" s="163"/>
      <c r="BV111" s="163"/>
      <c r="BW111" s="176"/>
    </row>
    <row r="112" spans="2:75" s="117" customFormat="1">
      <c r="B112" s="179"/>
      <c r="C112" s="179"/>
      <c r="D112" s="163"/>
      <c r="E112" s="163"/>
      <c r="F112" s="163"/>
      <c r="G112" s="163"/>
      <c r="H112" s="163"/>
      <c r="I112" s="163"/>
      <c r="J112" s="179"/>
      <c r="K112" s="163"/>
      <c r="L112" s="163"/>
      <c r="M112" s="163"/>
      <c r="N112" s="163"/>
      <c r="O112" s="163"/>
      <c r="P112" s="163"/>
      <c r="Q112" s="179"/>
      <c r="R112" s="163"/>
      <c r="S112" s="163"/>
      <c r="T112" s="163"/>
      <c r="U112" s="163"/>
      <c r="V112" s="163"/>
      <c r="W112" s="163"/>
      <c r="X112" s="179"/>
      <c r="Y112" s="163"/>
      <c r="Z112" s="163"/>
      <c r="AA112" s="163"/>
      <c r="AB112" s="163"/>
      <c r="AC112" s="163"/>
      <c r="AD112" s="163"/>
      <c r="AE112" s="163"/>
      <c r="AF112" s="163"/>
      <c r="AG112" s="163"/>
      <c r="AH112" s="163"/>
      <c r="AI112" s="163"/>
      <c r="AJ112" s="163"/>
      <c r="AK112" s="163"/>
      <c r="AL112" s="163"/>
      <c r="AM112" s="163"/>
      <c r="AN112" s="163"/>
      <c r="AO112" s="163"/>
      <c r="AP112" s="163"/>
      <c r="AQ112" s="163"/>
      <c r="AR112" s="179"/>
      <c r="AS112" s="163"/>
      <c r="AT112" s="163"/>
      <c r="AU112" s="163"/>
      <c r="AV112" s="163"/>
      <c r="AW112" s="163"/>
      <c r="AX112" s="163"/>
      <c r="AY112" s="163"/>
      <c r="AZ112" s="163"/>
      <c r="BA112" s="163"/>
      <c r="BB112" s="163"/>
      <c r="BC112" s="163"/>
      <c r="BD112" s="163"/>
      <c r="BE112" s="163"/>
      <c r="BF112" s="163"/>
      <c r="BG112" s="163"/>
      <c r="BH112" s="163"/>
      <c r="BI112" s="163"/>
      <c r="BJ112" s="163"/>
      <c r="BK112" s="163"/>
      <c r="BL112" s="163"/>
      <c r="BM112" s="163"/>
      <c r="BN112" s="163"/>
      <c r="BO112" s="164"/>
      <c r="BP112" s="164"/>
      <c r="BQ112" s="164"/>
      <c r="BR112" s="164"/>
      <c r="BS112" s="176"/>
      <c r="BT112" s="163"/>
      <c r="BU112" s="163"/>
      <c r="BV112" s="163"/>
      <c r="BW112" s="176"/>
    </row>
    <row r="113" spans="1:75" s="117" customFormat="1">
      <c r="B113" s="179"/>
      <c r="C113" s="179"/>
      <c r="D113" s="163"/>
      <c r="E113" s="163"/>
      <c r="F113" s="163"/>
      <c r="G113" s="163"/>
      <c r="H113" s="163"/>
      <c r="I113" s="163"/>
      <c r="J113" s="179"/>
      <c r="K113" s="163"/>
      <c r="L113" s="163"/>
      <c r="M113" s="163"/>
      <c r="N113" s="163"/>
      <c r="O113" s="163"/>
      <c r="P113" s="163"/>
      <c r="Q113" s="179"/>
      <c r="R113" s="163"/>
      <c r="S113" s="163"/>
      <c r="T113" s="163"/>
      <c r="U113" s="163"/>
      <c r="V113" s="163"/>
      <c r="W113" s="163"/>
      <c r="X113" s="179"/>
      <c r="Y113" s="163"/>
      <c r="Z113" s="163"/>
      <c r="AA113" s="163"/>
      <c r="AB113" s="163"/>
      <c r="AC113" s="163"/>
      <c r="AD113" s="163"/>
      <c r="AE113" s="163"/>
      <c r="AF113" s="163"/>
      <c r="AG113" s="163"/>
      <c r="AH113" s="163"/>
      <c r="AI113" s="163"/>
      <c r="AJ113" s="163"/>
      <c r="AK113" s="163"/>
      <c r="AL113" s="163"/>
      <c r="AM113" s="163"/>
      <c r="AN113" s="163"/>
      <c r="AO113" s="163"/>
      <c r="AP113" s="163"/>
      <c r="AQ113" s="163"/>
      <c r="AR113" s="179"/>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4"/>
      <c r="BP113" s="164"/>
      <c r="BQ113" s="164"/>
      <c r="BR113" s="164"/>
      <c r="BS113" s="176"/>
      <c r="BT113" s="163"/>
      <c r="BU113" s="163"/>
      <c r="BV113" s="163"/>
      <c r="BW113" s="176"/>
    </row>
    <row r="114" spans="1:75" s="117" customFormat="1">
      <c r="B114" s="179"/>
      <c r="C114" s="179"/>
      <c r="D114" s="163"/>
      <c r="E114" s="163"/>
      <c r="F114" s="163"/>
      <c r="G114" s="163"/>
      <c r="H114" s="163"/>
      <c r="I114" s="163"/>
      <c r="J114" s="179"/>
      <c r="K114" s="163"/>
      <c r="L114" s="163"/>
      <c r="M114" s="163"/>
      <c r="N114" s="163"/>
      <c r="O114" s="163"/>
      <c r="P114" s="163"/>
      <c r="Q114" s="179"/>
      <c r="R114" s="163"/>
      <c r="S114" s="163"/>
      <c r="T114" s="163"/>
      <c r="U114" s="163"/>
      <c r="V114" s="163"/>
      <c r="W114" s="163"/>
      <c r="X114" s="179"/>
      <c r="Y114" s="163"/>
      <c r="Z114" s="163"/>
      <c r="AA114" s="163"/>
      <c r="AB114" s="163"/>
      <c r="AC114" s="163"/>
      <c r="AD114" s="163"/>
      <c r="AE114" s="163"/>
      <c r="AF114" s="163"/>
      <c r="AG114" s="163"/>
      <c r="AH114" s="163"/>
      <c r="AI114" s="163"/>
      <c r="AJ114" s="163"/>
      <c r="AK114" s="163"/>
      <c r="AL114" s="163"/>
      <c r="AM114" s="163"/>
      <c r="AN114" s="163"/>
      <c r="AO114" s="163"/>
      <c r="AP114" s="163"/>
      <c r="AQ114" s="163"/>
      <c r="AR114" s="179"/>
      <c r="AS114" s="163"/>
      <c r="AT114" s="163"/>
      <c r="AU114" s="163"/>
      <c r="AV114" s="163"/>
      <c r="AW114" s="163"/>
      <c r="AX114" s="163"/>
      <c r="AY114" s="163"/>
      <c r="AZ114" s="163"/>
      <c r="BA114" s="163"/>
      <c r="BB114" s="163"/>
      <c r="BC114" s="163"/>
      <c r="BD114" s="163"/>
      <c r="BE114" s="163"/>
      <c r="BF114" s="163"/>
      <c r="BG114" s="163"/>
      <c r="BH114" s="163"/>
      <c r="BI114" s="163"/>
      <c r="BJ114" s="163"/>
      <c r="BK114" s="163"/>
      <c r="BL114" s="163"/>
      <c r="BM114" s="163"/>
      <c r="BN114" s="163"/>
      <c r="BO114" s="164"/>
      <c r="BP114" s="164"/>
      <c r="BQ114" s="164"/>
      <c r="BR114" s="164"/>
      <c r="BS114" s="176"/>
      <c r="BT114" s="163"/>
      <c r="BU114" s="163"/>
      <c r="BV114" s="163"/>
      <c r="BW114" s="176"/>
    </row>
    <row r="115" spans="1:75" s="117" customFormat="1">
      <c r="B115" s="179"/>
      <c r="C115" s="179"/>
      <c r="D115" s="163"/>
      <c r="E115" s="163"/>
      <c r="F115" s="163"/>
      <c r="G115" s="163"/>
      <c r="H115" s="163"/>
      <c r="I115" s="163"/>
      <c r="J115" s="179"/>
      <c r="K115" s="163"/>
      <c r="L115" s="163"/>
      <c r="M115" s="163"/>
      <c r="N115" s="163"/>
      <c r="O115" s="163"/>
      <c r="P115" s="163"/>
      <c r="Q115" s="179"/>
      <c r="R115" s="163"/>
      <c r="S115" s="163"/>
      <c r="T115" s="163"/>
      <c r="U115" s="163"/>
      <c r="V115" s="163"/>
      <c r="W115" s="163"/>
      <c r="X115" s="179"/>
      <c r="Y115" s="163"/>
      <c r="Z115" s="163"/>
      <c r="AA115" s="163"/>
      <c r="AB115" s="163"/>
      <c r="AC115" s="163"/>
      <c r="AD115" s="163"/>
      <c r="AE115" s="163"/>
      <c r="AF115" s="163"/>
      <c r="AG115" s="163"/>
      <c r="AH115" s="163"/>
      <c r="AI115" s="163"/>
      <c r="AJ115" s="163"/>
      <c r="AK115" s="163"/>
      <c r="AL115" s="163"/>
      <c r="AM115" s="163"/>
      <c r="AN115" s="163"/>
      <c r="AO115" s="163"/>
      <c r="AP115" s="163"/>
      <c r="AQ115" s="163"/>
      <c r="AR115" s="179"/>
      <c r="AS115" s="163"/>
      <c r="AT115" s="163"/>
      <c r="AU115" s="163"/>
      <c r="AV115" s="163"/>
      <c r="AW115" s="163"/>
      <c r="AX115" s="163"/>
      <c r="AY115" s="163"/>
      <c r="AZ115" s="163"/>
      <c r="BA115" s="163"/>
      <c r="BB115" s="163"/>
      <c r="BC115" s="163"/>
      <c r="BD115" s="163"/>
      <c r="BE115" s="163"/>
      <c r="BF115" s="163"/>
      <c r="BG115" s="163"/>
      <c r="BH115" s="163"/>
      <c r="BI115" s="163"/>
      <c r="BJ115" s="163"/>
      <c r="BK115" s="163"/>
      <c r="BL115" s="163"/>
      <c r="BM115" s="163"/>
      <c r="BN115" s="163"/>
      <c r="BO115" s="164"/>
      <c r="BP115" s="164"/>
      <c r="BQ115" s="164"/>
      <c r="BR115" s="164"/>
      <c r="BS115" s="176"/>
      <c r="BT115" s="163"/>
      <c r="BU115" s="163"/>
      <c r="BV115" s="163"/>
      <c r="BW115" s="176"/>
    </row>
    <row r="116" spans="1:75" s="117" customFormat="1">
      <c r="B116" s="179"/>
      <c r="C116" s="179"/>
      <c r="D116" s="163"/>
      <c r="E116" s="163"/>
      <c r="F116" s="163"/>
      <c r="G116" s="163"/>
      <c r="H116" s="163"/>
      <c r="I116" s="163"/>
      <c r="J116" s="179"/>
      <c r="K116" s="163"/>
      <c r="L116" s="163"/>
      <c r="M116" s="163"/>
      <c r="N116" s="163"/>
      <c r="O116" s="163"/>
      <c r="P116" s="163"/>
      <c r="Q116" s="179"/>
      <c r="R116" s="163"/>
      <c r="S116" s="163"/>
      <c r="T116" s="163"/>
      <c r="U116" s="163"/>
      <c r="V116" s="163"/>
      <c r="W116" s="163"/>
      <c r="X116" s="179"/>
      <c r="Y116" s="163"/>
      <c r="Z116" s="163"/>
      <c r="AA116" s="163"/>
      <c r="AB116" s="163"/>
      <c r="AC116" s="163"/>
      <c r="AD116" s="163"/>
      <c r="AE116" s="163"/>
      <c r="AF116" s="163"/>
      <c r="AG116" s="163"/>
      <c r="AH116" s="163"/>
      <c r="AI116" s="163"/>
      <c r="AJ116" s="163"/>
      <c r="AK116" s="163"/>
      <c r="AL116" s="163"/>
      <c r="AM116" s="163"/>
      <c r="AN116" s="163"/>
      <c r="AO116" s="163"/>
      <c r="AP116" s="163"/>
      <c r="AQ116" s="163"/>
      <c r="AR116" s="179"/>
      <c r="AS116" s="163"/>
      <c r="AT116" s="163"/>
      <c r="AU116" s="163"/>
      <c r="AV116" s="163"/>
      <c r="AW116" s="163"/>
      <c r="AX116" s="163"/>
      <c r="AY116" s="163"/>
      <c r="AZ116" s="163"/>
      <c r="BA116" s="163"/>
      <c r="BB116" s="163"/>
      <c r="BC116" s="163"/>
      <c r="BD116" s="163"/>
      <c r="BE116" s="163"/>
      <c r="BF116" s="163"/>
      <c r="BG116" s="163"/>
      <c r="BH116" s="163"/>
      <c r="BI116" s="163"/>
      <c r="BJ116" s="163"/>
      <c r="BK116" s="163"/>
      <c r="BL116" s="163"/>
      <c r="BM116" s="163"/>
      <c r="BN116" s="163"/>
      <c r="BO116" s="164"/>
      <c r="BP116" s="164"/>
      <c r="BQ116" s="164"/>
      <c r="BR116" s="164"/>
      <c r="BS116" s="176"/>
      <c r="BT116" s="163"/>
      <c r="BU116" s="163"/>
      <c r="BV116" s="163"/>
      <c r="BW116" s="176"/>
    </row>
    <row r="117" spans="1:75" s="117" customFormat="1">
      <c r="B117" s="179"/>
      <c r="C117" s="179"/>
      <c r="D117" s="163"/>
      <c r="E117" s="163"/>
      <c r="F117" s="163"/>
      <c r="G117" s="163"/>
      <c r="H117" s="163"/>
      <c r="I117" s="163"/>
      <c r="J117" s="179"/>
      <c r="K117" s="163"/>
      <c r="L117" s="163"/>
      <c r="M117" s="163"/>
      <c r="N117" s="163"/>
      <c r="O117" s="163"/>
      <c r="P117" s="163"/>
      <c r="Q117" s="179"/>
      <c r="R117" s="163"/>
      <c r="S117" s="163"/>
      <c r="T117" s="163"/>
      <c r="U117" s="163"/>
      <c r="V117" s="163"/>
      <c r="W117" s="163"/>
      <c r="X117" s="179"/>
      <c r="Y117" s="163"/>
      <c r="Z117" s="163"/>
      <c r="AA117" s="163"/>
      <c r="AB117" s="163"/>
      <c r="AC117" s="163"/>
      <c r="AD117" s="163"/>
      <c r="AE117" s="163"/>
      <c r="AF117" s="163"/>
      <c r="AG117" s="163"/>
      <c r="AH117" s="163"/>
      <c r="AI117" s="163"/>
      <c r="AJ117" s="163"/>
      <c r="AK117" s="163"/>
      <c r="AL117" s="163"/>
      <c r="AM117" s="163"/>
      <c r="AN117" s="163"/>
      <c r="AO117" s="163"/>
      <c r="AP117" s="163"/>
      <c r="AQ117" s="163"/>
      <c r="AR117" s="179"/>
      <c r="AS117" s="163"/>
      <c r="AT117" s="163"/>
      <c r="AU117" s="163"/>
      <c r="AV117" s="163"/>
      <c r="AW117" s="163"/>
      <c r="AX117" s="163"/>
      <c r="AY117" s="163"/>
      <c r="AZ117" s="163"/>
      <c r="BA117" s="163"/>
      <c r="BB117" s="163"/>
      <c r="BC117" s="163"/>
      <c r="BD117" s="163"/>
      <c r="BE117" s="163"/>
      <c r="BF117" s="163"/>
      <c r="BG117" s="163"/>
      <c r="BH117" s="163"/>
      <c r="BI117" s="163"/>
      <c r="BJ117" s="163"/>
      <c r="BK117" s="163"/>
      <c r="BL117" s="163"/>
      <c r="BM117" s="163"/>
      <c r="BN117" s="163"/>
      <c r="BO117" s="164"/>
      <c r="BP117" s="164"/>
      <c r="BQ117" s="164"/>
      <c r="BR117" s="164"/>
      <c r="BS117" s="176"/>
      <c r="BT117" s="163"/>
      <c r="BU117" s="163"/>
      <c r="BV117" s="163"/>
      <c r="BW117" s="176"/>
    </row>
    <row r="118" spans="1:75" s="117" customFormat="1">
      <c r="B118" s="179"/>
      <c r="C118" s="179"/>
      <c r="D118" s="163"/>
      <c r="E118" s="163"/>
      <c r="F118" s="163"/>
      <c r="G118" s="163"/>
      <c r="H118" s="163"/>
      <c r="I118" s="163"/>
      <c r="J118" s="179"/>
      <c r="K118" s="163"/>
      <c r="L118" s="163"/>
      <c r="M118" s="163"/>
      <c r="N118" s="163"/>
      <c r="O118" s="163"/>
      <c r="P118" s="163"/>
      <c r="Q118" s="179"/>
      <c r="R118" s="163"/>
      <c r="S118" s="163"/>
      <c r="T118" s="163"/>
      <c r="U118" s="163"/>
      <c r="V118" s="163"/>
      <c r="W118" s="163"/>
      <c r="X118" s="179"/>
      <c r="Y118" s="163"/>
      <c r="Z118" s="163"/>
      <c r="AA118" s="163"/>
      <c r="AB118" s="163"/>
      <c r="AC118" s="163"/>
      <c r="AD118" s="163"/>
      <c r="AE118" s="163"/>
      <c r="AF118" s="163"/>
      <c r="AG118" s="163"/>
      <c r="AH118" s="163"/>
      <c r="AI118" s="163"/>
      <c r="AJ118" s="163"/>
      <c r="AK118" s="163"/>
      <c r="AL118" s="163"/>
      <c r="AM118" s="163"/>
      <c r="AN118" s="163"/>
      <c r="AO118" s="163"/>
      <c r="AP118" s="163"/>
      <c r="AQ118" s="163"/>
      <c r="AR118" s="179"/>
      <c r="AS118" s="163"/>
      <c r="AT118" s="163"/>
      <c r="AU118" s="163"/>
      <c r="AV118" s="163"/>
      <c r="AW118" s="163"/>
      <c r="AX118" s="163"/>
      <c r="AY118" s="163"/>
      <c r="AZ118" s="163"/>
      <c r="BA118" s="163"/>
      <c r="BB118" s="163"/>
      <c r="BC118" s="163"/>
      <c r="BD118" s="163"/>
      <c r="BE118" s="163"/>
      <c r="BF118" s="163"/>
      <c r="BG118" s="163"/>
      <c r="BH118" s="163"/>
      <c r="BI118" s="163"/>
      <c r="BJ118" s="163"/>
      <c r="BK118" s="163"/>
      <c r="BL118" s="163"/>
      <c r="BM118" s="163"/>
      <c r="BN118" s="163"/>
      <c r="BO118" s="164"/>
      <c r="BP118" s="164"/>
      <c r="BQ118" s="164"/>
      <c r="BR118" s="164"/>
      <c r="BS118" s="176"/>
      <c r="BT118" s="163"/>
      <c r="BU118" s="163"/>
      <c r="BV118" s="163"/>
      <c r="BW118" s="176"/>
    </row>
    <row r="119" spans="1:75" s="117" customFormat="1">
      <c r="B119" s="179"/>
      <c r="C119" s="179"/>
      <c r="D119" s="163"/>
      <c r="E119" s="163"/>
      <c r="F119" s="163"/>
      <c r="G119" s="163"/>
      <c r="H119" s="163"/>
      <c r="I119" s="163"/>
      <c r="J119" s="179"/>
      <c r="K119" s="163"/>
      <c r="L119" s="163"/>
      <c r="M119" s="163"/>
      <c r="N119" s="163"/>
      <c r="O119" s="163"/>
      <c r="P119" s="163"/>
      <c r="Q119" s="179"/>
      <c r="R119" s="163"/>
      <c r="S119" s="163"/>
      <c r="T119" s="163"/>
      <c r="U119" s="163"/>
      <c r="V119" s="163"/>
      <c r="W119" s="163"/>
      <c r="X119" s="179"/>
      <c r="Y119" s="163"/>
      <c r="Z119" s="163"/>
      <c r="AA119" s="163"/>
      <c r="AB119" s="163"/>
      <c r="AC119" s="163"/>
      <c r="AD119" s="163"/>
      <c r="AE119" s="163"/>
      <c r="AF119" s="163"/>
      <c r="AG119" s="163"/>
      <c r="AH119" s="163"/>
      <c r="AI119" s="163"/>
      <c r="AJ119" s="163"/>
      <c r="AK119" s="163"/>
      <c r="AL119" s="163"/>
      <c r="AM119" s="163"/>
      <c r="AN119" s="163"/>
      <c r="AO119" s="163"/>
      <c r="AP119" s="163"/>
      <c r="AQ119" s="163"/>
      <c r="AR119" s="179"/>
      <c r="AS119" s="163"/>
      <c r="AT119" s="163"/>
      <c r="AU119" s="163"/>
      <c r="AV119" s="163"/>
      <c r="AW119" s="163"/>
      <c r="AX119" s="163"/>
      <c r="AY119" s="163"/>
      <c r="AZ119" s="163"/>
      <c r="BA119" s="163"/>
      <c r="BB119" s="163"/>
      <c r="BC119" s="163"/>
      <c r="BD119" s="163"/>
      <c r="BE119" s="163"/>
      <c r="BF119" s="163"/>
      <c r="BG119" s="163"/>
      <c r="BH119" s="163"/>
      <c r="BI119" s="163"/>
      <c r="BJ119" s="163"/>
      <c r="BK119" s="163"/>
      <c r="BL119" s="163"/>
      <c r="BM119" s="163"/>
      <c r="BN119" s="163"/>
      <c r="BO119" s="164"/>
      <c r="BP119" s="164"/>
      <c r="BQ119" s="164"/>
      <c r="BR119" s="164"/>
      <c r="BS119" s="176"/>
      <c r="BT119" s="163"/>
      <c r="BU119" s="163"/>
      <c r="BV119" s="163"/>
      <c r="BW119" s="176"/>
    </row>
    <row r="120" spans="1:75" s="117" customFormat="1" outlineLevel="1">
      <c r="B120" s="179"/>
      <c r="C120" s="179"/>
      <c r="D120" s="182"/>
      <c r="E120" s="182"/>
      <c r="F120" s="182"/>
      <c r="G120" s="182"/>
      <c r="H120" s="182"/>
      <c r="I120" s="182"/>
      <c r="J120" s="179"/>
      <c r="K120" s="182"/>
      <c r="L120" s="182"/>
      <c r="M120" s="182"/>
      <c r="N120" s="182"/>
      <c r="O120" s="182"/>
      <c r="P120" s="182"/>
      <c r="Q120" s="179"/>
      <c r="R120" s="182"/>
      <c r="S120" s="182"/>
      <c r="T120" s="182"/>
      <c r="U120" s="182"/>
      <c r="V120" s="182"/>
      <c r="W120" s="182"/>
      <c r="X120" s="179"/>
      <c r="Y120" s="182"/>
      <c r="Z120" s="182"/>
      <c r="AA120" s="182"/>
      <c r="AB120" s="182"/>
      <c r="AC120" s="182"/>
      <c r="AD120" s="182"/>
      <c r="AE120" s="182"/>
      <c r="AF120" s="182"/>
      <c r="AG120" s="182"/>
      <c r="AH120" s="182"/>
      <c r="AI120" s="182"/>
      <c r="AJ120" s="182"/>
      <c r="AK120" s="182"/>
      <c r="AL120" s="182"/>
      <c r="AM120" s="182"/>
      <c r="AN120" s="182"/>
      <c r="AO120" s="182"/>
      <c r="AP120" s="182"/>
      <c r="AQ120" s="182"/>
      <c r="AR120" s="179"/>
      <c r="AS120" s="182"/>
      <c r="AT120" s="182"/>
      <c r="AU120" s="182"/>
      <c r="AV120" s="182"/>
      <c r="AW120" s="182"/>
      <c r="AX120" s="182"/>
      <c r="AY120" s="182"/>
      <c r="AZ120" s="182"/>
      <c r="BA120" s="182"/>
      <c r="BB120" s="182"/>
      <c r="BC120" s="182"/>
      <c r="BD120" s="182"/>
      <c r="BE120" s="182"/>
      <c r="BF120" s="182"/>
      <c r="BG120" s="182"/>
      <c r="BH120" s="182"/>
      <c r="BI120" s="182"/>
      <c r="BJ120" s="182"/>
      <c r="BK120" s="182"/>
      <c r="BL120" s="182"/>
      <c r="BM120" s="182"/>
      <c r="BN120" s="182"/>
      <c r="BO120" s="164"/>
      <c r="BP120" s="164"/>
      <c r="BQ120" s="164"/>
      <c r="BR120" s="164"/>
      <c r="BS120" s="176"/>
      <c r="BT120" s="182"/>
      <c r="BU120" s="182"/>
      <c r="BV120" s="182"/>
      <c r="BW120" s="176"/>
    </row>
    <row r="121" spans="1:75" s="117" customFormat="1" outlineLevel="1">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7"/>
      <c r="BP121" s="167"/>
      <c r="BQ121" s="167"/>
      <c r="BR121" s="164"/>
      <c r="BS121" s="184"/>
      <c r="BT121" s="166"/>
      <c r="BU121" s="166"/>
      <c r="BV121" s="166"/>
      <c r="BW121" s="184"/>
    </row>
    <row r="122" spans="1:75" s="117" customFormat="1" outlineLevel="1">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7"/>
      <c r="BP122" s="167"/>
      <c r="BQ122" s="167"/>
      <c r="BR122" s="164"/>
      <c r="BS122" s="184"/>
      <c r="BT122" s="166"/>
      <c r="BU122" s="166"/>
      <c r="BV122" s="166"/>
      <c r="BW122" s="184"/>
    </row>
    <row r="123" spans="1:75" s="117" customFormat="1" outlineLevel="1">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7"/>
      <c r="BP123" s="167"/>
      <c r="BQ123" s="167"/>
      <c r="BR123" s="164"/>
      <c r="BS123" s="184"/>
      <c r="BT123" s="166"/>
      <c r="BU123" s="166"/>
      <c r="BV123" s="166"/>
      <c r="BW123" s="184"/>
    </row>
    <row r="124" spans="1:75" s="117" customFormat="1" outlineLevel="1">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7"/>
      <c r="BP124" s="167"/>
      <c r="BQ124" s="167"/>
      <c r="BR124" s="164"/>
      <c r="BS124" s="184"/>
      <c r="BT124" s="166"/>
      <c r="BU124" s="166"/>
      <c r="BV124" s="166"/>
      <c r="BW124" s="184"/>
    </row>
    <row r="125" spans="1:75" s="117" customFormat="1" outlineLevel="1">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7"/>
      <c r="BP125" s="167"/>
      <c r="BQ125" s="167"/>
      <c r="BR125" s="164"/>
      <c r="BS125" s="184"/>
      <c r="BT125" s="166"/>
      <c r="BU125" s="166"/>
      <c r="BV125" s="166"/>
      <c r="BW125" s="184"/>
    </row>
    <row r="126" spans="1:75" s="117" customFormat="1" outlineLevel="1">
      <c r="A126" s="9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c r="AA126" s="185"/>
      <c r="AB126" s="185"/>
      <c r="AC126" s="185"/>
      <c r="AD126" s="185"/>
      <c r="AE126" s="185"/>
      <c r="AF126" s="185"/>
      <c r="AG126" s="185"/>
      <c r="AH126" s="185"/>
      <c r="AI126" s="185"/>
      <c r="AJ126" s="185"/>
      <c r="AK126" s="185"/>
      <c r="AL126" s="185"/>
      <c r="AM126" s="185"/>
      <c r="AN126" s="185"/>
      <c r="AO126" s="185"/>
      <c r="AP126" s="185"/>
      <c r="AQ126" s="185"/>
      <c r="AR126" s="185"/>
      <c r="AS126" s="185"/>
      <c r="AT126" s="185"/>
      <c r="AU126" s="185"/>
      <c r="AV126" s="185"/>
      <c r="AW126" s="185"/>
      <c r="AX126" s="185"/>
      <c r="AY126" s="185"/>
      <c r="AZ126" s="185"/>
      <c r="BA126" s="185"/>
      <c r="BB126" s="185"/>
      <c r="BC126" s="185"/>
      <c r="BD126" s="185"/>
      <c r="BE126" s="185"/>
      <c r="BF126" s="185"/>
      <c r="BG126" s="185"/>
      <c r="BH126" s="185"/>
      <c r="BI126" s="185"/>
      <c r="BJ126" s="185"/>
      <c r="BK126" s="185"/>
      <c r="BL126" s="185"/>
      <c r="BM126" s="185"/>
      <c r="BN126" s="185"/>
      <c r="BO126" s="156"/>
      <c r="BP126" s="156"/>
      <c r="BQ126" s="156"/>
      <c r="BR126" s="156"/>
      <c r="BS126" s="156"/>
      <c r="BT126" s="185"/>
      <c r="BU126" s="185"/>
      <c r="BV126" s="185"/>
      <c r="BW126" s="156"/>
    </row>
    <row r="127" spans="1:75" s="117" customFormat="1" outlineLevel="1">
      <c r="B127" s="157"/>
      <c r="C127" s="157"/>
      <c r="D127" s="95"/>
      <c r="E127" s="95"/>
      <c r="F127" s="95"/>
      <c r="G127" s="95"/>
      <c r="H127" s="95"/>
      <c r="I127" s="95"/>
      <c r="J127" s="157"/>
      <c r="K127" s="95"/>
      <c r="L127" s="95"/>
      <c r="M127" s="95"/>
      <c r="N127" s="95"/>
      <c r="O127" s="95"/>
      <c r="P127" s="95"/>
      <c r="Q127" s="157"/>
      <c r="R127" s="95"/>
      <c r="S127" s="95"/>
      <c r="T127" s="95"/>
      <c r="U127" s="95"/>
      <c r="V127" s="95"/>
      <c r="W127" s="95"/>
      <c r="X127" s="157"/>
      <c r="Y127" s="95"/>
      <c r="Z127" s="95"/>
      <c r="AA127" s="95"/>
      <c r="AB127" s="95"/>
      <c r="AC127" s="95"/>
      <c r="AD127" s="95"/>
      <c r="AE127" s="95"/>
      <c r="AF127" s="95"/>
      <c r="AG127" s="95"/>
      <c r="AH127" s="95"/>
      <c r="AI127" s="95"/>
      <c r="AJ127" s="95"/>
      <c r="AK127" s="95"/>
      <c r="AL127" s="95"/>
      <c r="AM127" s="95"/>
      <c r="AN127" s="95"/>
      <c r="AO127" s="95"/>
      <c r="AP127" s="95"/>
      <c r="AQ127" s="95"/>
      <c r="AR127" s="157"/>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158"/>
      <c r="BP127" s="158"/>
      <c r="BQ127" s="158"/>
      <c r="BR127" s="162"/>
      <c r="BS127" s="176"/>
      <c r="BT127" s="95"/>
      <c r="BU127" s="95"/>
      <c r="BV127" s="95"/>
      <c r="BW127" s="176"/>
    </row>
    <row r="128" spans="1:75" s="117" customFormat="1" outlineLevel="1">
      <c r="B128" s="95"/>
      <c r="C128" s="95"/>
      <c r="D128" s="159"/>
      <c r="E128" s="159"/>
      <c r="F128" s="159"/>
      <c r="G128" s="159"/>
      <c r="H128" s="159"/>
      <c r="I128" s="159"/>
      <c r="J128" s="95"/>
      <c r="K128" s="159"/>
      <c r="L128" s="159"/>
      <c r="M128" s="159"/>
      <c r="N128" s="159"/>
      <c r="O128" s="159"/>
      <c r="P128" s="159"/>
      <c r="Q128" s="95"/>
      <c r="R128" s="159"/>
      <c r="S128" s="159"/>
      <c r="T128" s="159"/>
      <c r="U128" s="159"/>
      <c r="V128" s="159"/>
      <c r="W128" s="159"/>
      <c r="X128" s="95"/>
      <c r="Y128" s="159"/>
      <c r="Z128" s="159"/>
      <c r="AA128" s="159"/>
      <c r="AB128" s="159"/>
      <c r="AC128" s="159"/>
      <c r="AD128" s="159"/>
      <c r="AE128" s="159"/>
      <c r="AF128" s="159"/>
      <c r="AG128" s="159"/>
      <c r="AH128" s="159"/>
      <c r="AI128" s="159"/>
      <c r="AJ128" s="159"/>
      <c r="AK128" s="159"/>
      <c r="AL128" s="159"/>
      <c r="AM128" s="159"/>
      <c r="AN128" s="159"/>
      <c r="AO128" s="159"/>
      <c r="AP128" s="159"/>
      <c r="AQ128" s="159"/>
      <c r="AR128" s="95"/>
      <c r="AS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O128" s="161"/>
      <c r="BP128" s="161"/>
      <c r="BQ128" s="161"/>
      <c r="BR128" s="162"/>
      <c r="BS128" s="176"/>
      <c r="BT128" s="159"/>
      <c r="BU128" s="159"/>
      <c r="BV128" s="159"/>
      <c r="BW128" s="176"/>
    </row>
    <row r="129" spans="2:75" s="117" customFormat="1" outlineLevel="1">
      <c r="B129" s="95"/>
      <c r="C129" s="95"/>
      <c r="D129" s="95"/>
      <c r="E129" s="95"/>
      <c r="F129" s="95"/>
      <c r="G129" s="95"/>
      <c r="J129" s="95"/>
      <c r="K129" s="95"/>
      <c r="L129" s="95"/>
      <c r="M129" s="95"/>
      <c r="N129" s="95"/>
      <c r="Q129" s="95"/>
      <c r="R129" s="95"/>
      <c r="S129" s="95"/>
      <c r="T129" s="95"/>
      <c r="U129" s="95"/>
      <c r="X129" s="95"/>
      <c r="Y129" s="95"/>
      <c r="Z129" s="95"/>
      <c r="AA129" s="95"/>
      <c r="AB129" s="95"/>
      <c r="AR129" s="95"/>
      <c r="AS129" s="95"/>
      <c r="AT129" s="95"/>
      <c r="AU129" s="95"/>
      <c r="AV129" s="95"/>
      <c r="AX129" s="95"/>
      <c r="AY129" s="95"/>
      <c r="AZ129" s="95"/>
      <c r="BA129" s="95"/>
      <c r="BB129" s="95"/>
      <c r="BC129" s="95"/>
      <c r="BD129" s="95"/>
      <c r="BE129" s="95"/>
      <c r="BF129" s="95"/>
      <c r="BG129" s="95"/>
      <c r="BH129" s="95"/>
      <c r="BI129" s="95"/>
      <c r="BJ129" s="95"/>
      <c r="BK129" s="95"/>
      <c r="BL129" s="95"/>
      <c r="BM129" s="95"/>
      <c r="BN129" s="95"/>
      <c r="BO129" s="162"/>
      <c r="BP129" s="162"/>
      <c r="BQ129" s="162"/>
      <c r="BR129" s="162"/>
      <c r="BS129" s="176"/>
      <c r="BT129" s="95"/>
      <c r="BU129" s="95"/>
      <c r="BV129" s="95"/>
      <c r="BW129" s="176"/>
    </row>
    <row r="130" spans="2:75" s="117" customFormat="1" collapsed="1">
      <c r="B130" s="179"/>
      <c r="C130" s="179"/>
      <c r="D130" s="163"/>
      <c r="E130" s="163"/>
      <c r="F130" s="163"/>
      <c r="G130" s="163"/>
      <c r="H130" s="163"/>
      <c r="I130" s="163"/>
      <c r="J130" s="179"/>
      <c r="K130" s="163"/>
      <c r="L130" s="163"/>
      <c r="M130" s="163"/>
      <c r="N130" s="163"/>
      <c r="O130" s="163"/>
      <c r="P130" s="163"/>
      <c r="Q130" s="179"/>
      <c r="R130" s="163"/>
      <c r="S130" s="163"/>
      <c r="T130" s="163"/>
      <c r="U130" s="163"/>
      <c r="V130" s="163"/>
      <c r="W130" s="163"/>
      <c r="X130" s="179"/>
      <c r="Y130" s="163"/>
      <c r="Z130" s="163"/>
      <c r="AA130" s="163"/>
      <c r="AB130" s="163"/>
      <c r="AC130" s="163"/>
      <c r="AD130" s="163"/>
      <c r="AE130" s="163"/>
      <c r="AF130" s="163"/>
      <c r="AG130" s="163"/>
      <c r="AH130" s="163"/>
      <c r="AI130" s="163"/>
      <c r="AJ130" s="163"/>
      <c r="AK130" s="163"/>
      <c r="AL130" s="163"/>
      <c r="AM130" s="163"/>
      <c r="AN130" s="163"/>
      <c r="AO130" s="163"/>
      <c r="AP130" s="163"/>
      <c r="AQ130" s="163"/>
      <c r="AR130" s="179"/>
      <c r="AS130" s="163"/>
      <c r="AT130" s="163"/>
      <c r="AU130" s="163"/>
      <c r="AV130" s="163"/>
      <c r="AW130" s="163"/>
      <c r="AX130" s="163"/>
      <c r="AY130" s="163"/>
      <c r="AZ130" s="163"/>
      <c r="BA130" s="163"/>
      <c r="BB130" s="163"/>
      <c r="BC130" s="163"/>
      <c r="BD130" s="163"/>
      <c r="BE130" s="163"/>
      <c r="BF130" s="163"/>
      <c r="BG130" s="163"/>
      <c r="BH130" s="163"/>
      <c r="BI130" s="163"/>
      <c r="BJ130" s="163"/>
      <c r="BK130" s="163"/>
      <c r="BL130" s="163"/>
      <c r="BM130" s="163"/>
      <c r="BN130" s="163"/>
      <c r="BO130" s="164"/>
      <c r="BP130" s="164"/>
      <c r="BQ130" s="164"/>
      <c r="BR130" s="162"/>
      <c r="BS130" s="176"/>
      <c r="BT130" s="163"/>
      <c r="BU130" s="163"/>
      <c r="BV130" s="163"/>
      <c r="BW130" s="176"/>
    </row>
    <row r="131" spans="2:75" s="117" customFormat="1">
      <c r="B131" s="179"/>
      <c r="C131" s="179"/>
      <c r="D131" s="163"/>
      <c r="E131" s="163"/>
      <c r="F131" s="163"/>
      <c r="G131" s="163"/>
      <c r="H131" s="163"/>
      <c r="I131" s="163"/>
      <c r="J131" s="179"/>
      <c r="K131" s="163"/>
      <c r="L131" s="163"/>
      <c r="M131" s="163"/>
      <c r="N131" s="163"/>
      <c r="O131" s="163"/>
      <c r="P131" s="163"/>
      <c r="Q131" s="179"/>
      <c r="R131" s="163"/>
      <c r="S131" s="163"/>
      <c r="T131" s="163"/>
      <c r="U131" s="163"/>
      <c r="V131" s="163"/>
      <c r="W131" s="163"/>
      <c r="X131" s="179"/>
      <c r="Y131" s="163"/>
      <c r="Z131" s="163"/>
      <c r="AA131" s="163"/>
      <c r="AB131" s="163"/>
      <c r="AC131" s="163"/>
      <c r="AD131" s="163"/>
      <c r="AE131" s="163"/>
      <c r="AF131" s="163"/>
      <c r="AG131" s="163"/>
      <c r="AH131" s="163"/>
      <c r="AI131" s="163"/>
      <c r="AJ131" s="163"/>
      <c r="AK131" s="163"/>
      <c r="AL131" s="163"/>
      <c r="AM131" s="163"/>
      <c r="AN131" s="163"/>
      <c r="AO131" s="163"/>
      <c r="AP131" s="163"/>
      <c r="AQ131" s="163"/>
      <c r="AR131" s="179"/>
      <c r="AS131" s="163"/>
      <c r="AT131" s="163"/>
      <c r="AU131" s="163"/>
      <c r="AV131" s="163"/>
      <c r="AW131" s="163"/>
      <c r="AX131" s="163"/>
      <c r="AY131" s="163"/>
      <c r="AZ131" s="163"/>
      <c r="BA131" s="163"/>
      <c r="BB131" s="163"/>
      <c r="BC131" s="163"/>
      <c r="BD131" s="163"/>
      <c r="BE131" s="163"/>
      <c r="BF131" s="163"/>
      <c r="BG131" s="163"/>
      <c r="BH131" s="163"/>
      <c r="BI131" s="163"/>
      <c r="BJ131" s="163"/>
      <c r="BK131" s="163"/>
      <c r="BL131" s="163"/>
      <c r="BM131" s="163"/>
      <c r="BN131" s="163"/>
      <c r="BO131" s="164"/>
      <c r="BP131" s="164"/>
      <c r="BQ131" s="164"/>
      <c r="BR131" s="162"/>
      <c r="BS131" s="176"/>
      <c r="BT131" s="163"/>
      <c r="BU131" s="163"/>
      <c r="BV131" s="163"/>
      <c r="BW131" s="176"/>
    </row>
    <row r="132" spans="2:75" s="117" customFormat="1">
      <c r="B132" s="179"/>
      <c r="C132" s="179"/>
      <c r="D132" s="163"/>
      <c r="E132" s="163"/>
      <c r="F132" s="163"/>
      <c r="G132" s="163"/>
      <c r="H132" s="163"/>
      <c r="I132" s="163"/>
      <c r="J132" s="179"/>
      <c r="K132" s="163"/>
      <c r="L132" s="163"/>
      <c r="M132" s="163"/>
      <c r="N132" s="163"/>
      <c r="O132" s="163"/>
      <c r="P132" s="163"/>
      <c r="Q132" s="179"/>
      <c r="R132" s="163"/>
      <c r="S132" s="163"/>
      <c r="T132" s="163"/>
      <c r="U132" s="163"/>
      <c r="V132" s="163"/>
      <c r="W132" s="163"/>
      <c r="X132" s="179"/>
      <c r="Y132" s="163"/>
      <c r="Z132" s="163"/>
      <c r="AA132" s="163"/>
      <c r="AB132" s="163"/>
      <c r="AC132" s="163"/>
      <c r="AD132" s="163"/>
      <c r="AE132" s="163"/>
      <c r="AF132" s="163"/>
      <c r="AG132" s="163"/>
      <c r="AH132" s="163"/>
      <c r="AI132" s="163"/>
      <c r="AJ132" s="163"/>
      <c r="AK132" s="163"/>
      <c r="AL132" s="163"/>
      <c r="AM132" s="163"/>
      <c r="AN132" s="163"/>
      <c r="AO132" s="163"/>
      <c r="AP132" s="163"/>
      <c r="AQ132" s="163"/>
      <c r="AR132" s="179"/>
      <c r="AS132" s="163"/>
      <c r="AT132" s="163"/>
      <c r="AU132" s="163"/>
      <c r="AV132" s="163"/>
      <c r="AW132" s="163"/>
      <c r="AX132" s="163"/>
      <c r="AY132" s="163"/>
      <c r="AZ132" s="163"/>
      <c r="BA132" s="163"/>
      <c r="BB132" s="163"/>
      <c r="BC132" s="163"/>
      <c r="BD132" s="163"/>
      <c r="BE132" s="163"/>
      <c r="BF132" s="163"/>
      <c r="BG132" s="163"/>
      <c r="BH132" s="163"/>
      <c r="BI132" s="163"/>
      <c r="BJ132" s="163"/>
      <c r="BK132" s="163"/>
      <c r="BL132" s="163"/>
      <c r="BM132" s="163"/>
      <c r="BN132" s="163"/>
      <c r="BO132" s="164"/>
      <c r="BP132" s="164"/>
      <c r="BQ132" s="164"/>
      <c r="BR132" s="162"/>
      <c r="BS132" s="176"/>
      <c r="BT132" s="163"/>
      <c r="BU132" s="163"/>
      <c r="BV132" s="163"/>
      <c r="BW132" s="176"/>
    </row>
    <row r="133" spans="2:75" s="117" customFormat="1" outlineLevel="1">
      <c r="B133" s="179"/>
      <c r="C133" s="179"/>
      <c r="D133" s="163"/>
      <c r="E133" s="163"/>
      <c r="F133" s="163"/>
      <c r="G133" s="163"/>
      <c r="H133" s="163"/>
      <c r="I133" s="163"/>
      <c r="J133" s="179"/>
      <c r="K133" s="163"/>
      <c r="L133" s="163"/>
      <c r="M133" s="163"/>
      <c r="N133" s="163"/>
      <c r="O133" s="163"/>
      <c r="P133" s="163"/>
      <c r="Q133" s="179"/>
      <c r="R133" s="163"/>
      <c r="S133" s="163"/>
      <c r="T133" s="163"/>
      <c r="U133" s="163"/>
      <c r="V133" s="163"/>
      <c r="W133" s="163"/>
      <c r="X133" s="179"/>
      <c r="Y133" s="163"/>
      <c r="Z133" s="163"/>
      <c r="AA133" s="163"/>
      <c r="AB133" s="163"/>
      <c r="AC133" s="163"/>
      <c r="AD133" s="163"/>
      <c r="AE133" s="163"/>
      <c r="AF133" s="163"/>
      <c r="AG133" s="163"/>
      <c r="AH133" s="163"/>
      <c r="AI133" s="163"/>
      <c r="AJ133" s="163"/>
      <c r="AK133" s="163"/>
      <c r="AL133" s="163"/>
      <c r="AM133" s="163"/>
      <c r="AN133" s="163"/>
      <c r="AO133" s="163"/>
      <c r="AP133" s="163"/>
      <c r="AQ133" s="163"/>
      <c r="AR133" s="179"/>
      <c r="AS133" s="163"/>
      <c r="AT133" s="163"/>
      <c r="AU133" s="163"/>
      <c r="AV133" s="163"/>
      <c r="AW133" s="163"/>
      <c r="AX133" s="163"/>
      <c r="AY133" s="163"/>
      <c r="AZ133" s="163"/>
      <c r="BA133" s="163"/>
      <c r="BB133" s="163"/>
      <c r="BC133" s="163"/>
      <c r="BD133" s="163"/>
      <c r="BE133" s="163"/>
      <c r="BF133" s="163"/>
      <c r="BG133" s="163"/>
      <c r="BH133" s="163"/>
      <c r="BI133" s="163"/>
      <c r="BJ133" s="163"/>
      <c r="BK133" s="163"/>
      <c r="BL133" s="163"/>
      <c r="BM133" s="163"/>
      <c r="BN133" s="163"/>
      <c r="BO133" s="164"/>
      <c r="BP133" s="164"/>
      <c r="BQ133" s="164"/>
      <c r="BR133" s="162"/>
      <c r="BS133" s="176"/>
      <c r="BT133" s="163"/>
      <c r="BU133" s="163"/>
      <c r="BV133" s="163"/>
      <c r="BW133" s="176"/>
    </row>
    <row r="134" spans="2:75" s="117" customFormat="1" outlineLevel="1">
      <c r="B134" s="179"/>
      <c r="C134" s="179"/>
      <c r="D134" s="163"/>
      <c r="E134" s="163"/>
      <c r="F134" s="163"/>
      <c r="G134" s="163"/>
      <c r="H134" s="163"/>
      <c r="I134" s="163"/>
      <c r="J134" s="179"/>
      <c r="K134" s="163"/>
      <c r="L134" s="163"/>
      <c r="M134" s="163"/>
      <c r="N134" s="163"/>
      <c r="O134" s="163"/>
      <c r="P134" s="163"/>
      <c r="Q134" s="179"/>
      <c r="R134" s="163"/>
      <c r="S134" s="163"/>
      <c r="T134" s="163"/>
      <c r="U134" s="163"/>
      <c r="V134" s="163"/>
      <c r="W134" s="163"/>
      <c r="X134" s="179"/>
      <c r="Y134" s="163"/>
      <c r="Z134" s="163"/>
      <c r="AA134" s="163"/>
      <c r="AB134" s="163"/>
      <c r="AC134" s="163"/>
      <c r="AD134" s="163"/>
      <c r="AE134" s="163"/>
      <c r="AF134" s="163"/>
      <c r="AG134" s="163"/>
      <c r="AH134" s="163"/>
      <c r="AI134" s="163"/>
      <c r="AJ134" s="163"/>
      <c r="AK134" s="163"/>
      <c r="AL134" s="163"/>
      <c r="AM134" s="163"/>
      <c r="AN134" s="163"/>
      <c r="AO134" s="163"/>
      <c r="AP134" s="163"/>
      <c r="AQ134" s="163"/>
      <c r="AR134" s="179"/>
      <c r="AS134" s="163"/>
      <c r="AT134" s="163"/>
      <c r="AU134" s="163"/>
      <c r="AV134" s="163"/>
      <c r="AW134" s="163"/>
      <c r="AX134" s="163"/>
      <c r="AY134" s="163"/>
      <c r="AZ134" s="163"/>
      <c r="BA134" s="163"/>
      <c r="BB134" s="163"/>
      <c r="BC134" s="163"/>
      <c r="BD134" s="163"/>
      <c r="BE134" s="163"/>
      <c r="BF134" s="163"/>
      <c r="BG134" s="163"/>
      <c r="BH134" s="163"/>
      <c r="BI134" s="163"/>
      <c r="BJ134" s="163"/>
      <c r="BK134" s="163"/>
      <c r="BL134" s="163"/>
      <c r="BM134" s="163"/>
      <c r="BN134" s="163"/>
      <c r="BO134" s="164"/>
      <c r="BP134" s="164"/>
      <c r="BQ134" s="164"/>
      <c r="BR134" s="162"/>
      <c r="BS134" s="176"/>
      <c r="BT134" s="163"/>
      <c r="BU134" s="163"/>
      <c r="BV134" s="163"/>
      <c r="BW134" s="176"/>
    </row>
    <row r="135" spans="2:75" s="117" customFormat="1" outlineLevel="1">
      <c r="B135" s="179"/>
      <c r="C135" s="179"/>
      <c r="D135" s="163"/>
      <c r="E135" s="163"/>
      <c r="F135" s="163"/>
      <c r="G135" s="163"/>
      <c r="H135" s="163"/>
      <c r="I135" s="163"/>
      <c r="J135" s="179"/>
      <c r="K135" s="163"/>
      <c r="L135" s="163"/>
      <c r="M135" s="163"/>
      <c r="N135" s="163"/>
      <c r="O135" s="163"/>
      <c r="P135" s="163"/>
      <c r="Q135" s="179"/>
      <c r="R135" s="163"/>
      <c r="S135" s="163"/>
      <c r="T135" s="163"/>
      <c r="U135" s="163"/>
      <c r="V135" s="163"/>
      <c r="W135" s="163"/>
      <c r="X135" s="179"/>
      <c r="Y135" s="163"/>
      <c r="Z135" s="163"/>
      <c r="AA135" s="163"/>
      <c r="AB135" s="163"/>
      <c r="AC135" s="163"/>
      <c r="AD135" s="163"/>
      <c r="AE135" s="163"/>
      <c r="AF135" s="163"/>
      <c r="AG135" s="163"/>
      <c r="AH135" s="163"/>
      <c r="AI135" s="163"/>
      <c r="AJ135" s="163"/>
      <c r="AK135" s="163"/>
      <c r="AL135" s="163"/>
      <c r="AM135" s="163"/>
      <c r="AN135" s="163"/>
      <c r="AO135" s="163"/>
      <c r="AP135" s="163"/>
      <c r="AQ135" s="163"/>
      <c r="AR135" s="179"/>
      <c r="AS135" s="163"/>
      <c r="AT135" s="163"/>
      <c r="AU135" s="163"/>
      <c r="AV135" s="163"/>
      <c r="AW135" s="163"/>
      <c r="AX135" s="163"/>
      <c r="AY135" s="163"/>
      <c r="AZ135" s="163"/>
      <c r="BA135" s="163"/>
      <c r="BB135" s="163"/>
      <c r="BC135" s="163"/>
      <c r="BD135" s="163"/>
      <c r="BE135" s="163"/>
      <c r="BF135" s="163"/>
      <c r="BG135" s="163"/>
      <c r="BH135" s="163"/>
      <c r="BI135" s="163"/>
      <c r="BJ135" s="163"/>
      <c r="BK135" s="163"/>
      <c r="BL135" s="163"/>
      <c r="BM135" s="163"/>
      <c r="BN135" s="163"/>
      <c r="BO135" s="164"/>
      <c r="BP135" s="164"/>
      <c r="BQ135" s="164"/>
      <c r="BR135" s="162"/>
      <c r="BS135" s="176"/>
      <c r="BT135" s="163"/>
      <c r="BU135" s="163"/>
      <c r="BV135" s="163"/>
      <c r="BW135" s="176"/>
    </row>
    <row r="136" spans="2:75" s="117" customFormat="1" outlineLevel="1">
      <c r="B136" s="179"/>
      <c r="C136" s="179"/>
      <c r="D136" s="163"/>
      <c r="E136" s="163"/>
      <c r="F136" s="163"/>
      <c r="G136" s="163"/>
      <c r="H136" s="163"/>
      <c r="I136" s="163"/>
      <c r="J136" s="179"/>
      <c r="K136" s="163"/>
      <c r="L136" s="163"/>
      <c r="M136" s="163"/>
      <c r="N136" s="163"/>
      <c r="O136" s="163"/>
      <c r="P136" s="163"/>
      <c r="Q136" s="179"/>
      <c r="R136" s="163"/>
      <c r="S136" s="163"/>
      <c r="T136" s="163"/>
      <c r="U136" s="163"/>
      <c r="V136" s="163"/>
      <c r="W136" s="163"/>
      <c r="X136" s="179"/>
      <c r="Y136" s="163"/>
      <c r="Z136" s="163"/>
      <c r="AA136" s="163"/>
      <c r="AB136" s="163"/>
      <c r="AC136" s="163"/>
      <c r="AD136" s="163"/>
      <c r="AE136" s="163"/>
      <c r="AF136" s="163"/>
      <c r="AG136" s="163"/>
      <c r="AH136" s="163"/>
      <c r="AI136" s="163"/>
      <c r="AJ136" s="163"/>
      <c r="AK136" s="163"/>
      <c r="AL136" s="163"/>
      <c r="AM136" s="163"/>
      <c r="AN136" s="163"/>
      <c r="AO136" s="163"/>
      <c r="AP136" s="163"/>
      <c r="AQ136" s="163"/>
      <c r="AR136" s="179"/>
      <c r="AS136" s="163"/>
      <c r="AT136" s="163"/>
      <c r="AU136" s="163"/>
      <c r="AV136" s="163"/>
      <c r="AW136" s="163"/>
      <c r="AX136" s="163"/>
      <c r="AY136" s="163"/>
      <c r="AZ136" s="163"/>
      <c r="BA136" s="163"/>
      <c r="BB136" s="163"/>
      <c r="BC136" s="163"/>
      <c r="BD136" s="163"/>
      <c r="BE136" s="163"/>
      <c r="BF136" s="163"/>
      <c r="BG136" s="163"/>
      <c r="BH136" s="163"/>
      <c r="BI136" s="163"/>
      <c r="BJ136" s="163"/>
      <c r="BK136" s="163"/>
      <c r="BL136" s="163"/>
      <c r="BM136" s="163"/>
      <c r="BN136" s="163"/>
      <c r="BO136" s="164"/>
      <c r="BP136" s="164"/>
      <c r="BQ136" s="164"/>
      <c r="BR136" s="162"/>
      <c r="BS136" s="176"/>
      <c r="BT136" s="163"/>
      <c r="BU136" s="163"/>
      <c r="BV136" s="163"/>
      <c r="BW136" s="176"/>
    </row>
    <row r="137" spans="2:75" s="117" customFormat="1" outlineLevel="1">
      <c r="B137" s="179"/>
      <c r="C137" s="179"/>
      <c r="D137" s="163"/>
      <c r="E137" s="163"/>
      <c r="F137" s="163"/>
      <c r="G137" s="163"/>
      <c r="H137" s="163"/>
      <c r="I137" s="163"/>
      <c r="J137" s="179"/>
      <c r="K137" s="163"/>
      <c r="L137" s="163"/>
      <c r="M137" s="163"/>
      <c r="N137" s="163"/>
      <c r="O137" s="163"/>
      <c r="P137" s="163"/>
      <c r="Q137" s="179"/>
      <c r="R137" s="163"/>
      <c r="S137" s="163"/>
      <c r="T137" s="163"/>
      <c r="U137" s="163"/>
      <c r="V137" s="163"/>
      <c r="W137" s="163"/>
      <c r="X137" s="179"/>
      <c r="Y137" s="163"/>
      <c r="Z137" s="163"/>
      <c r="AA137" s="163"/>
      <c r="AB137" s="163"/>
      <c r="AC137" s="163"/>
      <c r="AD137" s="163"/>
      <c r="AE137" s="163"/>
      <c r="AF137" s="163"/>
      <c r="AG137" s="163"/>
      <c r="AH137" s="163"/>
      <c r="AI137" s="163"/>
      <c r="AJ137" s="163"/>
      <c r="AK137" s="163"/>
      <c r="AL137" s="163"/>
      <c r="AM137" s="163"/>
      <c r="AN137" s="163"/>
      <c r="AO137" s="163"/>
      <c r="AP137" s="163"/>
      <c r="AQ137" s="163"/>
      <c r="AR137" s="179"/>
      <c r="AS137" s="163"/>
      <c r="AT137" s="163"/>
      <c r="AU137" s="163"/>
      <c r="AV137" s="163"/>
      <c r="AW137" s="163"/>
      <c r="AX137" s="163"/>
      <c r="AY137" s="163"/>
      <c r="AZ137" s="163"/>
      <c r="BA137" s="163"/>
      <c r="BB137" s="163"/>
      <c r="BC137" s="163"/>
      <c r="BD137" s="163"/>
      <c r="BE137" s="163"/>
      <c r="BF137" s="163"/>
      <c r="BG137" s="163"/>
      <c r="BH137" s="163"/>
      <c r="BI137" s="163"/>
      <c r="BJ137" s="163"/>
      <c r="BK137" s="163"/>
      <c r="BL137" s="163"/>
      <c r="BM137" s="163"/>
      <c r="BN137" s="163"/>
      <c r="BO137" s="164"/>
      <c r="BP137" s="164"/>
      <c r="BQ137" s="164"/>
      <c r="BR137" s="162"/>
      <c r="BS137" s="176"/>
      <c r="BT137" s="163"/>
      <c r="BU137" s="163"/>
      <c r="BV137" s="163"/>
      <c r="BW137" s="176"/>
    </row>
    <row r="138" spans="2:75" s="117" customFormat="1" outlineLevel="1">
      <c r="B138" s="179"/>
      <c r="C138" s="179"/>
      <c r="D138" s="163"/>
      <c r="E138" s="163"/>
      <c r="F138" s="163"/>
      <c r="G138" s="163"/>
      <c r="H138" s="163"/>
      <c r="I138" s="163"/>
      <c r="J138" s="179"/>
      <c r="K138" s="163"/>
      <c r="L138" s="163"/>
      <c r="M138" s="163"/>
      <c r="N138" s="163"/>
      <c r="O138" s="163"/>
      <c r="P138" s="163"/>
      <c r="Q138" s="179"/>
      <c r="R138" s="163"/>
      <c r="S138" s="163"/>
      <c r="T138" s="163"/>
      <c r="U138" s="163"/>
      <c r="V138" s="163"/>
      <c r="W138" s="163"/>
      <c r="X138" s="179"/>
      <c r="Y138" s="163"/>
      <c r="Z138" s="163"/>
      <c r="AA138" s="163"/>
      <c r="AB138" s="163"/>
      <c r="AC138" s="163"/>
      <c r="AD138" s="163"/>
      <c r="AE138" s="163"/>
      <c r="AF138" s="163"/>
      <c r="AG138" s="163"/>
      <c r="AH138" s="163"/>
      <c r="AI138" s="163"/>
      <c r="AJ138" s="163"/>
      <c r="AK138" s="163"/>
      <c r="AL138" s="163"/>
      <c r="AM138" s="163"/>
      <c r="AN138" s="163"/>
      <c r="AO138" s="163"/>
      <c r="AP138" s="163"/>
      <c r="AQ138" s="163"/>
      <c r="AR138" s="179"/>
      <c r="AS138" s="163"/>
      <c r="AT138" s="163"/>
      <c r="AU138" s="163"/>
      <c r="AV138" s="163"/>
      <c r="AW138" s="163"/>
      <c r="AX138" s="163"/>
      <c r="AY138" s="163"/>
      <c r="AZ138" s="163"/>
      <c r="BA138" s="163"/>
      <c r="BB138" s="163"/>
      <c r="BC138" s="163"/>
      <c r="BD138" s="163"/>
      <c r="BE138" s="163"/>
      <c r="BF138" s="163"/>
      <c r="BG138" s="163"/>
      <c r="BH138" s="163"/>
      <c r="BI138" s="163"/>
      <c r="BJ138" s="163"/>
      <c r="BK138" s="163"/>
      <c r="BL138" s="163"/>
      <c r="BM138" s="163"/>
      <c r="BN138" s="163"/>
      <c r="BO138" s="164"/>
      <c r="BP138" s="164"/>
      <c r="BQ138" s="164"/>
      <c r="BR138" s="162"/>
      <c r="BS138" s="176"/>
      <c r="BT138" s="163"/>
      <c r="BU138" s="163"/>
      <c r="BV138" s="163"/>
      <c r="BW138" s="176"/>
    </row>
    <row r="139" spans="2:75" s="117" customFormat="1" outlineLevel="1">
      <c r="B139" s="179"/>
      <c r="C139" s="179"/>
      <c r="D139" s="163"/>
      <c r="E139" s="163"/>
      <c r="F139" s="163"/>
      <c r="G139" s="163"/>
      <c r="H139" s="163"/>
      <c r="I139" s="163"/>
      <c r="J139" s="179"/>
      <c r="K139" s="163"/>
      <c r="L139" s="163"/>
      <c r="M139" s="163"/>
      <c r="N139" s="163"/>
      <c r="O139" s="163"/>
      <c r="P139" s="163"/>
      <c r="Q139" s="179"/>
      <c r="R139" s="163"/>
      <c r="S139" s="163"/>
      <c r="T139" s="163"/>
      <c r="U139" s="163"/>
      <c r="V139" s="163"/>
      <c r="W139" s="163"/>
      <c r="X139" s="179"/>
      <c r="Y139" s="163"/>
      <c r="Z139" s="163"/>
      <c r="AA139" s="163"/>
      <c r="AB139" s="163"/>
      <c r="AC139" s="163"/>
      <c r="AD139" s="163"/>
      <c r="AE139" s="163"/>
      <c r="AF139" s="163"/>
      <c r="AG139" s="163"/>
      <c r="AH139" s="163"/>
      <c r="AI139" s="163"/>
      <c r="AJ139" s="163"/>
      <c r="AK139" s="163"/>
      <c r="AL139" s="163"/>
      <c r="AM139" s="163"/>
      <c r="AN139" s="163"/>
      <c r="AO139" s="163"/>
      <c r="AP139" s="163"/>
      <c r="AQ139" s="163"/>
      <c r="AR139" s="179"/>
      <c r="AS139" s="163"/>
      <c r="AT139" s="163"/>
      <c r="AU139" s="163"/>
      <c r="AV139" s="163"/>
      <c r="AW139" s="163"/>
      <c r="AX139" s="163"/>
      <c r="AY139" s="163"/>
      <c r="AZ139" s="163"/>
      <c r="BA139" s="163"/>
      <c r="BB139" s="163"/>
      <c r="BC139" s="163"/>
      <c r="BD139" s="163"/>
      <c r="BE139" s="163"/>
      <c r="BF139" s="163"/>
      <c r="BG139" s="163"/>
      <c r="BH139" s="163"/>
      <c r="BI139" s="163"/>
      <c r="BJ139" s="163"/>
      <c r="BK139" s="163"/>
      <c r="BL139" s="163"/>
      <c r="BM139" s="163"/>
      <c r="BN139" s="163"/>
      <c r="BO139" s="164"/>
      <c r="BP139" s="164"/>
      <c r="BQ139" s="164"/>
      <c r="BR139" s="162"/>
      <c r="BS139" s="176"/>
      <c r="BT139" s="163"/>
      <c r="BU139" s="163"/>
      <c r="BV139" s="163"/>
      <c r="BW139" s="176"/>
    </row>
    <row r="140" spans="2:75" s="117" customFormat="1" outlineLevel="1">
      <c r="B140" s="179"/>
      <c r="C140" s="179"/>
      <c r="D140" s="182"/>
      <c r="E140" s="182"/>
      <c r="F140" s="182"/>
      <c r="G140" s="182"/>
      <c r="H140" s="182"/>
      <c r="I140" s="182"/>
      <c r="J140" s="179"/>
      <c r="K140" s="182"/>
      <c r="L140" s="182"/>
      <c r="M140" s="182"/>
      <c r="N140" s="182"/>
      <c r="O140" s="182"/>
      <c r="P140" s="182"/>
      <c r="Q140" s="179"/>
      <c r="R140" s="182"/>
      <c r="S140" s="182"/>
      <c r="T140" s="182"/>
      <c r="U140" s="182"/>
      <c r="V140" s="182"/>
      <c r="W140" s="182"/>
      <c r="X140" s="179"/>
      <c r="Y140" s="182"/>
      <c r="Z140" s="182"/>
      <c r="AA140" s="182"/>
      <c r="AB140" s="182"/>
      <c r="AC140" s="182"/>
      <c r="AD140" s="182"/>
      <c r="AE140" s="182"/>
      <c r="AF140" s="182"/>
      <c r="AG140" s="182"/>
      <c r="AH140" s="182"/>
      <c r="AI140" s="182"/>
      <c r="AJ140" s="182"/>
      <c r="AK140" s="182"/>
      <c r="AL140" s="182"/>
      <c r="AM140" s="182"/>
      <c r="AN140" s="182"/>
      <c r="AO140" s="182"/>
      <c r="AP140" s="182"/>
      <c r="AQ140" s="182"/>
      <c r="AR140" s="179"/>
      <c r="AS140" s="182"/>
      <c r="AT140" s="182"/>
      <c r="AU140" s="182"/>
      <c r="AV140" s="182"/>
      <c r="AW140" s="182"/>
      <c r="AX140" s="182"/>
      <c r="AY140" s="182"/>
      <c r="AZ140" s="182"/>
      <c r="BA140" s="182"/>
      <c r="BB140" s="182"/>
      <c r="BC140" s="182"/>
      <c r="BD140" s="182"/>
      <c r="BE140" s="182"/>
      <c r="BF140" s="182"/>
      <c r="BG140" s="182"/>
      <c r="BH140" s="182"/>
      <c r="BI140" s="182"/>
      <c r="BJ140" s="182"/>
      <c r="BK140" s="182"/>
      <c r="BL140" s="182"/>
      <c r="BM140" s="182"/>
      <c r="BN140" s="182"/>
      <c r="BO140" s="164"/>
      <c r="BP140" s="164"/>
      <c r="BQ140" s="164"/>
      <c r="BR140" s="164"/>
      <c r="BS140" s="176"/>
      <c r="BT140" s="182"/>
      <c r="BU140" s="182"/>
      <c r="BV140" s="182"/>
      <c r="BW140" s="176"/>
    </row>
    <row r="141" spans="2:75" s="117" customFormat="1" outlineLevel="1">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7"/>
      <c r="BP141" s="167"/>
      <c r="BQ141" s="167"/>
      <c r="BR141" s="164"/>
      <c r="BS141" s="184"/>
      <c r="BT141" s="166"/>
      <c r="BU141" s="166"/>
      <c r="BV141" s="166"/>
      <c r="BW141" s="184"/>
    </row>
    <row r="142" spans="2:75" s="117" customFormat="1" outlineLevel="1">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7"/>
      <c r="BP142" s="167"/>
      <c r="BQ142" s="167"/>
      <c r="BR142" s="164"/>
      <c r="BS142" s="184"/>
      <c r="BT142" s="166"/>
      <c r="BU142" s="166"/>
      <c r="BV142" s="166"/>
      <c r="BW142" s="184"/>
    </row>
    <row r="143" spans="2:75" s="117" customFormat="1" outlineLevel="1">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7"/>
      <c r="BP143" s="167"/>
      <c r="BQ143" s="167"/>
      <c r="BR143" s="164"/>
      <c r="BS143" s="184"/>
      <c r="BT143" s="166"/>
      <c r="BU143" s="166"/>
      <c r="BV143" s="166"/>
      <c r="BW143" s="184"/>
    </row>
    <row r="144" spans="2:75" s="117" customFormat="1" outlineLevel="1">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7"/>
      <c r="BP144" s="167"/>
      <c r="BQ144" s="167"/>
      <c r="BR144" s="164"/>
      <c r="BS144" s="184"/>
      <c r="BT144" s="166"/>
      <c r="BU144" s="166"/>
      <c r="BV144" s="166"/>
      <c r="BW144" s="184"/>
    </row>
    <row r="145" spans="1:75" s="117" customFormat="1" outlineLevel="1">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7"/>
      <c r="BP145" s="167"/>
      <c r="BQ145" s="167"/>
      <c r="BR145" s="164"/>
      <c r="BS145" s="184"/>
      <c r="BT145" s="166"/>
      <c r="BU145" s="166"/>
      <c r="BV145" s="166"/>
      <c r="BW145" s="184"/>
    </row>
    <row r="146" spans="1:75" s="117" customFormat="1">
      <c r="A146" s="95"/>
      <c r="B146" s="187"/>
      <c r="C146" s="187"/>
      <c r="D146" s="116"/>
      <c r="E146" s="116"/>
      <c r="F146" s="116"/>
      <c r="G146" s="116"/>
      <c r="H146" s="116"/>
      <c r="I146" s="116"/>
      <c r="J146" s="187"/>
      <c r="K146" s="116"/>
      <c r="L146" s="116"/>
      <c r="M146" s="116"/>
      <c r="N146" s="116"/>
      <c r="O146" s="116"/>
      <c r="P146" s="116"/>
      <c r="Q146" s="187"/>
      <c r="R146" s="116"/>
      <c r="S146" s="116"/>
      <c r="T146" s="116"/>
      <c r="U146" s="116"/>
      <c r="V146" s="116"/>
      <c r="W146" s="116"/>
      <c r="X146" s="187"/>
      <c r="Y146" s="116"/>
      <c r="Z146" s="116"/>
      <c r="AA146" s="116"/>
      <c r="AB146" s="116"/>
      <c r="AC146" s="116"/>
      <c r="AD146" s="116"/>
      <c r="AE146" s="116"/>
      <c r="AF146" s="116"/>
      <c r="AG146" s="116"/>
      <c r="AH146" s="116"/>
      <c r="AI146" s="116"/>
      <c r="AJ146" s="116"/>
      <c r="AK146" s="116"/>
      <c r="AL146" s="116"/>
      <c r="AM146" s="116"/>
      <c r="AN146" s="116"/>
      <c r="AO146" s="116"/>
      <c r="AP146" s="116"/>
      <c r="AQ146" s="116"/>
      <c r="AR146" s="187"/>
      <c r="AS146" s="116"/>
      <c r="AT146" s="116"/>
      <c r="AU146" s="116"/>
      <c r="AV146" s="116"/>
      <c r="AW146" s="116"/>
      <c r="AX146" s="116"/>
      <c r="AY146" s="116"/>
      <c r="AZ146" s="116"/>
      <c r="BA146" s="116"/>
      <c r="BB146" s="116"/>
      <c r="BC146" s="116"/>
      <c r="BD146" s="116"/>
      <c r="BE146" s="116"/>
      <c r="BF146" s="116"/>
      <c r="BG146" s="116"/>
      <c r="BH146" s="116"/>
      <c r="BI146" s="116"/>
      <c r="BJ146" s="116"/>
      <c r="BK146" s="116"/>
      <c r="BL146" s="116"/>
      <c r="BM146" s="116"/>
      <c r="BN146" s="116"/>
      <c r="BR146" s="156"/>
      <c r="BT146" s="116"/>
      <c r="BU146" s="116"/>
      <c r="BV146" s="116"/>
    </row>
    <row r="147" spans="1:75" s="117" customFormat="1">
      <c r="A147" s="95"/>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1"/>
      <c r="BP147" s="171"/>
      <c r="BQ147" s="171"/>
      <c r="BT147" s="170"/>
      <c r="BU147" s="170"/>
      <c r="BV147" s="170"/>
    </row>
    <row r="148" spans="1:75" s="117" customFormat="1">
      <c r="A148" s="95"/>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1"/>
      <c r="BP148" s="171"/>
      <c r="BQ148" s="171"/>
      <c r="BT148" s="170"/>
      <c r="BU148" s="170"/>
      <c r="BV148" s="170"/>
    </row>
    <row r="149" spans="1:75" s="117" customFormat="1">
      <c r="A149" s="95"/>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1"/>
      <c r="BP149" s="171"/>
      <c r="BQ149" s="171"/>
      <c r="BT149" s="170"/>
      <c r="BU149" s="170"/>
      <c r="BV149" s="170"/>
    </row>
    <row r="150" spans="1:75" s="117" customFormat="1">
      <c r="A150" s="95"/>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1"/>
      <c r="BP150" s="171"/>
      <c r="BQ150" s="171"/>
      <c r="BT150" s="170"/>
      <c r="BU150" s="170"/>
      <c r="BV150" s="170"/>
    </row>
    <row r="151" spans="1:75" s="117" customFormat="1">
      <c r="A151" s="95"/>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1"/>
      <c r="BP151" s="171"/>
      <c r="BQ151" s="171"/>
      <c r="BT151" s="170"/>
      <c r="BU151" s="170"/>
      <c r="BV151" s="170"/>
    </row>
    <row r="152" spans="1:75" s="168" customFormat="1"/>
    <row r="153" spans="1:75" s="117" customFormat="1">
      <c r="B153" s="188"/>
      <c r="C153" s="188"/>
      <c r="D153" s="116"/>
      <c r="E153" s="116"/>
      <c r="F153" s="116"/>
      <c r="G153" s="116"/>
      <c r="H153" s="116"/>
      <c r="I153" s="116"/>
      <c r="J153" s="188"/>
      <c r="K153" s="116"/>
      <c r="L153" s="116"/>
      <c r="M153" s="116"/>
      <c r="N153" s="116"/>
      <c r="O153" s="116"/>
      <c r="P153" s="116"/>
      <c r="Q153" s="188"/>
      <c r="R153" s="116"/>
      <c r="S153" s="116"/>
      <c r="T153" s="116"/>
      <c r="U153" s="116"/>
      <c r="V153" s="116"/>
      <c r="W153" s="116"/>
      <c r="X153" s="188"/>
      <c r="Y153" s="116"/>
      <c r="Z153" s="116"/>
      <c r="AA153" s="116"/>
      <c r="AB153" s="116"/>
      <c r="AC153" s="116"/>
      <c r="AD153" s="116"/>
      <c r="AE153" s="116"/>
      <c r="AF153" s="116"/>
      <c r="AG153" s="116"/>
      <c r="AH153" s="116"/>
      <c r="AI153" s="116"/>
      <c r="AJ153" s="116"/>
      <c r="AK153" s="116"/>
      <c r="AL153" s="116"/>
      <c r="AM153" s="116"/>
      <c r="AN153" s="116"/>
      <c r="AO153" s="116"/>
      <c r="AP153" s="116"/>
      <c r="AQ153" s="116"/>
      <c r="AR153" s="188"/>
      <c r="AS153" s="116"/>
      <c r="AT153" s="116"/>
      <c r="AU153" s="116"/>
      <c r="AV153" s="116"/>
      <c r="AW153" s="116"/>
      <c r="AX153" s="116"/>
      <c r="AY153" s="116"/>
      <c r="AZ153" s="116"/>
      <c r="BA153" s="116"/>
      <c r="BB153" s="116"/>
      <c r="BC153" s="116"/>
      <c r="BD153" s="116"/>
      <c r="BE153" s="116"/>
      <c r="BF153" s="116"/>
      <c r="BG153" s="116"/>
      <c r="BH153" s="116"/>
      <c r="BI153" s="116"/>
      <c r="BJ153" s="116"/>
      <c r="BK153" s="116"/>
      <c r="BL153" s="116"/>
      <c r="BM153" s="116"/>
      <c r="BN153" s="116"/>
      <c r="BR153" s="189"/>
      <c r="BS153" s="176"/>
      <c r="BT153" s="116"/>
      <c r="BU153" s="116"/>
      <c r="BV153" s="116"/>
      <c r="BW153" s="176"/>
    </row>
    <row r="154" spans="1:75" s="117" customFormat="1">
      <c r="B154" s="185"/>
      <c r="C154" s="185"/>
      <c r="D154" s="190"/>
      <c r="E154" s="190"/>
      <c r="F154" s="190"/>
      <c r="G154" s="190"/>
      <c r="H154" s="190"/>
      <c r="I154" s="190"/>
      <c r="J154" s="185"/>
      <c r="K154" s="190"/>
      <c r="L154" s="190"/>
      <c r="M154" s="190"/>
      <c r="N154" s="190"/>
      <c r="O154" s="190"/>
      <c r="P154" s="190"/>
      <c r="Q154" s="185"/>
      <c r="R154" s="190"/>
      <c r="S154" s="190"/>
      <c r="T154" s="190"/>
      <c r="U154" s="190"/>
      <c r="V154" s="190"/>
      <c r="W154" s="190"/>
      <c r="X154" s="185"/>
      <c r="Y154" s="190"/>
      <c r="Z154" s="190"/>
      <c r="AA154" s="190"/>
      <c r="AB154" s="190"/>
      <c r="AC154" s="190"/>
      <c r="AD154" s="190"/>
      <c r="AE154" s="190"/>
      <c r="AF154" s="190"/>
      <c r="AG154" s="190"/>
      <c r="AH154" s="190"/>
      <c r="AI154" s="190"/>
      <c r="AJ154" s="190"/>
      <c r="AK154" s="190"/>
      <c r="AL154" s="190"/>
      <c r="AM154" s="190"/>
      <c r="AN154" s="190"/>
      <c r="AO154" s="190"/>
      <c r="AP154" s="190"/>
      <c r="AQ154" s="190"/>
      <c r="AR154" s="185"/>
      <c r="AS154" s="190"/>
      <c r="AT154" s="190"/>
      <c r="AU154" s="190"/>
      <c r="AV154" s="190"/>
      <c r="AW154" s="190"/>
      <c r="AX154" s="190"/>
      <c r="AY154" s="190"/>
      <c r="AZ154" s="190"/>
      <c r="BA154" s="190"/>
      <c r="BB154" s="190"/>
      <c r="BC154" s="190"/>
      <c r="BD154" s="190"/>
      <c r="BE154" s="190"/>
      <c r="BF154" s="190"/>
      <c r="BG154" s="190"/>
      <c r="BH154" s="190"/>
      <c r="BI154" s="190"/>
      <c r="BJ154" s="190"/>
      <c r="BK154" s="190"/>
      <c r="BL154" s="190"/>
      <c r="BM154" s="190"/>
      <c r="BN154" s="190"/>
      <c r="BR154" s="191"/>
      <c r="BS154" s="176"/>
      <c r="BT154" s="190"/>
      <c r="BU154" s="190"/>
      <c r="BV154" s="190"/>
      <c r="BW154" s="176"/>
    </row>
    <row r="155" spans="1:75" s="117" customFormat="1">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c r="AA155" s="192"/>
      <c r="AB155" s="192"/>
      <c r="AC155" s="192"/>
      <c r="AD155" s="192"/>
      <c r="AE155" s="192"/>
      <c r="AF155" s="192"/>
      <c r="AG155" s="192"/>
      <c r="AH155" s="192"/>
      <c r="AI155" s="192"/>
      <c r="AJ155" s="192"/>
      <c r="AK155" s="192"/>
      <c r="AL155" s="192"/>
      <c r="AM155" s="192"/>
      <c r="AN155" s="192"/>
      <c r="AO155" s="192"/>
      <c r="AP155" s="192"/>
      <c r="AQ155" s="192"/>
      <c r="AR155" s="192"/>
      <c r="AS155" s="192"/>
      <c r="AT155" s="192"/>
      <c r="AU155" s="192"/>
      <c r="AV155" s="192"/>
      <c r="AW155" s="192"/>
      <c r="AX155" s="192"/>
      <c r="AY155" s="192"/>
      <c r="AZ155" s="192"/>
      <c r="BA155" s="192"/>
      <c r="BB155" s="192"/>
      <c r="BC155" s="192"/>
      <c r="BD155" s="192"/>
      <c r="BE155" s="192"/>
      <c r="BF155" s="192"/>
      <c r="BG155" s="192"/>
      <c r="BH155" s="192"/>
      <c r="BI155" s="192"/>
      <c r="BJ155" s="192"/>
      <c r="BK155" s="192"/>
      <c r="BL155" s="192"/>
      <c r="BM155" s="192"/>
      <c r="BN155" s="192"/>
      <c r="BO155" s="192"/>
      <c r="BP155" s="192"/>
      <c r="BQ155" s="192"/>
      <c r="BR155" s="192"/>
      <c r="BS155" s="156"/>
      <c r="BT155" s="192"/>
      <c r="BU155" s="192"/>
      <c r="BV155" s="192"/>
      <c r="BW155" s="156"/>
    </row>
    <row r="156" spans="1:75" s="117" customFormat="1">
      <c r="B156" s="118"/>
      <c r="C156" s="118"/>
      <c r="D156" s="193"/>
      <c r="E156" s="193"/>
      <c r="F156" s="193"/>
      <c r="G156" s="193"/>
      <c r="H156" s="193"/>
      <c r="I156" s="193"/>
      <c r="J156" s="118"/>
      <c r="K156" s="193"/>
      <c r="L156" s="193"/>
      <c r="M156" s="193"/>
      <c r="N156" s="193"/>
      <c r="O156" s="193"/>
      <c r="P156" s="193"/>
      <c r="Q156" s="118"/>
      <c r="R156" s="193"/>
      <c r="S156" s="193"/>
      <c r="T156" s="193"/>
      <c r="U156" s="193"/>
      <c r="V156" s="193"/>
      <c r="W156" s="193"/>
      <c r="X156" s="118"/>
      <c r="Y156" s="193"/>
      <c r="Z156" s="193"/>
      <c r="AA156" s="193"/>
      <c r="AB156" s="193"/>
      <c r="AC156" s="193"/>
      <c r="AD156" s="193"/>
      <c r="AE156" s="193"/>
      <c r="AF156" s="193"/>
      <c r="AG156" s="193"/>
      <c r="AH156" s="193"/>
      <c r="AI156" s="193"/>
      <c r="AJ156" s="193"/>
      <c r="AK156" s="193"/>
      <c r="AL156" s="193"/>
      <c r="AM156" s="193"/>
      <c r="AN156" s="193"/>
      <c r="AO156" s="193"/>
      <c r="AP156" s="193"/>
      <c r="AQ156" s="193"/>
      <c r="AR156" s="118"/>
      <c r="AS156" s="193"/>
      <c r="AT156" s="193"/>
      <c r="AU156" s="193"/>
      <c r="AV156" s="193"/>
      <c r="AW156" s="193"/>
      <c r="AX156" s="193"/>
      <c r="AY156" s="193"/>
      <c r="AZ156" s="193"/>
      <c r="BA156" s="193"/>
      <c r="BB156" s="193"/>
      <c r="BC156" s="193"/>
      <c r="BD156" s="193"/>
      <c r="BE156" s="193"/>
      <c r="BF156" s="193"/>
      <c r="BG156" s="193"/>
      <c r="BH156" s="193"/>
      <c r="BI156" s="193"/>
      <c r="BJ156" s="193"/>
      <c r="BK156" s="193"/>
      <c r="BL156" s="193"/>
      <c r="BM156" s="193"/>
      <c r="BN156" s="193"/>
      <c r="BO156" s="192"/>
      <c r="BP156" s="192"/>
      <c r="BQ156" s="192"/>
      <c r="BR156" s="192"/>
      <c r="BS156" s="156"/>
      <c r="BT156" s="193"/>
      <c r="BU156" s="193"/>
      <c r="BV156" s="193"/>
      <c r="BW156" s="156"/>
    </row>
    <row r="157" spans="1:75" s="117" customFormat="1">
      <c r="A157" s="95"/>
      <c r="BO157" s="192"/>
      <c r="BP157" s="192"/>
      <c r="BQ157" s="192"/>
      <c r="BR157" s="192"/>
      <c r="BS157" s="195"/>
      <c r="BW157" s="195"/>
    </row>
    <row r="158" spans="1:75" s="117" customFormat="1"/>
    <row r="159" spans="1:75" s="117" customFormat="1">
      <c r="B159" s="196"/>
      <c r="C159" s="196"/>
      <c r="J159" s="196"/>
      <c r="Q159" s="196"/>
      <c r="X159" s="196"/>
      <c r="AR159" s="196"/>
    </row>
    <row r="160" spans="1:75" s="117" customFormat="1">
      <c r="D160" s="197"/>
      <c r="E160" s="197"/>
      <c r="F160" s="197"/>
      <c r="G160" s="197"/>
      <c r="H160" s="197"/>
      <c r="I160" s="197"/>
      <c r="K160" s="197"/>
      <c r="L160" s="197"/>
      <c r="M160" s="197"/>
      <c r="N160" s="197"/>
      <c r="O160" s="197"/>
      <c r="P160" s="197"/>
      <c r="R160" s="197"/>
      <c r="S160" s="197"/>
      <c r="T160" s="197"/>
      <c r="U160" s="197"/>
      <c r="V160" s="197"/>
      <c r="W160" s="197"/>
      <c r="Y160" s="197"/>
      <c r="Z160" s="197"/>
      <c r="AA160" s="197"/>
      <c r="AB160" s="197"/>
      <c r="AC160" s="197"/>
      <c r="AD160" s="197"/>
      <c r="AE160" s="197"/>
      <c r="AF160" s="197"/>
      <c r="AG160" s="197"/>
      <c r="AH160" s="197"/>
      <c r="AI160" s="197"/>
      <c r="AJ160" s="197"/>
      <c r="AK160" s="197"/>
      <c r="AL160" s="197"/>
      <c r="AM160" s="197"/>
      <c r="AN160" s="197"/>
      <c r="AO160" s="197"/>
      <c r="AP160" s="197"/>
      <c r="AQ160" s="197"/>
      <c r="AS160" s="197"/>
      <c r="AT160" s="197"/>
      <c r="AU160" s="197"/>
      <c r="AV160" s="197"/>
      <c r="AW160" s="197"/>
    </row>
    <row r="161" spans="2:74" s="117" customFormat="1">
      <c r="D161" s="197"/>
      <c r="E161" s="197"/>
      <c r="F161" s="197"/>
      <c r="G161" s="197"/>
      <c r="H161" s="197"/>
      <c r="I161" s="197"/>
      <c r="K161" s="197"/>
      <c r="L161" s="197"/>
      <c r="M161" s="197"/>
      <c r="N161" s="197"/>
      <c r="O161" s="197"/>
      <c r="P161" s="197"/>
      <c r="R161" s="197"/>
      <c r="S161" s="197"/>
      <c r="T161" s="197"/>
      <c r="U161" s="197"/>
      <c r="V161" s="197"/>
      <c r="W161" s="197"/>
      <c r="Y161" s="197"/>
      <c r="Z161" s="197"/>
      <c r="AA161" s="197"/>
      <c r="AB161" s="197"/>
      <c r="AC161" s="197"/>
      <c r="AD161" s="197"/>
      <c r="AE161" s="197"/>
      <c r="AF161" s="197"/>
      <c r="AG161" s="197"/>
      <c r="AH161" s="197"/>
      <c r="AI161" s="197"/>
      <c r="AJ161" s="197"/>
      <c r="AK161" s="197"/>
      <c r="AL161" s="197"/>
      <c r="AM161" s="197"/>
      <c r="AN161" s="197"/>
      <c r="AO161" s="197"/>
      <c r="AP161" s="197"/>
      <c r="AQ161" s="197"/>
      <c r="AS161" s="197"/>
      <c r="AT161" s="197"/>
      <c r="AU161" s="197"/>
      <c r="AV161" s="197"/>
      <c r="AW161" s="197"/>
    </row>
    <row r="162" spans="2:74" s="117" customFormat="1">
      <c r="D162" s="197"/>
      <c r="E162" s="197"/>
      <c r="F162" s="197"/>
      <c r="G162" s="197"/>
      <c r="H162" s="197"/>
      <c r="I162" s="197"/>
      <c r="K162" s="197"/>
      <c r="L162" s="197"/>
      <c r="M162" s="197"/>
      <c r="N162" s="197"/>
      <c r="O162" s="197"/>
      <c r="P162" s="197"/>
      <c r="R162" s="197"/>
      <c r="S162" s="197"/>
      <c r="T162" s="197"/>
      <c r="U162" s="197"/>
      <c r="V162" s="197"/>
      <c r="W162" s="197"/>
      <c r="Y162" s="197"/>
      <c r="Z162" s="197"/>
      <c r="AA162" s="197"/>
      <c r="AB162" s="197"/>
      <c r="AC162" s="197"/>
      <c r="AD162" s="197"/>
      <c r="AE162" s="197"/>
      <c r="AF162" s="197"/>
      <c r="AG162" s="197"/>
      <c r="AH162" s="197"/>
      <c r="AI162" s="197"/>
      <c r="AJ162" s="197"/>
      <c r="AK162" s="197"/>
      <c r="AL162" s="197"/>
      <c r="AM162" s="197"/>
      <c r="AN162" s="197"/>
      <c r="AO162" s="197"/>
      <c r="AP162" s="197"/>
      <c r="AQ162" s="197"/>
      <c r="AS162" s="197"/>
      <c r="AT162" s="197"/>
      <c r="AU162" s="197"/>
      <c r="AV162" s="197"/>
      <c r="AW162" s="197"/>
    </row>
    <row r="163" spans="2:74" s="117" customFormat="1">
      <c r="D163" s="197"/>
      <c r="E163" s="197"/>
      <c r="F163" s="197"/>
      <c r="G163" s="197"/>
      <c r="H163" s="197"/>
      <c r="I163" s="197"/>
      <c r="K163" s="197"/>
      <c r="L163" s="197"/>
      <c r="M163" s="197"/>
      <c r="N163" s="197"/>
      <c r="O163" s="197"/>
      <c r="P163" s="197"/>
      <c r="R163" s="197"/>
      <c r="S163" s="197"/>
      <c r="T163" s="197"/>
      <c r="U163" s="197"/>
      <c r="V163" s="197"/>
      <c r="W163" s="197"/>
      <c r="Y163" s="197"/>
      <c r="Z163" s="197"/>
      <c r="AA163" s="197"/>
      <c r="AB163" s="197"/>
      <c r="AC163" s="197"/>
      <c r="AD163" s="197"/>
      <c r="AE163" s="197"/>
      <c r="AF163" s="197"/>
      <c r="AG163" s="197"/>
      <c r="AH163" s="197"/>
      <c r="AI163" s="197"/>
      <c r="AJ163" s="197"/>
      <c r="AK163" s="197"/>
      <c r="AL163" s="197"/>
      <c r="AM163" s="197"/>
      <c r="AN163" s="197"/>
      <c r="AO163" s="197"/>
      <c r="AP163" s="197"/>
      <c r="AQ163" s="197"/>
      <c r="AS163" s="197"/>
      <c r="AT163" s="197"/>
      <c r="AU163" s="197"/>
      <c r="AV163" s="197"/>
      <c r="AW163" s="197"/>
    </row>
    <row r="164" spans="2:74" s="117" customFormat="1">
      <c r="D164" s="197"/>
      <c r="E164" s="197"/>
      <c r="F164" s="197"/>
      <c r="G164" s="197"/>
      <c r="H164" s="197"/>
      <c r="I164" s="197"/>
      <c r="K164" s="197"/>
      <c r="L164" s="197"/>
      <c r="M164" s="197"/>
      <c r="N164" s="197"/>
      <c r="O164" s="197"/>
      <c r="P164" s="197"/>
      <c r="R164" s="197"/>
      <c r="S164" s="197"/>
      <c r="T164" s="197"/>
      <c r="U164" s="197"/>
      <c r="V164" s="197"/>
      <c r="W164" s="197"/>
      <c r="Y164" s="197"/>
      <c r="Z164" s="197"/>
      <c r="AA164" s="197"/>
      <c r="AB164" s="197"/>
      <c r="AC164" s="197"/>
      <c r="AD164" s="197"/>
      <c r="AE164" s="197"/>
      <c r="AF164" s="197"/>
      <c r="AG164" s="197"/>
      <c r="AH164" s="197"/>
      <c r="AI164" s="197"/>
      <c r="AJ164" s="197"/>
      <c r="AK164" s="197"/>
      <c r="AL164" s="197"/>
      <c r="AM164" s="197"/>
      <c r="AN164" s="197"/>
      <c r="AO164" s="197"/>
      <c r="AP164" s="197"/>
      <c r="AQ164" s="197"/>
      <c r="AS164" s="197"/>
      <c r="AT164" s="197"/>
      <c r="AU164" s="197"/>
      <c r="AV164" s="197"/>
      <c r="AW164" s="197"/>
    </row>
    <row r="165" spans="2:74" s="117" customFormat="1">
      <c r="D165" s="197"/>
      <c r="E165" s="197"/>
      <c r="F165" s="197"/>
      <c r="G165" s="197"/>
      <c r="H165" s="197"/>
      <c r="I165" s="197"/>
      <c r="K165" s="197"/>
      <c r="L165" s="197"/>
      <c r="M165" s="197"/>
      <c r="N165" s="197"/>
      <c r="O165" s="197"/>
      <c r="P165" s="197"/>
      <c r="R165" s="197"/>
      <c r="S165" s="197"/>
      <c r="T165" s="197"/>
      <c r="U165" s="197"/>
      <c r="V165" s="197"/>
      <c r="W165" s="197"/>
      <c r="Y165" s="197"/>
      <c r="Z165" s="197"/>
      <c r="AA165" s="197"/>
      <c r="AB165" s="197"/>
      <c r="AC165" s="197"/>
      <c r="AD165" s="197"/>
      <c r="AE165" s="197"/>
      <c r="AF165" s="197"/>
      <c r="AG165" s="197"/>
      <c r="AH165" s="197"/>
      <c r="AI165" s="197"/>
      <c r="AJ165" s="197"/>
      <c r="AK165" s="197"/>
      <c r="AL165" s="197"/>
      <c r="AM165" s="197"/>
      <c r="AN165" s="197"/>
      <c r="AO165" s="197"/>
      <c r="AP165" s="197"/>
      <c r="AQ165" s="197"/>
      <c r="AS165" s="197"/>
      <c r="AT165" s="197"/>
      <c r="AU165" s="197"/>
      <c r="AV165" s="197"/>
      <c r="AW165" s="197"/>
    </row>
    <row r="166" spans="2:74" s="117" customFormat="1">
      <c r="B166" s="185"/>
      <c r="C166" s="185"/>
      <c r="J166" s="185"/>
      <c r="Q166" s="185"/>
      <c r="X166" s="185"/>
      <c r="AR166" s="185"/>
    </row>
    <row r="167" spans="2:74" s="117" customFormat="1">
      <c r="B167" s="185"/>
      <c r="C167" s="185"/>
      <c r="J167" s="185"/>
      <c r="Q167" s="185"/>
      <c r="X167" s="185"/>
      <c r="AR167" s="185"/>
    </row>
    <row r="168" spans="2:74" s="117" customFormat="1"/>
    <row r="169" spans="2:74" s="117" customFormat="1"/>
    <row r="170" spans="2:74" s="117" customFormat="1"/>
    <row r="171" spans="2:74" s="117" customFormat="1"/>
    <row r="172" spans="2:74" ht="15">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98"/>
      <c r="AM172" s="198"/>
      <c r="AN172" s="198"/>
      <c r="AO172" s="198"/>
      <c r="AP172" s="198"/>
      <c r="AQ172" s="198"/>
      <c r="AR172" s="198"/>
      <c r="AS172" s="198"/>
      <c r="AT172" s="198"/>
      <c r="AU172" s="198"/>
      <c r="AV172" s="198"/>
      <c r="AW172" s="198"/>
      <c r="AX172" s="198"/>
      <c r="AY172" s="198"/>
      <c r="AZ172" s="198"/>
      <c r="BA172" s="198"/>
      <c r="BB172" s="198"/>
      <c r="BC172" s="198"/>
      <c r="BD172" s="198"/>
      <c r="BE172" s="198"/>
      <c r="BF172" s="198"/>
      <c r="BG172" s="198"/>
      <c r="BH172" s="198"/>
      <c r="BI172" s="198"/>
      <c r="BJ172" s="198"/>
      <c r="BK172" s="198"/>
      <c r="BL172" s="198"/>
      <c r="BM172" s="198"/>
      <c r="BN172" s="198"/>
      <c r="BO172" s="198"/>
      <c r="BP172" s="198"/>
      <c r="BQ172" s="198"/>
      <c r="BR172" s="198"/>
      <c r="BT172" s="198"/>
      <c r="BU172" s="198"/>
      <c r="BV172" s="198"/>
    </row>
    <row r="173" spans="2:74" ht="15">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98"/>
      <c r="AM173" s="198"/>
      <c r="AN173" s="198"/>
      <c r="AO173" s="198"/>
      <c r="AP173" s="198"/>
      <c r="AQ173" s="198"/>
      <c r="AR173" s="198"/>
      <c r="AS173" s="198"/>
      <c r="AT173" s="198"/>
      <c r="AU173" s="198"/>
      <c r="AV173" s="198"/>
      <c r="AW173" s="198"/>
      <c r="AX173" s="198"/>
      <c r="AY173" s="198"/>
      <c r="AZ173" s="198"/>
      <c r="BA173" s="198"/>
      <c r="BB173" s="198"/>
      <c r="BC173" s="198"/>
      <c r="BD173" s="198"/>
      <c r="BE173" s="198"/>
      <c r="BF173" s="198"/>
      <c r="BG173" s="198"/>
      <c r="BH173" s="198"/>
      <c r="BI173" s="198"/>
      <c r="BJ173" s="198"/>
      <c r="BK173" s="198"/>
      <c r="BL173" s="198"/>
      <c r="BM173" s="198"/>
      <c r="BN173" s="198"/>
      <c r="BO173" s="198"/>
      <c r="BP173" s="198"/>
      <c r="BQ173" s="198"/>
      <c r="BR173" s="198"/>
      <c r="BT173" s="198"/>
      <c r="BU173" s="198"/>
      <c r="BV173" s="198"/>
    </row>
    <row r="174" spans="2:74" ht="15">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c r="AE174" s="198"/>
      <c r="AF174" s="198"/>
      <c r="AG174" s="198"/>
      <c r="AH174" s="198"/>
      <c r="AI174" s="198"/>
      <c r="AJ174" s="198"/>
      <c r="AK174" s="198"/>
      <c r="AL174" s="198"/>
      <c r="AM174" s="198"/>
      <c r="AN174" s="198"/>
      <c r="AO174" s="198"/>
      <c r="AP174" s="198"/>
      <c r="AQ174" s="198"/>
      <c r="AR174" s="198"/>
      <c r="AS174" s="198"/>
      <c r="AT174" s="198"/>
      <c r="AU174" s="198"/>
      <c r="AV174" s="198"/>
      <c r="AW174" s="198"/>
      <c r="AX174" s="198"/>
      <c r="AY174" s="198"/>
      <c r="AZ174" s="198"/>
      <c r="BA174" s="198"/>
      <c r="BB174" s="198"/>
      <c r="BC174" s="198"/>
      <c r="BD174" s="198"/>
      <c r="BE174" s="198"/>
      <c r="BF174" s="198"/>
      <c r="BG174" s="198"/>
      <c r="BH174" s="198"/>
      <c r="BI174" s="198"/>
      <c r="BJ174" s="198"/>
      <c r="BK174" s="198"/>
      <c r="BL174" s="198"/>
      <c r="BM174" s="198"/>
      <c r="BN174" s="198"/>
      <c r="BO174" s="198"/>
      <c r="BP174" s="198"/>
      <c r="BQ174" s="198"/>
      <c r="BR174" s="198"/>
      <c r="BT174" s="198"/>
      <c r="BU174" s="198"/>
      <c r="BV174" s="198"/>
    </row>
  </sheetData>
  <conditionalFormatting sqref="B4 BT154:BV154 AX2:BC3 Y2:Y4 B154 AX154:BC154 BI154:BN154 BI3:BR3 BI4:BN4 BI2:BN2 AX4:AZ4 X154:Y154 AB154:AM154 AB2:AM3 AP2:AQ3 AP154:AQ154 AB4 AD4:AI4 AK4:AM4 AQ4">
    <cfRule type="cellIs" dxfId="136" priority="52" stopIfTrue="1" operator="equal">
      <formula>"input"</formula>
    </cfRule>
  </conditionalFormatting>
  <conditionalFormatting sqref="BS60:BS69 BS73:BS79 BS153:BS154 BS104 BS107:BS109 BS120 BS127:BS129 BS140 BW140 BW127:BW129 BW120 BW107:BW109 BW104 BW153:BW154 BW73:BW79 BW60:BW69">
    <cfRule type="cellIs" dxfId="135" priority="53" stopIfTrue="1" operator="equal">
      <formula>"Input"</formula>
    </cfRule>
  </conditionalFormatting>
  <conditionalFormatting sqref="BS70 BW70">
    <cfRule type="cellIs" dxfId="134" priority="51" stopIfTrue="1" operator="equal">
      <formula>"Input"</formula>
    </cfRule>
  </conditionalFormatting>
  <conditionalFormatting sqref="BS71 BW71">
    <cfRule type="cellIs" dxfId="133" priority="50" stopIfTrue="1" operator="equal">
      <formula>"Input"</formula>
    </cfRule>
  </conditionalFormatting>
  <conditionalFormatting sqref="BS72 BW72">
    <cfRule type="cellIs" dxfId="132" priority="49" stopIfTrue="1" operator="equal">
      <formula>"Input"</formula>
    </cfRule>
  </conditionalFormatting>
  <conditionalFormatting sqref="BS110:BS115 BW110:BW115">
    <cfRule type="cellIs" dxfId="131" priority="48" stopIfTrue="1" operator="equal">
      <formula>"Input"</formula>
    </cfRule>
  </conditionalFormatting>
  <conditionalFormatting sqref="BS116 BW116">
    <cfRule type="cellIs" dxfId="130" priority="47" stopIfTrue="1" operator="equal">
      <formula>"Input"</formula>
    </cfRule>
  </conditionalFormatting>
  <conditionalFormatting sqref="BS117 BW117">
    <cfRule type="cellIs" dxfId="129" priority="46" stopIfTrue="1" operator="equal">
      <formula>"Input"</formula>
    </cfRule>
  </conditionalFormatting>
  <conditionalFormatting sqref="BS118 BW118">
    <cfRule type="cellIs" dxfId="128" priority="45" stopIfTrue="1" operator="equal">
      <formula>"Input"</formula>
    </cfRule>
  </conditionalFormatting>
  <conditionalFormatting sqref="BS119 BW119">
    <cfRule type="cellIs" dxfId="127" priority="44" stopIfTrue="1" operator="equal">
      <formula>"Input"</formula>
    </cfRule>
  </conditionalFormatting>
  <conditionalFormatting sqref="BS80:BS89 BS93:BS103 BW93:BW103 BW80:BW89">
    <cfRule type="cellIs" dxfId="126" priority="43" stopIfTrue="1" operator="equal">
      <formula>"Input"</formula>
    </cfRule>
  </conditionalFormatting>
  <conditionalFormatting sqref="BS90 BW90">
    <cfRule type="cellIs" dxfId="125" priority="42" stopIfTrue="1" operator="equal">
      <formula>"Input"</formula>
    </cfRule>
  </conditionalFormatting>
  <conditionalFormatting sqref="BS91 BW91">
    <cfRule type="cellIs" dxfId="124" priority="41" stopIfTrue="1" operator="equal">
      <formula>"Input"</formula>
    </cfRule>
  </conditionalFormatting>
  <conditionalFormatting sqref="BS92 BW92">
    <cfRule type="cellIs" dxfId="123" priority="40" stopIfTrue="1" operator="equal">
      <formula>"Input"</formula>
    </cfRule>
  </conditionalFormatting>
  <conditionalFormatting sqref="BS130:BS135 BW130:BW135">
    <cfRule type="cellIs" dxfId="122" priority="39" stopIfTrue="1" operator="equal">
      <formula>"Input"</formula>
    </cfRule>
  </conditionalFormatting>
  <conditionalFormatting sqref="BS136 BW136">
    <cfRule type="cellIs" dxfId="121" priority="38" stopIfTrue="1" operator="equal">
      <formula>"Input"</formula>
    </cfRule>
  </conditionalFormatting>
  <conditionalFormatting sqref="BS137 BW137">
    <cfRule type="cellIs" dxfId="120" priority="37" stopIfTrue="1" operator="equal">
      <formula>"Input"</formula>
    </cfRule>
  </conditionalFormatting>
  <conditionalFormatting sqref="BS138 BW138">
    <cfRule type="cellIs" dxfId="119" priority="36" stopIfTrue="1" operator="equal">
      <formula>"Input"</formula>
    </cfRule>
  </conditionalFormatting>
  <conditionalFormatting sqref="BS139 BW139">
    <cfRule type="cellIs" dxfId="118" priority="35" stopIfTrue="1" operator="equal">
      <formula>"Input"</formula>
    </cfRule>
  </conditionalFormatting>
  <conditionalFormatting sqref="BO4:BQ4 BO2:BQ2">
    <cfRule type="cellIs" dxfId="117" priority="34" stopIfTrue="1" operator="equal">
      <formula>"input"</formula>
    </cfRule>
  </conditionalFormatting>
  <conditionalFormatting sqref="X4">
    <cfRule type="cellIs" dxfId="116" priority="33" stopIfTrue="1" operator="equal">
      <formula>"input"</formula>
    </cfRule>
  </conditionalFormatting>
  <conditionalFormatting sqref="BR2">
    <cfRule type="cellIs" dxfId="115" priority="31" stopIfTrue="1" operator="equal">
      <formula>"input"</formula>
    </cfRule>
  </conditionalFormatting>
  <conditionalFormatting sqref="BU2:BV2">
    <cfRule type="cellIs" dxfId="114" priority="30" stopIfTrue="1" operator="equal">
      <formula>"input"</formula>
    </cfRule>
  </conditionalFormatting>
  <conditionalFormatting sqref="BW2">
    <cfRule type="cellIs" dxfId="113" priority="29" stopIfTrue="1" operator="equal">
      <formula>"input"</formula>
    </cfRule>
  </conditionalFormatting>
  <conditionalFormatting sqref="AS2:AW3 AR154:AW154 AS4:AV4">
    <cfRule type="cellIs" dxfId="112" priority="28" stopIfTrue="1" operator="equal">
      <formula>"input"</formula>
    </cfRule>
  </conditionalFormatting>
  <conditionalFormatting sqref="AR4">
    <cfRule type="cellIs" dxfId="111" priority="27" stopIfTrue="1" operator="equal">
      <formula>"input"</formula>
    </cfRule>
  </conditionalFormatting>
  <conditionalFormatting sqref="BD154:BH154 BD2:BH4">
    <cfRule type="cellIs" dxfId="110" priority="26" stopIfTrue="1" operator="equal">
      <formula>"input"</formula>
    </cfRule>
  </conditionalFormatting>
  <conditionalFormatting sqref="BA4:BC4">
    <cfRule type="cellIs" dxfId="109" priority="25" stopIfTrue="1" operator="equal">
      <formula>"input"</formula>
    </cfRule>
  </conditionalFormatting>
  <conditionalFormatting sqref="R2:R4 Q154:R154 U154:W154 U2:W3 U4 W4">
    <cfRule type="cellIs" dxfId="108" priority="24" stopIfTrue="1" operator="equal">
      <formula>"input"</formula>
    </cfRule>
  </conditionalFormatting>
  <conditionalFormatting sqref="Q4">
    <cfRule type="cellIs" dxfId="107" priority="23" stopIfTrue="1" operator="equal">
      <formula>"input"</formula>
    </cfRule>
  </conditionalFormatting>
  <conditionalFormatting sqref="K2:K4 J154:K154 N154:P154 N2:P3 N4 P4">
    <cfRule type="cellIs" dxfId="106" priority="22" stopIfTrue="1" operator="equal">
      <formula>"input"</formula>
    </cfRule>
  </conditionalFormatting>
  <conditionalFormatting sqref="J4">
    <cfRule type="cellIs" dxfId="105" priority="21" stopIfTrue="1" operator="equal">
      <formula>"input"</formula>
    </cfRule>
  </conditionalFormatting>
  <conditionalFormatting sqref="D2:D4 C154:D154 G154:I154 G2:I3 G4 I4">
    <cfRule type="cellIs" dxfId="104" priority="20" stopIfTrue="1" operator="equal">
      <formula>"input"</formula>
    </cfRule>
  </conditionalFormatting>
  <conditionalFormatting sqref="C4">
    <cfRule type="cellIs" dxfId="103" priority="19" stopIfTrue="1" operator="equal">
      <formula>"input"</formula>
    </cfRule>
  </conditionalFormatting>
  <conditionalFormatting sqref="F154 F2:F4">
    <cfRule type="cellIs" dxfId="102" priority="18" stopIfTrue="1" operator="equal">
      <formula>"input"</formula>
    </cfRule>
  </conditionalFormatting>
  <conditionalFormatting sqref="E154 E2:E4">
    <cfRule type="cellIs" dxfId="101" priority="17" stopIfTrue="1" operator="equal">
      <formula>"input"</formula>
    </cfRule>
  </conditionalFormatting>
  <conditionalFormatting sqref="M154 M2:M4">
    <cfRule type="cellIs" dxfId="100" priority="16" stopIfTrue="1" operator="equal">
      <formula>"input"</formula>
    </cfRule>
  </conditionalFormatting>
  <conditionalFormatting sqref="L154 L2:L4">
    <cfRule type="cellIs" dxfId="99" priority="15" stopIfTrue="1" operator="equal">
      <formula>"input"</formula>
    </cfRule>
  </conditionalFormatting>
  <conditionalFormatting sqref="T154 T2:T4">
    <cfRule type="cellIs" dxfId="98" priority="14" stopIfTrue="1" operator="equal">
      <formula>"input"</formula>
    </cfRule>
  </conditionalFormatting>
  <conditionalFormatting sqref="S154 S2:S4">
    <cfRule type="cellIs" dxfId="97" priority="13" stopIfTrue="1" operator="equal">
      <formula>"input"</formula>
    </cfRule>
  </conditionalFormatting>
  <conditionalFormatting sqref="AA154 AA2:AA4">
    <cfRule type="cellIs" dxfId="96" priority="12" stopIfTrue="1" operator="equal">
      <formula>"input"</formula>
    </cfRule>
  </conditionalFormatting>
  <conditionalFormatting sqref="Z154 Z2:Z4">
    <cfRule type="cellIs" dxfId="95" priority="11" stopIfTrue="1" operator="equal">
      <formula>"input"</formula>
    </cfRule>
  </conditionalFormatting>
  <conditionalFormatting sqref="AO2:AO4 AO154">
    <cfRule type="cellIs" dxfId="94" priority="10" stopIfTrue="1" operator="equal">
      <formula>"input"</formula>
    </cfRule>
  </conditionalFormatting>
  <conditionalFormatting sqref="AN2:AN4 AN154">
    <cfRule type="cellIs" dxfId="93" priority="9" stopIfTrue="1" operator="equal">
      <formula>"input"</formula>
    </cfRule>
  </conditionalFormatting>
  <conditionalFormatting sqref="H4">
    <cfRule type="cellIs" dxfId="92" priority="8" stopIfTrue="1" operator="equal">
      <formula>"input"</formula>
    </cfRule>
  </conditionalFormatting>
  <conditionalFormatting sqref="O4">
    <cfRule type="cellIs" dxfId="91" priority="7" stopIfTrue="1" operator="equal">
      <formula>"input"</formula>
    </cfRule>
  </conditionalFormatting>
  <conditionalFormatting sqref="V4">
    <cfRule type="cellIs" dxfId="90" priority="6" stopIfTrue="1" operator="equal">
      <formula>"input"</formula>
    </cfRule>
  </conditionalFormatting>
  <conditionalFormatting sqref="AC4">
    <cfRule type="cellIs" dxfId="89" priority="5" stopIfTrue="1" operator="equal">
      <formula>"input"</formula>
    </cfRule>
  </conditionalFormatting>
  <conditionalFormatting sqref="AJ4">
    <cfRule type="cellIs" dxfId="88" priority="4" stopIfTrue="1" operator="equal">
      <formula>"input"</formula>
    </cfRule>
  </conditionalFormatting>
  <conditionalFormatting sqref="AP4">
    <cfRule type="cellIs" dxfId="87" priority="3" stopIfTrue="1" operator="equal">
      <formula>"input"</formula>
    </cfRule>
  </conditionalFormatting>
  <conditionalFormatting sqref="AW4">
    <cfRule type="cellIs" dxfId="86" priority="2" stopIfTrue="1" operator="equal">
      <formula>"input"</formula>
    </cfRule>
  </conditionalFormatting>
  <conditionalFormatting sqref="BR4">
    <cfRule type="cellIs" dxfId="85" priority="1" stopIfTrue="1" operator="equal">
      <formula>"input"</formula>
    </cfRule>
  </conditionalFormatting>
  <printOptions horizontalCentered="1"/>
  <pageMargins left="0.7" right="0.7" top="0.75" bottom="0.75" header="0.3" footer="0.3"/>
  <pageSetup scale="76" fitToWidth="0" fitToHeight="0" orientation="landscape" r:id="rId1"/>
  <headerFooter alignWithMargins="0"/>
  <rowBreaks count="2" manualBreakCount="2">
    <brk id="58" max="15" man="1"/>
    <brk id="105" max="15" man="1"/>
  </rowBreaks>
  <colBreaks count="8" manualBreakCount="8">
    <brk id="8" max="31" man="1"/>
    <brk id="15" max="31" man="1"/>
    <brk id="22" max="31" man="1"/>
    <brk id="29" max="31" man="1"/>
    <brk id="36" max="31" man="1"/>
    <brk id="42" max="31" man="1"/>
    <brk id="49" max="31" man="1"/>
    <brk id="55" max="32" man="1"/>
  </colBreak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74"/>
  <sheetViews>
    <sheetView showGridLines="0" view="pageBreakPreview" topLeftCell="BB4" zoomScale="85" zoomScaleNormal="100" zoomScaleSheetLayoutView="85" workbookViewId="0">
      <selection activeCell="BI31" sqref="BI31"/>
    </sheetView>
  </sheetViews>
  <sheetFormatPr defaultColWidth="8" defaultRowHeight="12.75" outlineLevelRow="1"/>
  <cols>
    <col min="1" max="1" width="1.5703125" style="200" customWidth="1"/>
    <col min="2" max="2" width="60.5703125" style="200" customWidth="1"/>
    <col min="3" max="7" width="10.28515625" style="200" customWidth="1"/>
    <col min="8" max="8" width="10.7109375" style="200" customWidth="1"/>
    <col min="9" max="9" width="11" style="200" customWidth="1"/>
    <col min="10" max="10" width="2.5703125" style="200" customWidth="1"/>
    <col min="11" max="17" width="10.28515625" style="200" customWidth="1"/>
    <col min="18" max="18" width="2.42578125" style="200" customWidth="1"/>
    <col min="19" max="25" width="10.28515625" style="200" customWidth="1"/>
    <col min="26" max="26" width="2.42578125" style="200" customWidth="1"/>
    <col min="27" max="33" width="10.28515625" style="200" customWidth="1"/>
    <col min="34" max="34" width="2.42578125" style="200" customWidth="1"/>
    <col min="35" max="40" width="10.28515625" style="200" customWidth="1"/>
    <col min="41" max="41" width="10.5703125" style="200" customWidth="1"/>
    <col min="42" max="42" width="2.42578125" style="200" customWidth="1"/>
    <col min="43" max="49" width="10.28515625" style="200" customWidth="1"/>
    <col min="50" max="50" width="2.42578125" style="200" customWidth="1"/>
    <col min="51" max="53" width="10.28515625" style="200" customWidth="1"/>
    <col min="54" max="54" width="12.42578125" style="200" customWidth="1"/>
    <col min="55" max="57" width="10.28515625" style="200" customWidth="1"/>
    <col min="58" max="58" width="2.42578125" style="200" customWidth="1"/>
    <col min="59" max="64" width="10.28515625" style="200" customWidth="1"/>
    <col min="65" max="65" width="10.5703125" style="200" customWidth="1"/>
    <col min="66" max="66" width="1.5703125" style="200" customWidth="1"/>
    <col min="67" max="68" width="10.5703125" style="200" customWidth="1"/>
    <col min="69" max="69" width="12.42578125" style="200" bestFit="1" customWidth="1"/>
    <col min="70" max="70" width="12.28515625" style="200" customWidth="1"/>
    <col min="71" max="72" width="8" style="200"/>
    <col min="73" max="73" width="9.140625" style="200" bestFit="1" customWidth="1"/>
    <col min="74" max="16384" width="8" style="200"/>
  </cols>
  <sheetData>
    <row r="1" spans="1:85" s="78" customFormat="1" ht="17.649999999999999" customHeight="1" thickBot="1">
      <c r="A1" s="77"/>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17"/>
      <c r="BP1" s="717"/>
      <c r="BQ1" s="717"/>
      <c r="BR1" s="172"/>
      <c r="BS1" s="172"/>
    </row>
    <row r="2" spans="1:85" s="81" customFormat="1" ht="16.5" thickTop="1">
      <c r="A2" s="80"/>
      <c r="B2" s="82" t="str">
        <f>Outline!B2</f>
        <v>Satellite Healthcare WB Santa Cruz Valuation</v>
      </c>
      <c r="C2" s="82"/>
      <c r="D2" s="82"/>
      <c r="E2" s="82"/>
      <c r="F2" s="82"/>
      <c r="G2" s="83"/>
      <c r="H2" s="83"/>
      <c r="I2" s="83"/>
      <c r="J2" s="83"/>
      <c r="K2" s="83"/>
      <c r="L2" s="83"/>
      <c r="M2" s="83"/>
      <c r="N2" s="83"/>
      <c r="O2" s="83"/>
      <c r="P2" s="83"/>
      <c r="Q2" s="83"/>
      <c r="R2" s="83"/>
      <c r="S2" s="83"/>
      <c r="T2" s="83"/>
      <c r="U2" s="83"/>
      <c r="V2" s="83"/>
      <c r="W2" s="83"/>
      <c r="X2" s="83"/>
      <c r="Y2" s="83"/>
      <c r="Z2" s="83"/>
      <c r="AA2" s="83"/>
      <c r="AB2" s="83"/>
      <c r="AC2" s="83"/>
      <c r="AD2" s="82"/>
      <c r="AE2" s="83"/>
      <c r="AF2" s="83"/>
      <c r="AG2" s="83"/>
      <c r="AH2" s="83"/>
      <c r="AI2" s="83"/>
      <c r="AJ2" s="83"/>
      <c r="AK2" s="83"/>
      <c r="AL2" s="83"/>
      <c r="AM2" s="83"/>
      <c r="AN2" s="83"/>
      <c r="AO2" s="83"/>
      <c r="AP2" s="83"/>
      <c r="AQ2" s="83"/>
      <c r="AR2" s="83"/>
      <c r="AS2" s="83"/>
      <c r="AT2" s="82"/>
      <c r="AU2" s="83"/>
      <c r="AV2" s="83"/>
      <c r="AW2" s="83"/>
      <c r="AX2" s="83"/>
      <c r="AY2" s="83"/>
      <c r="AZ2" s="83"/>
      <c r="BA2" s="83"/>
      <c r="BB2" s="82"/>
      <c r="BC2" s="83"/>
      <c r="BD2" s="83"/>
      <c r="BE2" s="83"/>
      <c r="BF2" s="83"/>
      <c r="BG2" s="83"/>
      <c r="BH2" s="83"/>
      <c r="BI2" s="83"/>
      <c r="BJ2" s="83"/>
      <c r="BK2" s="83"/>
      <c r="BL2" s="83"/>
      <c r="BM2" s="83"/>
      <c r="BN2" s="783"/>
      <c r="BO2" s="97"/>
      <c r="BP2" s="718" t="s">
        <v>132</v>
      </c>
      <c r="BQ2" s="719"/>
      <c r="BR2" s="720">
        <f>'E1'!$AX$2</f>
        <v>43465</v>
      </c>
      <c r="BS2" s="97"/>
    </row>
    <row r="3" spans="1:85" s="81" customFormat="1" ht="15.75">
      <c r="A3" s="88"/>
      <c r="B3" s="89" t="str">
        <f>Outline!C43</f>
        <v>Workpaper 4</v>
      </c>
      <c r="C3" s="89"/>
      <c r="D3" s="89"/>
      <c r="E3" s="89"/>
      <c r="F3" s="86"/>
      <c r="G3" s="86"/>
      <c r="H3" s="86"/>
      <c r="I3" s="86"/>
      <c r="J3" s="86"/>
      <c r="K3" s="86"/>
      <c r="L3" s="86"/>
      <c r="M3" s="86"/>
      <c r="N3" s="86"/>
      <c r="O3" s="86"/>
      <c r="P3" s="86"/>
      <c r="Q3" s="86"/>
      <c r="R3" s="86"/>
      <c r="S3" s="86"/>
      <c r="T3" s="86"/>
      <c r="U3" s="86"/>
      <c r="V3" s="86"/>
      <c r="W3" s="86"/>
      <c r="X3" s="86"/>
      <c r="Y3" s="86"/>
      <c r="Z3" s="86"/>
      <c r="AA3" s="86"/>
      <c r="AB3" s="86"/>
      <c r="AC3" s="86"/>
      <c r="AD3" s="89"/>
      <c r="AE3" s="86"/>
      <c r="AF3" s="86"/>
      <c r="AG3" s="86"/>
      <c r="AH3" s="86"/>
      <c r="AI3" s="86"/>
      <c r="AJ3" s="86"/>
      <c r="AK3" s="86"/>
      <c r="AL3" s="86"/>
      <c r="AM3" s="86"/>
      <c r="AN3" s="86"/>
      <c r="AO3" s="86"/>
      <c r="AP3" s="86"/>
      <c r="AQ3" s="86"/>
      <c r="AR3" s="86"/>
      <c r="AS3" s="86"/>
      <c r="AT3" s="89"/>
      <c r="AU3" s="86"/>
      <c r="AV3" s="86"/>
      <c r="AW3" s="86"/>
      <c r="AX3" s="86"/>
      <c r="AY3" s="86"/>
      <c r="AZ3" s="86"/>
      <c r="BA3" s="86"/>
      <c r="BB3" s="89"/>
      <c r="BC3" s="86"/>
      <c r="BD3" s="86"/>
      <c r="BE3" s="86"/>
      <c r="BF3" s="86"/>
      <c r="BG3" s="86"/>
      <c r="BH3" s="86"/>
      <c r="BI3" s="86"/>
      <c r="BJ3" s="86"/>
      <c r="BK3" s="86"/>
      <c r="BL3" s="86"/>
      <c r="BM3" s="86"/>
      <c r="BN3" s="783"/>
      <c r="BO3" s="97"/>
      <c r="BP3" s="472" t="s">
        <v>134</v>
      </c>
      <c r="BQ3" s="721"/>
      <c r="BR3" s="473" t="s">
        <v>135</v>
      </c>
      <c r="BS3" s="97"/>
    </row>
    <row r="4" spans="1:85" s="81" customFormat="1" ht="16.5" thickBot="1">
      <c r="A4" s="80"/>
      <c r="B4" s="91" t="s">
        <v>462</v>
      </c>
      <c r="C4" s="91"/>
      <c r="D4" s="91"/>
      <c r="E4" s="91"/>
      <c r="F4" s="91"/>
      <c r="G4" s="92"/>
      <c r="H4" s="92"/>
      <c r="I4" s="94" t="str">
        <f>'Beta Calc'!$R$4</f>
        <v>Values in $ Millions</v>
      </c>
      <c r="J4" s="92"/>
      <c r="K4" s="92"/>
      <c r="L4" s="92"/>
      <c r="M4" s="92"/>
      <c r="N4" s="92"/>
      <c r="O4" s="92"/>
      <c r="P4" s="92"/>
      <c r="Q4" s="94" t="str">
        <f>'Trends for Comparables_Historic'!$BR$4</f>
        <v>Values in $ Millions</v>
      </c>
      <c r="R4" s="92"/>
      <c r="S4" s="92"/>
      <c r="T4" s="92"/>
      <c r="U4" s="92"/>
      <c r="V4" s="92"/>
      <c r="W4" s="92"/>
      <c r="X4" s="92"/>
      <c r="Y4" s="94" t="str">
        <f>'Beta Calc'!$R$4</f>
        <v>Values in $ Millions</v>
      </c>
      <c r="Z4" s="92"/>
      <c r="AA4" s="92"/>
      <c r="AB4" s="92"/>
      <c r="AC4" s="92"/>
      <c r="AD4" s="91"/>
      <c r="AE4" s="92"/>
      <c r="AF4" s="92"/>
      <c r="AG4" s="94" t="str">
        <f>'Trends for Comparables_Historic'!$BR$4</f>
        <v>Values in $ Millions</v>
      </c>
      <c r="AH4" s="92"/>
      <c r="AI4" s="92"/>
      <c r="AJ4" s="92"/>
      <c r="AK4" s="92"/>
      <c r="AL4" s="92"/>
      <c r="AM4" s="92"/>
      <c r="AN4" s="92"/>
      <c r="AO4" s="94" t="str">
        <f>'Beta Calc'!$R$4</f>
        <v>Values in $ Millions</v>
      </c>
      <c r="AP4" s="92"/>
      <c r="AQ4" s="92"/>
      <c r="AR4" s="92"/>
      <c r="AS4" s="92"/>
      <c r="AT4" s="91"/>
      <c r="AU4" s="92"/>
      <c r="AV4" s="92"/>
      <c r="AW4" s="94" t="str">
        <f>'Trends for Comparables_Historic'!$BR$4</f>
        <v>Values in $ Millions</v>
      </c>
      <c r="AX4" s="92"/>
      <c r="AY4" s="92"/>
      <c r="AZ4" s="92"/>
      <c r="BA4" s="92"/>
      <c r="BB4" s="91"/>
      <c r="BC4" s="92"/>
      <c r="BD4" s="92"/>
      <c r="BE4" s="94" t="str">
        <f>'Beta Calc'!$R$4</f>
        <v>Values in $ Millions</v>
      </c>
      <c r="BF4" s="92"/>
      <c r="BG4" s="92"/>
      <c r="BH4" s="92"/>
      <c r="BI4" s="92"/>
      <c r="BJ4" s="92"/>
      <c r="BK4" s="92"/>
      <c r="BL4" s="92"/>
      <c r="BM4" s="94" t="str">
        <f>'Trends for Comparables_Historic'!$BR$4</f>
        <v>Values in $ Millions</v>
      </c>
      <c r="BN4" s="784"/>
      <c r="BO4" s="97"/>
      <c r="BP4" s="474" t="s">
        <v>136</v>
      </c>
      <c r="BQ4" s="97"/>
      <c r="BR4" s="475" t="s">
        <v>137</v>
      </c>
      <c r="BS4" s="97"/>
    </row>
    <row r="5" spans="1:85" s="81" customFormat="1" ht="16.5" thickTop="1">
      <c r="A5" s="96"/>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470" t="s">
        <v>139</v>
      </c>
      <c r="BQ5" s="716"/>
      <c r="BR5" s="471" t="s">
        <v>140</v>
      </c>
      <c r="BS5" s="97"/>
      <c r="BT5" s="97"/>
      <c r="BU5" s="97"/>
      <c r="BV5" s="97"/>
      <c r="BW5" s="97"/>
      <c r="BX5" s="97"/>
      <c r="BY5" s="97"/>
      <c r="BZ5" s="97"/>
      <c r="CA5" s="97"/>
      <c r="CB5" s="97"/>
      <c r="CC5" s="97"/>
      <c r="CD5" s="97"/>
      <c r="CE5" s="97"/>
      <c r="CF5" s="97"/>
      <c r="CG5" s="97"/>
    </row>
    <row r="6" spans="1:85" s="97" customFormat="1">
      <c r="A6" s="96"/>
    </row>
    <row r="7" spans="1:85" s="101" customFormat="1">
      <c r="A7" s="100"/>
      <c r="C7" s="102" t="s">
        <v>453</v>
      </c>
      <c r="D7" s="102"/>
      <c r="E7" s="103"/>
      <c r="F7" s="103"/>
      <c r="G7" s="104"/>
      <c r="H7" s="104"/>
      <c r="I7" s="105"/>
      <c r="J7" s="106"/>
      <c r="K7" s="102" t="s">
        <v>454</v>
      </c>
      <c r="L7" s="102"/>
      <c r="M7" s="104"/>
      <c r="N7" s="104"/>
      <c r="O7" s="104"/>
      <c r="P7" s="104"/>
      <c r="Q7" s="105"/>
      <c r="R7" s="100"/>
      <c r="S7" s="102" t="s">
        <v>455</v>
      </c>
      <c r="T7" s="102"/>
      <c r="U7" s="104"/>
      <c r="V7" s="104"/>
      <c r="W7" s="104"/>
      <c r="X7" s="104"/>
      <c r="Y7" s="105"/>
      <c r="Z7" s="100"/>
      <c r="AA7" s="102" t="s">
        <v>456</v>
      </c>
      <c r="AB7" s="102"/>
      <c r="AC7" s="104"/>
      <c r="AD7" s="104"/>
      <c r="AE7" s="104"/>
      <c r="AF7" s="104"/>
      <c r="AG7" s="105"/>
      <c r="AH7" s="100"/>
      <c r="AI7" s="102" t="s">
        <v>457</v>
      </c>
      <c r="AJ7" s="102"/>
      <c r="AK7" s="104"/>
      <c r="AL7" s="104"/>
      <c r="AM7" s="104"/>
      <c r="AN7" s="104"/>
      <c r="AO7" s="105"/>
      <c r="AP7" s="100"/>
      <c r="AQ7" s="102" t="s">
        <v>461</v>
      </c>
      <c r="AR7" s="102"/>
      <c r="AS7" s="104"/>
      <c r="AT7" s="104"/>
      <c r="AU7" s="104"/>
      <c r="AV7" s="104"/>
      <c r="AW7" s="105"/>
      <c r="AX7" s="100"/>
      <c r="AY7" s="102" t="s">
        <v>459</v>
      </c>
      <c r="AZ7" s="102"/>
      <c r="BA7" s="104"/>
      <c r="BB7" s="104"/>
      <c r="BC7" s="104"/>
      <c r="BD7" s="104"/>
      <c r="BE7" s="105"/>
      <c r="BF7" s="100"/>
      <c r="BG7" s="102" t="s">
        <v>460</v>
      </c>
      <c r="BH7" s="102"/>
      <c r="BI7" s="104"/>
      <c r="BJ7" s="104"/>
      <c r="BK7" s="104"/>
      <c r="BL7" s="104"/>
      <c r="BM7" s="105"/>
      <c r="BN7" s="100"/>
      <c r="BP7" s="95"/>
      <c r="BQ7" s="95"/>
      <c r="BR7" s="95"/>
      <c r="BS7" s="95"/>
    </row>
    <row r="8" spans="1:85" s="111" customFormat="1" ht="30">
      <c r="B8" s="112" t="s">
        <v>94</v>
      </c>
      <c r="C8" s="732">
        <f t="shared" ref="C8:H8" si="0">D8+1</f>
        <v>2022</v>
      </c>
      <c r="D8" s="732">
        <f t="shared" si="0"/>
        <v>2021</v>
      </c>
      <c r="E8" s="732">
        <f t="shared" si="0"/>
        <v>2020</v>
      </c>
      <c r="F8" s="732">
        <f t="shared" si="0"/>
        <v>2019</v>
      </c>
      <c r="G8" s="732">
        <f t="shared" si="0"/>
        <v>2018</v>
      </c>
      <c r="H8" s="732">
        <f t="shared" si="0"/>
        <v>2017</v>
      </c>
      <c r="I8" s="1036">
        <v>2016</v>
      </c>
      <c r="J8" s="114"/>
      <c r="K8" s="732">
        <f t="shared" ref="K8:Q8" si="1">C8</f>
        <v>2022</v>
      </c>
      <c r="L8" s="732">
        <f t="shared" si="1"/>
        <v>2021</v>
      </c>
      <c r="M8" s="732">
        <f t="shared" si="1"/>
        <v>2020</v>
      </c>
      <c r="N8" s="732">
        <f t="shared" si="1"/>
        <v>2019</v>
      </c>
      <c r="O8" s="732">
        <f t="shared" si="1"/>
        <v>2018</v>
      </c>
      <c r="P8" s="732">
        <f t="shared" si="1"/>
        <v>2017</v>
      </c>
      <c r="Q8" s="732">
        <f t="shared" si="1"/>
        <v>2016</v>
      </c>
      <c r="R8" s="113"/>
      <c r="S8" s="732">
        <f>K8</f>
        <v>2022</v>
      </c>
      <c r="T8" s="732">
        <f t="shared" ref="T8:Y8" si="2">L8</f>
        <v>2021</v>
      </c>
      <c r="U8" s="732">
        <f t="shared" si="2"/>
        <v>2020</v>
      </c>
      <c r="V8" s="732">
        <f t="shared" si="2"/>
        <v>2019</v>
      </c>
      <c r="W8" s="732">
        <f t="shared" si="2"/>
        <v>2018</v>
      </c>
      <c r="X8" s="732">
        <f t="shared" si="2"/>
        <v>2017</v>
      </c>
      <c r="Y8" s="732">
        <f t="shared" si="2"/>
        <v>2016</v>
      </c>
      <c r="Z8" s="95"/>
      <c r="AA8" s="732">
        <f t="shared" ref="AA8:AF8" si="3">S8</f>
        <v>2022</v>
      </c>
      <c r="AB8" s="732">
        <f t="shared" si="3"/>
        <v>2021</v>
      </c>
      <c r="AC8" s="732">
        <f t="shared" si="3"/>
        <v>2020</v>
      </c>
      <c r="AD8" s="732">
        <f t="shared" si="3"/>
        <v>2019</v>
      </c>
      <c r="AE8" s="732">
        <f t="shared" si="3"/>
        <v>2018</v>
      </c>
      <c r="AF8" s="732">
        <f t="shared" si="3"/>
        <v>2017</v>
      </c>
      <c r="AG8" s="732" t="s">
        <v>485</v>
      </c>
      <c r="AH8" s="113"/>
      <c r="AI8" s="732">
        <f t="shared" ref="AI8:AN8" si="4">AA8</f>
        <v>2022</v>
      </c>
      <c r="AJ8" s="732">
        <f t="shared" si="4"/>
        <v>2021</v>
      </c>
      <c r="AK8" s="732">
        <f t="shared" si="4"/>
        <v>2020</v>
      </c>
      <c r="AL8" s="732">
        <f t="shared" si="4"/>
        <v>2019</v>
      </c>
      <c r="AM8" s="732">
        <f t="shared" si="4"/>
        <v>2018</v>
      </c>
      <c r="AN8" s="732">
        <f t="shared" si="4"/>
        <v>2017</v>
      </c>
      <c r="AO8" s="732" t="s">
        <v>485</v>
      </c>
      <c r="AP8" s="95"/>
      <c r="AQ8" s="732">
        <f t="shared" ref="AQ8:AV8" si="5">AI8</f>
        <v>2022</v>
      </c>
      <c r="AR8" s="732">
        <f t="shared" si="5"/>
        <v>2021</v>
      </c>
      <c r="AS8" s="732">
        <f t="shared" si="5"/>
        <v>2020</v>
      </c>
      <c r="AT8" s="732">
        <f t="shared" si="5"/>
        <v>2019</v>
      </c>
      <c r="AU8" s="732">
        <f t="shared" si="5"/>
        <v>2018</v>
      </c>
      <c r="AV8" s="732">
        <f t="shared" si="5"/>
        <v>2017</v>
      </c>
      <c r="AW8" s="732" t="s">
        <v>463</v>
      </c>
      <c r="AX8" s="95"/>
      <c r="AY8" s="732">
        <v>2021</v>
      </c>
      <c r="AZ8" s="732">
        <v>2020</v>
      </c>
      <c r="BA8" s="732">
        <v>2019</v>
      </c>
      <c r="BB8" s="732">
        <v>2018</v>
      </c>
      <c r="BC8" s="732">
        <v>2017</v>
      </c>
      <c r="BD8" s="732">
        <v>2016</v>
      </c>
      <c r="BE8" s="732" t="s">
        <v>463</v>
      </c>
      <c r="BF8" s="113"/>
      <c r="BG8" s="732">
        <v>2021</v>
      </c>
      <c r="BH8" s="732">
        <v>2020</v>
      </c>
      <c r="BI8" s="732">
        <v>2019</v>
      </c>
      <c r="BJ8" s="732">
        <v>2018</v>
      </c>
      <c r="BK8" s="732">
        <v>2017</v>
      </c>
      <c r="BL8" s="732">
        <v>2016</v>
      </c>
      <c r="BM8" s="732" t="s">
        <v>463</v>
      </c>
      <c r="BN8" s="732"/>
      <c r="BO8" s="113"/>
      <c r="BP8" s="113"/>
      <c r="BQ8" s="113"/>
      <c r="BR8" s="113"/>
    </row>
    <row r="9" spans="1:85" s="117" customFormat="1" ht="15">
      <c r="A9" s="116"/>
      <c r="B9" s="95"/>
      <c r="C9" s="95"/>
      <c r="D9" s="95"/>
      <c r="E9" s="95"/>
      <c r="F9" s="95"/>
      <c r="G9" s="95"/>
      <c r="J9" s="97"/>
      <c r="K9" s="95"/>
      <c r="L9" s="95"/>
      <c r="M9" s="95"/>
      <c r="N9" s="95"/>
      <c r="O9" s="95"/>
      <c r="R9" s="95"/>
      <c r="S9" s="95"/>
      <c r="T9" s="95"/>
      <c r="U9" s="95"/>
      <c r="V9" s="95"/>
      <c r="W9" s="95"/>
      <c r="X9" s="95"/>
      <c r="Z9" s="95"/>
      <c r="AA9" s="95"/>
      <c r="AB9" s="95"/>
      <c r="AC9" s="95"/>
      <c r="AD9" s="95"/>
      <c r="AE9" s="95"/>
      <c r="AH9" s="95"/>
      <c r="AI9" s="95"/>
      <c r="AJ9" s="95"/>
      <c r="AK9" s="95"/>
      <c r="AL9" s="95"/>
      <c r="AM9" s="95"/>
      <c r="AN9" s="95"/>
      <c r="AP9" s="95"/>
      <c r="AQ9" s="95"/>
      <c r="AR9" s="95"/>
      <c r="AS9" s="95"/>
      <c r="AT9" s="95"/>
      <c r="AU9" s="95"/>
      <c r="AX9" s="95"/>
      <c r="AY9" s="95"/>
      <c r="AZ9" s="95"/>
      <c r="BA9" s="95"/>
      <c r="BB9" s="95"/>
      <c r="BC9" s="95"/>
      <c r="BF9" s="95"/>
      <c r="BG9" s="95"/>
      <c r="BH9" s="95"/>
      <c r="BI9" s="95"/>
      <c r="BJ9" s="95"/>
      <c r="BK9" s="95"/>
      <c r="BL9" s="95"/>
      <c r="BM9" s="95"/>
      <c r="BN9" s="95"/>
      <c r="BP9"/>
      <c r="BQ9"/>
      <c r="BR9"/>
    </row>
    <row r="10" spans="1:85" s="117" customFormat="1" ht="15">
      <c r="B10" s="121" t="str">
        <f>_xll.ciqfunctions.udf.CIQ($BT10,"IQ_COMPANY_NAME")</f>
        <v>Fresenius Medical Care AG &amp; Co. KGaA</v>
      </c>
      <c r="C10" s="737">
        <f>IF(_xll.ciqfunctions.udf.CIQ($BT10, "IQ_REVENUE_MEDIAN_EST_CIQ", "FY"&amp;C$8, $BR$2, "CON", $BR$3, $BR$4, $BR$5)=0,"n/a",_xll.ciqfunctions.udf.CIQ($BT10, "IQ_REVENUE_MEDIAN_EST_CIQ", "FY"&amp;C$8, $BR$2, "CON", $BR$3, $BR$4, $BR$5))</f>
        <v>24000.113000000001</v>
      </c>
      <c r="D10" s="737">
        <f>IF(_xll.ciqfunctions.udf.CIQ($BT10, "IQ_REVENUE_MEDIAN_EST_CIQ", "FY"&amp;D$8, $BR$2, "CON", $BR$3, $BR$4, $BR$5)=0,"n/a",_xll.ciqfunctions.udf.CIQ($BT10, "IQ_REVENUE_MEDIAN_EST_CIQ", "FY"&amp;D$8, $BR$2, "CON", $BR$3, $BR$4, $BR$5))</f>
        <v>22323.897499999999</v>
      </c>
      <c r="E10" s="737">
        <f>IF(_xll.ciqfunctions.udf.CIQ($BT10, "IQ_REVENUE_MEDIAN_EST_CIQ", "FY"&amp;E$8, $BR$2, "CON", $BR$3, $BR$4, $BR$5)=0,"n/a",_xll.ciqfunctions.udf.CIQ($BT10, "IQ_REVENUE_MEDIAN_EST_CIQ", "FY"&amp;E$8, $BR$2, "CON", $BR$3, $BR$4, $BR$5))</f>
        <v>20745.904500000001</v>
      </c>
      <c r="F10" s="737">
        <f>IF(_xll.ciqfunctions.udf.CIQ($BT10, "IQ_REVENUE_MEDIAN_EST_CIQ", "FY"&amp;F$8, $BR$2, "CON", $BR$3, $BR$4, $BR$5)=0,"n/a",_xll.ciqfunctions.udf.CIQ($BT10, "IQ_REVENUE_MEDIAN_EST_CIQ", "FY"&amp;F$8, $BR$2, "CON", $BR$3, $BR$4, $BR$5))</f>
        <v>19587.558000000001</v>
      </c>
      <c r="G10" s="737">
        <f>IF(_xll.ciqfunctions.udf.CIQ($BT10, "IQ_REVENUE_MEDIAN_EST_CIQ", "FY"&amp;G$8, $BR$2, "CON", $BR$3, $BR$4, $BR$5)=0,"n/a",_xll.ciqfunctions.udf.CIQ($BT10, "IQ_REVENUE_MEDIAN_EST_CIQ", "FY"&amp;G$8, $BR$2, "CON", $BR$3, $BR$4, $BR$5))</f>
        <v>18699.199499999999</v>
      </c>
      <c r="H10" s="737">
        <f>IF(_xll.ciqfunctions.udf.CIQ($BT10, "IQ_REVENUE_MEDIAN_EST_CIQ", "FY"&amp;H$8, $BR$2, "CON", $BR$3, $BR$4, $BR$5)=0,"n/a",_xll.ciqfunctions.udf.CIQ($BT10, "IQ_REVENUE_MEDIAN_EST_CIQ", "FY"&amp;H$8, $BR$2, "CON", $BR$3, $BR$4, $BR$5))</f>
        <v>21317.415000000001</v>
      </c>
      <c r="I10" s="737">
        <f>_xll.ciqfunctions.udf.CIQ($BT10, "IQ_TOTAL_REV", "FY"&amp;I$8, $BR$2)</f>
        <v>17491.51801</v>
      </c>
      <c r="J10" s="735"/>
      <c r="K10" s="737">
        <f>IF(_xll.ciqfunctions.udf.CIQ($BT10, "IQ_EBITDA_MEDIAN_EST_CIQ", "FY"&amp;K$8, $BR$2, "CON", $BR$3, $BR$4, $BR$5)=0,"n/a",_xll.ciqfunctions.udf.CIQ($BT10, "IQ_EBITDA_MEDIAN_EST_CIQ", "FY"&amp;K$8, $BR$2, "CON", $BR$3, $BR$4, $BR$5))</f>
        <v>4432.3935000000001</v>
      </c>
      <c r="L10" s="737">
        <f>IF(_xll.ciqfunctions.udf.CIQ($BT10, "IQ_EBITDA_MEDIAN_EST_CIQ", "FY"&amp;L$8, $BR$2, "CON", $BR$3, $BR$4, $BR$5)=0,"n/a",_xll.ciqfunctions.udf.CIQ($BT10, "IQ_EBITDA_MEDIAN_EST_CIQ", "FY"&amp;L$8, $BR$2, "CON", $BR$3, $BR$4, $BR$5))</f>
        <v>4228.7275</v>
      </c>
      <c r="M10" s="737">
        <f>IF(_xll.ciqfunctions.udf.CIQ($BT10, "IQ_EBITDA_MEDIAN_EST_CIQ", "FY"&amp;M$8, $BR$2, "CON", $BR$3, $BR$4, $BR$5)=0,"n/a",_xll.ciqfunctions.udf.CIQ($BT10, "IQ_EBITDA_MEDIAN_EST_CIQ", "FY"&amp;M$8, $BR$2, "CON", $BR$3, $BR$4, $BR$5))</f>
        <v>3957.0729999999999</v>
      </c>
      <c r="N10" s="737">
        <f>IF(_xll.ciqfunctions.udf.CIQ($BT10, "IQ_EBITDA_MEDIAN_EST_CIQ", "FY"&amp;N$8, $BR$2, "CON", $BR$3, $BR$4, $BR$5)=0,"n/a",_xll.ciqfunctions.udf.CIQ($BT10, "IQ_EBITDA_MEDIAN_EST_CIQ", "FY"&amp;N$8, $BR$2, "CON", $BR$3, $BR$4, $BR$5))</f>
        <v>3699.7860000000001</v>
      </c>
      <c r="O10" s="737">
        <f>IF(_xll.ciqfunctions.udf.CIQ($BT10, "IQ_EBITDA_MEDIAN_EST_CIQ", "FY"&amp;O$8, $BR$2, "CON", $BR$3, $BR$4, $BR$5)=0,"n/a",_xll.ciqfunctions.udf.CIQ($BT10, "IQ_EBITDA_MEDIAN_EST_CIQ", "FY"&amp;O$8, $BR$2, "CON", $BR$3, $BR$4, $BR$5))</f>
        <v>3654.1990000000001</v>
      </c>
      <c r="P10" s="737">
        <f>IF(_xll.ciqfunctions.udf.CIQ($BT10, "IQ_EBITDA_MEDIAN_EST_CIQ", "FY"&amp;P$8, $BR$2, "CON", $BR$3, $BR$4, $BR$5)=0,"n/a",_xll.ciqfunctions.udf.CIQ($BT10, "IQ_EBITDA_MEDIAN_EST_CIQ", "FY"&amp;P$8, $BR$2, "CON", $BR$3, $BR$4, $BR$5))</f>
        <v>3910.57836</v>
      </c>
      <c r="Q10" s="737">
        <f>_xll.ciqfunctions.udf.CIQ($BT10, "IQ_EBITDA", "FY"&amp;Q$8, $BR$2)</f>
        <v>3221.5760599999999</v>
      </c>
      <c r="R10" s="735"/>
      <c r="S10" s="737">
        <f>IF(_xll.ciqfunctions.udf.CIQ($BT10, "IQ_EBIT_MEDIAN_EST_CIQ", "FY"&amp;S$8, $BR$2, "CON", $BR$3, $BR$4, $BR$5)=0,"n/a",_xll.ciqfunctions.udf.CIQ($BT10, "IQ_EBIT_MEDIAN_EST_CIQ", "FY"&amp;S$8, $BR$2, "CON", $BR$3, $BR$4, $BR$5))</f>
        <v>3469.511</v>
      </c>
      <c r="T10" s="737">
        <f>IF(_xll.ciqfunctions.udf.CIQ($BT10, "IQ_EBIT_MEDIAN_EST_CIQ", "FY"&amp;T$8, $BR$2, "CON", $BR$3, $BR$4, $BR$5)=0,"n/a",_xll.ciqfunctions.udf.CIQ($BT10, "IQ_EBIT_MEDIAN_EST_CIQ", "FY"&amp;T$8, $BR$2, "CON", $BR$3, $BR$4, $BR$5))</f>
        <v>3253.4989999999998</v>
      </c>
      <c r="U10" s="737">
        <f>IF(_xll.ciqfunctions.udf.CIQ($BT10, "IQ_EBIT_MEDIAN_EST_CIQ", "FY"&amp;U$8, $BR$2, "CON", $BR$3, $BR$4, $BR$5)=0,"n/a",_xll.ciqfunctions.udf.CIQ($BT10, "IQ_EBIT_MEDIAN_EST_CIQ", "FY"&amp;U$8, $BR$2, "CON", $BR$3, $BR$4, $BR$5))</f>
        <v>2991.7289999999998</v>
      </c>
      <c r="V10" s="737">
        <f>IF(_xll.ciqfunctions.udf.CIQ($BT10, "IQ_EBIT_MEDIAN_EST_CIQ", "FY"&amp;V$8, $BR$2, "CON", $BR$3, $BR$4, $BR$5)=0,"n/a",_xll.ciqfunctions.udf.CIQ($BT10, "IQ_EBIT_MEDIAN_EST_CIQ", "FY"&amp;V$8, $BR$2, "CON", $BR$3, $BR$4, $BR$5))</f>
        <v>2792.223</v>
      </c>
      <c r="W10" s="737">
        <f>IF(_xll.ciqfunctions.udf.CIQ($BT10, "IQ_EBIT_MEDIAN_EST_CIQ", "FY"&amp;W$8, $BR$2, "CON", $BR$3, $BR$4, $BR$5)=0,"n/a",_xll.ciqfunctions.udf.CIQ($BT10, "IQ_EBIT_MEDIAN_EST_CIQ", "FY"&amp;W$8, $BR$2, "CON", $BR$3, $BR$4, $BR$5))</f>
        <v>3371.56</v>
      </c>
      <c r="X10" s="737">
        <f>IF(_xll.ciqfunctions.udf.CIQ($BT10, "IQ_EBIT_MEDIAN_EST_CIQ", "FY"&amp;X$8, $BR$2, "CON", $BR$3, $BR$4, $BR$5)=0,"n/a",_xll.ciqfunctions.udf.CIQ($BT10, "IQ_EBIT_MEDIAN_EST_CIQ", "FY"&amp;X$8, $BR$2, "CON", $BR$3, $BR$4, $BR$5))</f>
        <v>3070.433</v>
      </c>
      <c r="Y10" s="737">
        <f>_xll.ciqfunctions.udf.CIQ($BT10, "IQ_EBIT", "FY"&amp;Y$8, $BR$2)</f>
        <v>2481.01235</v>
      </c>
      <c r="Z10" s="736"/>
      <c r="AA10" s="751">
        <f t="shared" ref="AA10:AF10" si="6">IFERROR(K10/C10,"NM")</f>
        <v>0.18468219295467483</v>
      </c>
      <c r="AB10" s="751">
        <f t="shared" si="6"/>
        <v>0.18942603996457161</v>
      </c>
      <c r="AC10" s="751">
        <f t="shared" si="6"/>
        <v>0.19073996026541046</v>
      </c>
      <c r="AD10" s="751">
        <f t="shared" si="6"/>
        <v>0.1888844949431675</v>
      </c>
      <c r="AE10" s="751">
        <f t="shared" si="6"/>
        <v>0.19542007667226613</v>
      </c>
      <c r="AF10" s="751">
        <f t="shared" si="6"/>
        <v>0.18344524230541084</v>
      </c>
      <c r="AG10" s="751">
        <f>IFERROR(AVERAGE(AA10:AF10),"NM")</f>
        <v>0.18876633451758359</v>
      </c>
      <c r="AH10" s="735"/>
      <c r="AI10" s="751">
        <f t="shared" ref="AI10:AN10" si="7">IFERROR(S10/C10,"NM")</f>
        <v>0.14456227768594254</v>
      </c>
      <c r="AJ10" s="751">
        <f t="shared" si="7"/>
        <v>0.14574063511983065</v>
      </c>
      <c r="AK10" s="751">
        <f t="shared" si="7"/>
        <v>0.14420817371447939</v>
      </c>
      <c r="AL10" s="751">
        <f t="shared" si="7"/>
        <v>0.14255084783922528</v>
      </c>
      <c r="AM10" s="751">
        <f t="shared" si="7"/>
        <v>0.18030504460899516</v>
      </c>
      <c r="AN10" s="751">
        <f t="shared" si="7"/>
        <v>0.14403402101052121</v>
      </c>
      <c r="AO10" s="751">
        <f>IFERROR(AVERAGE(AI10:AN10),"NM")</f>
        <v>0.15023349999649901</v>
      </c>
      <c r="AP10" s="736"/>
      <c r="AQ10" s="751">
        <f t="shared" ref="AQ10:AV10" si="8">IFERROR(C10/D10-1,"NM")</f>
        <v>7.5086149271201608E-2</v>
      </c>
      <c r="AR10" s="751">
        <f t="shared" si="8"/>
        <v>7.6062868215748258E-2</v>
      </c>
      <c r="AS10" s="751">
        <f t="shared" si="8"/>
        <v>5.9136851056165396E-2</v>
      </c>
      <c r="AT10" s="751">
        <f t="shared" si="8"/>
        <v>4.7507835830084666E-2</v>
      </c>
      <c r="AU10" s="751">
        <f t="shared" si="8"/>
        <v>-0.12282049676285811</v>
      </c>
      <c r="AV10" s="751">
        <f t="shared" si="8"/>
        <v>0.21872869969391528</v>
      </c>
      <c r="AW10" s="751">
        <f>IFERROR((E10/I10)^(1/4)-1,"NM")</f>
        <v>4.3581131436822185E-2</v>
      </c>
      <c r="AX10" s="736"/>
      <c r="AY10" s="751">
        <f>IFERROR(IF(ABS(K10/L10-1)&gt;=100%,"NM",K10/L10-1),"NM")</f>
        <v>4.8162479138227798E-2</v>
      </c>
      <c r="AZ10" s="751">
        <f>IFERROR(IF(ABS(L10/M10-1)&gt;=100%,"NM",L10/M10-1),"NM")</f>
        <v>6.8650363538908632E-2</v>
      </c>
      <c r="BA10" s="751">
        <f>IFERROR(IF(ABS(M10/N10-1)&gt;100%,"NM",M10/N10-1),"NM")</f>
        <v>6.9541049130949606E-2</v>
      </c>
      <c r="BB10" s="751">
        <f>IFERROR(IF(ABS(N10/O10-1)&gt;100%,"NM",N10/O10-1),"NM")</f>
        <v>1.2475237391285976E-2</v>
      </c>
      <c r="BC10" s="751">
        <f>IFERROR(IF(ABS(O10/P10-1)&gt;100%,"NM",O10/P10-1),"NM")</f>
        <v>-6.5560471213777172E-2</v>
      </c>
      <c r="BD10" s="751">
        <f>IFERROR(IF(ABS(P10/Q10-1)&gt;100%,"NM",P10/Q10-1),"NM")</f>
        <v>0.21387118825311857</v>
      </c>
      <c r="BE10" s="751">
        <f>IFERROR(IF(ABS((M10/Q10)^(1/4)-1)&gt;100%,"NM",(M10/Q10)^(1/4)-1),"NM")</f>
        <v>5.2752831605379358E-2</v>
      </c>
      <c r="BF10" s="735"/>
      <c r="BG10" s="751">
        <f>IFERROR(IF(ABS(S10/T10-1)&gt;=100%,"NM",S10/T10-1),"NM")</f>
        <v>6.6393750236284133E-2</v>
      </c>
      <c r="BH10" s="751">
        <f>IFERROR(IF(ABS(T10/U10-1)&gt;=100%,"NM",T10/U10-1),"NM")</f>
        <v>8.7497898372479677E-2</v>
      </c>
      <c r="BI10" s="751">
        <f>IFERROR(IF(ABS(U10/V10-1)&gt;100%,"NM",U10/V10-1),"NM")</f>
        <v>7.1450596890004769E-2</v>
      </c>
      <c r="BJ10" s="751">
        <f>IFERROR(IF(ABS(V10/W10-1)&gt;100%,"NM",V10/W10-1),"NM")</f>
        <v>-0.17183054728374991</v>
      </c>
      <c r="BK10" s="751">
        <f>IFERROR(IF(ABS(W10/X10-1)&gt;100%,"NM",W10/X10-1),"NM")</f>
        <v>9.8073138218615963E-2</v>
      </c>
      <c r="BL10" s="751">
        <f>IFERROR(IF(ABS(X10/Y10-1)&gt;100%,"NM",X10/Y10-1),"NM")</f>
        <v>0.23757263844333543</v>
      </c>
      <c r="BM10" s="751">
        <f>IFERROR(IF(ABS((U10/Y10)^(1/4)-1)&gt;100%,"NM",(U10/Y10)^(1/4)-1),"NM")</f>
        <v>4.7908423216462159E-2</v>
      </c>
      <c r="BN10" s="751"/>
      <c r="BP10"/>
      <c r="BQ10"/>
      <c r="BR10"/>
      <c r="BT10" s="117" t="str">
        <f>'E1'!AZ10</f>
        <v>XTRA:FME</v>
      </c>
      <c r="BU10" s="733" t="str">
        <f>_xll.ciqfunctions.udf.CIQ(BT10, "IQ_COMPANY_ID")</f>
        <v>IQ384522</v>
      </c>
      <c r="BW10" s="621">
        <f>AM10/$AL10</f>
        <v>1.2648472270915612</v>
      </c>
      <c r="BX10" s="621">
        <f>AN10/$AL10</f>
        <v>1.0104045201679102</v>
      </c>
    </row>
    <row r="11" spans="1:85" s="117" customFormat="1" ht="15">
      <c r="B11" s="121" t="str">
        <f>_xll.ciqfunctions.udf.CIQ($BT11,"IQ_COMPANY_NAME")</f>
        <v>Fresenius SE &amp; Co. KGaA</v>
      </c>
      <c r="C11" s="737">
        <f>IF(_xll.ciqfunctions.udf.CIQ($BT11, "IQ_REVENUE_MEDIAN_EST_CIQ", "FY"&amp;C$8, $BR$2, "CON", $BR$3, $BR$4, $BR$5)=0,"n/a",_xll.ciqfunctions.udf.CIQ($BT11, "IQ_REVENUE_MEDIAN_EST_CIQ", "FY"&amp;C$8, $BR$2, "CON", $BR$3, $BR$4, $BR$5))</f>
        <v>47575.566749999998</v>
      </c>
      <c r="D11" s="737">
        <f>IF(_xll.ciqfunctions.udf.CIQ($BT11, "IQ_REVENUE_MEDIAN_EST_CIQ", "FY"&amp;D$8, $BR$2, "CON", $BR$3, $BR$4, $BR$5)=0,"n/a",_xll.ciqfunctions.udf.CIQ($BT11, "IQ_REVENUE_MEDIAN_EST_CIQ", "FY"&amp;D$8, $BR$2, "CON", $BR$3, $BR$4, $BR$5))</f>
        <v>44442.408969999997</v>
      </c>
      <c r="E11" s="737">
        <f>IF(_xll.ciqfunctions.udf.CIQ($BT11, "IQ_REVENUE_MEDIAN_EST_CIQ", "FY"&amp;E$8, $BR$2, "CON", $BR$3, $BR$4, $BR$5)=0,"n/a",_xll.ciqfunctions.udf.CIQ($BT11, "IQ_REVENUE_MEDIAN_EST_CIQ", "FY"&amp;E$8, $BR$2, "CON", $BR$3, $BR$4, $BR$5))</f>
        <v>41962.445610000002</v>
      </c>
      <c r="F11" s="737">
        <f>IF(_xll.ciqfunctions.udf.CIQ($BT11, "IQ_REVENUE_MEDIAN_EST_CIQ", "FY"&amp;F$8, $BR$2, "CON", $BR$3, $BR$4, $BR$5)=0,"n/a",_xll.ciqfunctions.udf.CIQ($BT11, "IQ_REVENUE_MEDIAN_EST_CIQ", "FY"&amp;F$8, $BR$2, "CON", $BR$3, $BR$4, $BR$5))</f>
        <v>39987.403250000003</v>
      </c>
      <c r="G11" s="737">
        <f>IF(_xll.ciqfunctions.udf.CIQ($BT11, "IQ_REVENUE_MEDIAN_EST_CIQ", "FY"&amp;G$8, $BR$2, "CON", $BR$3, $BR$4, $BR$5)=0,"n/a",_xll.ciqfunctions.udf.CIQ($BT11, "IQ_REVENUE_MEDIAN_EST_CIQ", "FY"&amp;G$8, $BR$2, "CON", $BR$3, $BR$4, $BR$5))</f>
        <v>38176.920660000003</v>
      </c>
      <c r="H11" s="737">
        <f>IF(_xll.ciqfunctions.udf.CIQ($BT11, "IQ_REVENUE_MEDIAN_EST_CIQ", "FY"&amp;H$8, $BR$2, "CON", $BR$3, $BR$4, $BR$5)=0,"n/a",_xll.ciqfunctions.udf.CIQ($BT11, "IQ_REVENUE_MEDIAN_EST_CIQ", "FY"&amp;H$8, $BR$2, "CON", $BR$3, $BR$4, $BR$5))</f>
        <v>40779.17568</v>
      </c>
      <c r="I11" s="737">
        <f>_xll.ciqfunctions.udf.CIQ($BT11, "IQ_TOTAL_REV", "FY"&amp;I$8, $BR$2)</f>
        <v>31110.524659999999</v>
      </c>
      <c r="J11" s="735"/>
      <c r="K11" s="737">
        <f>IF(_xll.ciqfunctions.udf.CIQ($BT11, "IQ_EBITDA_MEDIAN_EST_CIQ", "FY"&amp;K$8, $BR$2, "CON", $BR$3, $BR$4, $BR$5)=0,"n/a",_xll.ciqfunctions.udf.CIQ($BT11, "IQ_EBITDA_MEDIAN_EST_CIQ", "FY"&amp;K$8, $BR$2, "CON", $BR$3, $BR$4, $BR$5))</f>
        <v>8918.8807500000003</v>
      </c>
      <c r="L11" s="737">
        <f>IF(_xll.ciqfunctions.udf.CIQ($BT11, "IQ_EBITDA_MEDIAN_EST_CIQ", "FY"&amp;L$8, $BR$2, "CON", $BR$3, $BR$4, $BR$5)=0,"n/a",_xll.ciqfunctions.udf.CIQ($BT11, "IQ_EBITDA_MEDIAN_EST_CIQ", "FY"&amp;L$8, $BR$2, "CON", $BR$3, $BR$4, $BR$5))</f>
        <v>8341.0402799999993</v>
      </c>
      <c r="M11" s="737">
        <f>IF(_xll.ciqfunctions.udf.CIQ($BT11, "IQ_EBITDA_MEDIAN_EST_CIQ", "FY"&amp;M$8, $BR$2, "CON", $BR$3, $BR$4, $BR$5)=0,"n/a",_xll.ciqfunctions.udf.CIQ($BT11, "IQ_EBITDA_MEDIAN_EST_CIQ", "FY"&amp;M$8, $BR$2, "CON", $BR$3, $BR$4, $BR$5))</f>
        <v>7577.2841799999997</v>
      </c>
      <c r="N11" s="737">
        <f>IF(_xll.ciqfunctions.udf.CIQ($BT11, "IQ_EBITDA_MEDIAN_EST_CIQ", "FY"&amp;N$8, $BR$2, "CON", $BR$3, $BR$4, $BR$5)=0,"n/a",_xll.ciqfunctions.udf.CIQ($BT11, "IQ_EBITDA_MEDIAN_EST_CIQ", "FY"&amp;N$8, $BR$2, "CON", $BR$3, $BR$4, $BR$5))</f>
        <v>7148.9580900000001</v>
      </c>
      <c r="O11" s="737">
        <f>IF(_xll.ciqfunctions.udf.CIQ($BT11, "IQ_EBITDA_MEDIAN_EST_CIQ", "FY"&amp;O$8, $BR$2, "CON", $BR$3, $BR$4, $BR$5)=0,"n/a",_xll.ciqfunctions.udf.CIQ($BT11, "IQ_EBITDA_MEDIAN_EST_CIQ", "FY"&amp;O$8, $BR$2, "CON", $BR$3, $BR$4, $BR$5))</f>
        <v>7153.6209900000003</v>
      </c>
      <c r="P11" s="737">
        <f>IF(_xll.ciqfunctions.udf.CIQ($BT11, "IQ_EBITDA_MEDIAN_EST_CIQ", "FY"&amp;P$8, $BR$2, "CON", $BR$3, $BR$4, $BR$5)=0,"n/a",_xll.ciqfunctions.udf.CIQ($BT11, "IQ_EBITDA_MEDIAN_EST_CIQ", "FY"&amp;P$8, $BR$2, "CON", $BR$3, $BR$4, $BR$5))</f>
        <v>7529.0556999999999</v>
      </c>
      <c r="Q11" s="737">
        <f>_xll.ciqfunctions.udf.CIQ($BT11, "IQ_EBITDA", "FY"&amp;Q$8, $BR$2)</f>
        <v>5721.5243300000002</v>
      </c>
      <c r="R11" s="735"/>
      <c r="S11" s="737">
        <f>IF(_xll.ciqfunctions.udf.CIQ($BT11, "IQ_EBIT_MEDIAN_EST_CIQ", "FY"&amp;S$8, $BR$2, "CON", $BR$3, $BR$4, $BR$5)=0,"n/a",_xll.ciqfunctions.udf.CIQ($BT11, "IQ_EBIT_MEDIAN_EST_CIQ", "FY"&amp;S$8, $BR$2, "CON", $BR$3, $BR$4, $BR$5))</f>
        <v>7107.2818900000002</v>
      </c>
      <c r="T11" s="737">
        <f>IF(_xll.ciqfunctions.udf.CIQ($BT11, "IQ_EBIT_MEDIAN_EST_CIQ", "FY"&amp;T$8, $BR$2, "CON", $BR$3, $BR$4, $BR$5)=0,"n/a",_xll.ciqfunctions.udf.CIQ($BT11, "IQ_EBIT_MEDIAN_EST_CIQ", "FY"&amp;T$8, $BR$2, "CON", $BR$3, $BR$4, $BR$5))</f>
        <v>6432.3334100000002</v>
      </c>
      <c r="U11" s="737">
        <f>IF(_xll.ciqfunctions.udf.CIQ($BT11, "IQ_EBIT_MEDIAN_EST_CIQ", "FY"&amp;U$8, $BR$2, "CON", $BR$3, $BR$4, $BR$5)=0,"n/a",_xll.ciqfunctions.udf.CIQ($BT11, "IQ_EBIT_MEDIAN_EST_CIQ", "FY"&amp;U$8, $BR$2, "CON", $BR$3, $BR$4, $BR$5))</f>
        <v>5724.7538400000003</v>
      </c>
      <c r="V11" s="737">
        <f>IF(_xll.ciqfunctions.udf.CIQ($BT11, "IQ_EBIT_MEDIAN_EST_CIQ", "FY"&amp;V$8, $BR$2, "CON", $BR$3, $BR$4, $BR$5)=0,"n/a",_xll.ciqfunctions.udf.CIQ($BT11, "IQ_EBIT_MEDIAN_EST_CIQ", "FY"&amp;V$8, $BR$2, "CON", $BR$3, $BR$4, $BR$5))</f>
        <v>5414.4687400000003</v>
      </c>
      <c r="W11" s="737">
        <f>IF(_xll.ciqfunctions.udf.CIQ($BT11, "IQ_EBIT_MEDIAN_EST_CIQ", "FY"&amp;W$8, $BR$2, "CON", $BR$3, $BR$4, $BR$5)=0,"n/a",_xll.ciqfunctions.udf.CIQ($BT11, "IQ_EBIT_MEDIAN_EST_CIQ", "FY"&amp;W$8, $BR$2, "CON", $BR$3, $BR$4, $BR$5))</f>
        <v>5287.6212999999998</v>
      </c>
      <c r="X11" s="737">
        <f>IF(_xll.ciqfunctions.udf.CIQ($BT11, "IQ_EBIT_MEDIAN_EST_CIQ", "FY"&amp;X$8, $BR$2, "CON", $BR$3, $BR$4, $BR$5)=0,"n/a",_xll.ciqfunctions.udf.CIQ($BT11, "IQ_EBIT_MEDIAN_EST_CIQ", "FY"&amp;X$8, $BR$2, "CON", $BR$3, $BR$4, $BR$5))</f>
        <v>5827.2931900000003</v>
      </c>
      <c r="Y11" s="737">
        <f>_xll.ciqfunctions.udf.CIQ($BT11, "IQ_EBIT", "FY"&amp;Y$8, $BR$2)</f>
        <v>4506.4921400000003</v>
      </c>
      <c r="Z11" s="736"/>
      <c r="AA11" s="751">
        <f t="shared" ref="AA11:AF14" si="9">IFERROR(K11/C11,"NM")</f>
        <v>0.18746767215337484</v>
      </c>
      <c r="AB11" s="751">
        <f t="shared" si="9"/>
        <v>0.18768200179316247</v>
      </c>
      <c r="AC11" s="751">
        <f t="shared" si="9"/>
        <v>0.18057298781923878</v>
      </c>
      <c r="AD11" s="751">
        <f t="shared" si="9"/>
        <v>0.17878025350395813</v>
      </c>
      <c r="AE11" s="751">
        <f t="shared" si="9"/>
        <v>0.18738077525187177</v>
      </c>
      <c r="AF11" s="751">
        <f t="shared" si="9"/>
        <v>0.18462991402968937</v>
      </c>
      <c r="AG11" s="751">
        <f>IFERROR(AVERAGE(AA11:AF11),"NM")</f>
        <v>0.18441893409188256</v>
      </c>
      <c r="AH11" s="735"/>
      <c r="AI11" s="751">
        <f t="shared" ref="AI11:AN14" si="10">IFERROR(S11/C11,"NM")</f>
        <v>0.14938932682289066</v>
      </c>
      <c r="AJ11" s="751">
        <f t="shared" si="10"/>
        <v>0.14473413028402723</v>
      </c>
      <c r="AK11" s="751">
        <f t="shared" si="10"/>
        <v>0.13642564814277039</v>
      </c>
      <c r="AL11" s="751">
        <f t="shared" si="10"/>
        <v>0.13540435987175536</v>
      </c>
      <c r="AM11" s="751">
        <f t="shared" si="10"/>
        <v>0.13850308533501296</v>
      </c>
      <c r="AN11" s="751">
        <f t="shared" si="10"/>
        <v>0.14289874900188274</v>
      </c>
      <c r="AO11" s="751">
        <f>IFERROR(AVERAGE(AI11:AN11),"NM")</f>
        <v>0.14122588324305654</v>
      </c>
      <c r="AP11" s="736"/>
      <c r="AQ11" s="751">
        <f t="shared" ref="AQ11:AV14" si="11">IFERROR(C11/D11-1,"NM")</f>
        <v>7.0499278788307418E-2</v>
      </c>
      <c r="AR11" s="751">
        <f t="shared" si="11"/>
        <v>5.9099590692325954E-2</v>
      </c>
      <c r="AS11" s="751">
        <f t="shared" si="11"/>
        <v>4.9391613345135088E-2</v>
      </c>
      <c r="AT11" s="751">
        <f t="shared" si="11"/>
        <v>4.7423484102449898E-2</v>
      </c>
      <c r="AU11" s="751">
        <f t="shared" si="11"/>
        <v>-6.3813330618065045E-2</v>
      </c>
      <c r="AV11" s="751">
        <f t="shared" si="11"/>
        <v>0.31078392684361766</v>
      </c>
      <c r="AW11" s="751">
        <f>IFERROR((E11/I11)^(1/4)-1,"NM")</f>
        <v>7.7676379290707143E-2</v>
      </c>
      <c r="AX11" s="736"/>
      <c r="AY11" s="751">
        <f t="shared" ref="AY11:AZ14" si="12">IFERROR(IF(ABS(K11/L11-1)&gt;=100%,"NM",K11/L11-1),"NM")</f>
        <v>6.9276786899775233E-2</v>
      </c>
      <c r="AZ11" s="751">
        <f t="shared" si="12"/>
        <v>0.10079549372265983</v>
      </c>
      <c r="BA11" s="751">
        <f t="shared" ref="BA11:BD14" si="13">IFERROR(IF(ABS(M11/N11-1)&gt;100%,"NM",M11/N11-1),"NM")</f>
        <v>5.9914477691391799E-2</v>
      </c>
      <c r="BB11" s="751">
        <f t="shared" si="13"/>
        <v>-6.5182374164340917E-4</v>
      </c>
      <c r="BC11" s="751">
        <f t="shared" si="13"/>
        <v>-4.9864780519554341E-2</v>
      </c>
      <c r="BD11" s="751">
        <f t="shared" si="13"/>
        <v>0.31591779843047529</v>
      </c>
      <c r="BE11" s="751">
        <f>IFERROR(IF(ABS((M11/Q11)^(1/4)-1)&gt;100%,"NM",(M11/Q11)^(1/4)-1),"NM")</f>
        <v>7.2754775665416105E-2</v>
      </c>
      <c r="BF11" s="735"/>
      <c r="BG11" s="751">
        <f t="shared" ref="BG11:BH14" si="14">IFERROR(IF(ABS(S11/T11-1)&gt;=100%,"NM",S11/T11-1),"NM")</f>
        <v>0.10493058070508199</v>
      </c>
      <c r="BH11" s="751">
        <f t="shared" si="14"/>
        <v>0.1235999991922796</v>
      </c>
      <c r="BI11" s="751">
        <f t="shared" ref="BI11:BL14" si="15">IFERROR(IF(ABS(U11/V11-1)&gt;100%,"NM",U11/V11-1),"NM")</f>
        <v>5.7306656460629934E-2</v>
      </c>
      <c r="BJ11" s="751">
        <f t="shared" si="15"/>
        <v>2.3989509233575568E-2</v>
      </c>
      <c r="BK11" s="751">
        <f t="shared" si="15"/>
        <v>-9.2611075572121782E-2</v>
      </c>
      <c r="BL11" s="751">
        <f t="shared" si="15"/>
        <v>0.293088506307702</v>
      </c>
      <c r="BM11" s="751">
        <f>IFERROR(IF(ABS((U11/Y11)^(1/4)-1)&gt;100%,"NM",(U11/Y11)^(1/4)-1),"NM")</f>
        <v>6.164556488354056E-2</v>
      </c>
      <c r="BN11" s="751"/>
      <c r="BP11"/>
      <c r="BQ11"/>
      <c r="BR11"/>
      <c r="BT11" s="117" t="str">
        <f>'E1'!AZ11</f>
        <v>DB:FRE</v>
      </c>
      <c r="BU11" s="733" t="str">
        <f>_xll.ciqfunctions.udf.CIQ(BT11, "IQ_COMPANY_ID")</f>
        <v>IQ879555</v>
      </c>
      <c r="BW11" s="621">
        <f t="shared" ref="BW11:BX14" si="16">AM11/$AL11</f>
        <v>1.0228849755369211</v>
      </c>
      <c r="BX11" s="621">
        <f t="shared" si="16"/>
        <v>1.0553482113664987</v>
      </c>
    </row>
    <row r="12" spans="1:85" s="117" customFormat="1">
      <c r="B12" s="121" t="str">
        <f>_xll.ciqfunctions.udf.CIQ($BT12,"IQ_COMPANY_NAME")</f>
        <v>DaVita Inc.</v>
      </c>
      <c r="C12" s="737">
        <f>IF(_xll.ciqfunctions.udf.CIQ($BT12, "IQ_REVENUE_MEDIAN_EST_CIQ", "FY"&amp;C$8, $BR$2, "CON", $BR$3, $BR$4, $BR$5)=0,"n/a",_xll.ciqfunctions.udf.CIQ($BT12, "IQ_REVENUE_MEDIAN_EST_CIQ", "FY"&amp;C$8, $BR$2, "CON", $BR$3, $BR$4, $BR$5))</f>
        <v>14533</v>
      </c>
      <c r="D12" s="737">
        <f>IF(_xll.ciqfunctions.udf.CIQ($BT12, "IQ_REVENUE_MEDIAN_EST_CIQ", "FY"&amp;D$8, $BR$2, "CON", $BR$3, $BR$4, $BR$5)=0,"n/a",_xll.ciqfunctions.udf.CIQ($BT12, "IQ_REVENUE_MEDIAN_EST_CIQ", "FY"&amp;D$8, $BR$2, "CON", $BR$3, $BR$4, $BR$5))</f>
        <v>13596</v>
      </c>
      <c r="E12" s="737">
        <f>IF(_xll.ciqfunctions.udf.CIQ($BT12, "IQ_REVENUE_MEDIAN_EST_CIQ", "FY"&amp;E$8, $BR$2, "CON", $BR$3, $BR$4, $BR$5)=0,"n/a",_xll.ciqfunctions.udf.CIQ($BT12, "IQ_REVENUE_MEDIAN_EST_CIQ", "FY"&amp;E$8, $BR$2, "CON", $BR$3, $BR$4, $BR$5))</f>
        <v>12720</v>
      </c>
      <c r="F12" s="737">
        <f>IF(_xll.ciqfunctions.udf.CIQ($BT12, "IQ_REVENUE_MEDIAN_EST_CIQ", "FY"&amp;F$8, $BR$2, "CON", $BR$3, $BR$4, $BR$5)=0,"n/a",_xll.ciqfunctions.udf.CIQ($BT12, "IQ_REVENUE_MEDIAN_EST_CIQ", "FY"&amp;F$8, $BR$2, "CON", $BR$3, $BR$4, $BR$5))</f>
        <v>12033.48287</v>
      </c>
      <c r="G12" s="737">
        <f>IF(_xll.ciqfunctions.udf.CIQ($BT12, "IQ_REVENUE_MEDIAN_EST_CIQ", "FY"&amp;G$8, $BR$2, "CON", $BR$3, $BR$4, $BR$5)=0,"n/a",_xll.ciqfunctions.udf.CIQ($BT12, "IQ_REVENUE_MEDIAN_EST_CIQ", "FY"&amp;G$8, $BR$2, "CON", $BR$3, $BR$4, $BR$5))</f>
        <v>11517.8</v>
      </c>
      <c r="H12" s="737">
        <f>IF(_xll.ciqfunctions.udf.CIQ($BT12, "IQ_REVENUE_MEDIAN_EST_CIQ", "FY"&amp;H$8, $BR$2, "CON", $BR$3, $BR$4, $BR$5)=0,"n/a",_xll.ciqfunctions.udf.CIQ($BT12, "IQ_REVENUE_MEDIAN_EST_CIQ", "FY"&amp;H$8, $BR$2, "CON", $BR$3, $BR$4, $BR$5))</f>
        <v>15389.3</v>
      </c>
      <c r="I12" s="737">
        <f>_xll.ciqfunctions.udf.CIQ($BT12, "IQ_TOTAL_REV", "FY"&amp;I$8, $BR$2)</f>
        <v>10695.79</v>
      </c>
      <c r="J12" s="735"/>
      <c r="K12" s="737" t="str">
        <f>IF(_xll.ciqfunctions.udf.CIQ($BT12, "IQ_EBITDA_MEDIAN_EST_CIQ", "FY"&amp;K$8, $BR$2, "CON", $BR$3, $BR$4, $BR$5)=0,"n/a",_xll.ciqfunctions.udf.CIQ($BT12, "IQ_EBITDA_MEDIAN_EST_CIQ", "FY"&amp;K$8, $BR$2, "CON", $BR$3, $BR$4, $BR$5))</f>
        <v>n/a</v>
      </c>
      <c r="L12" s="737" t="str">
        <f>IF(_xll.ciqfunctions.udf.CIQ($BT12, "IQ_EBITDA_MEDIAN_EST_CIQ", "FY"&amp;L$8, $BR$2, "CON", $BR$3, $BR$4, $BR$5)=0,"n/a",_xll.ciqfunctions.udf.CIQ($BT12, "IQ_EBITDA_MEDIAN_EST_CIQ", "FY"&amp;L$8, $BR$2, "CON", $BR$3, $BR$4, $BR$5))</f>
        <v>n/a</v>
      </c>
      <c r="M12" s="737">
        <f>IF(_xll.ciqfunctions.udf.CIQ($BT12, "IQ_EBITDA_MEDIAN_EST_CIQ", "FY"&amp;M$8, $BR$2, "CON", $BR$3, $BR$4, $BR$5)=0,"n/a",_xll.ciqfunctions.udf.CIQ($BT12, "IQ_EBITDA_MEDIAN_EST_CIQ", "FY"&amp;M$8, $BR$2, "CON", $BR$3, $BR$4, $BR$5))</f>
        <v>2299.4450000000002</v>
      </c>
      <c r="N12" s="737">
        <f>IF(_xll.ciqfunctions.udf.CIQ($BT12, "IQ_EBITDA_MEDIAN_EST_CIQ", "FY"&amp;N$8, $BR$2, "CON", $BR$3, $BR$4, $BR$5)=0,"n/a",_xll.ciqfunctions.udf.CIQ($BT12, "IQ_EBITDA_MEDIAN_EST_CIQ", "FY"&amp;N$8, $BR$2, "CON", $BR$3, $BR$4, $BR$5))</f>
        <v>2239.4</v>
      </c>
      <c r="O12" s="737">
        <f>IF(_xll.ciqfunctions.udf.CIQ($BT12, "IQ_EBITDA_MEDIAN_EST_CIQ", "FY"&amp;O$8, $BR$2, "CON", $BR$3, $BR$4, $BR$5)=0,"n/a",_xll.ciqfunctions.udf.CIQ($BT12, "IQ_EBITDA_MEDIAN_EST_CIQ", "FY"&amp;O$8, $BR$2, "CON", $BR$3, $BR$4, $BR$5))</f>
        <v>2094.306</v>
      </c>
      <c r="P12" s="737">
        <f>IF(_xll.ciqfunctions.udf.CIQ($BT12, "IQ_EBITDA_MEDIAN_EST_CIQ", "FY"&amp;P$8, $BR$2, "CON", $BR$3, $BR$4, $BR$5)=0,"n/a",_xll.ciqfunctions.udf.CIQ($BT12, "IQ_EBITDA_MEDIAN_EST_CIQ", "FY"&amp;P$8, $BR$2, "CON", $BR$3, $BR$4, $BR$5))</f>
        <v>2444.3000000000002</v>
      </c>
      <c r="Q12" s="737">
        <f>_xll.ciqfunctions.udf.CIQ($BT12, "IQ_EBITDA", "FY"&amp;Q$8, $BR$2)</f>
        <v>2401.89</v>
      </c>
      <c r="R12" s="735"/>
      <c r="S12" s="737">
        <f>IF(_xll.ciqfunctions.udf.CIQ($BT12, "IQ_EBIT_MEDIAN_EST_CIQ", "FY"&amp;S$8, $BR$2, "CON", $BR$3, $BR$4, $BR$5)=0,"n/a",_xll.ciqfunctions.udf.CIQ($BT12, "IQ_EBIT_MEDIAN_EST_CIQ", "FY"&amp;S$8, $BR$2, "CON", $BR$3, $BR$4, $BR$5))</f>
        <v>2288</v>
      </c>
      <c r="T12" s="737">
        <f>IF(_xll.ciqfunctions.udf.CIQ($BT12, "IQ_EBIT_MEDIAN_EST_CIQ", "FY"&amp;T$8, $BR$2, "CON", $BR$3, $BR$4, $BR$5)=0,"n/a",_xll.ciqfunctions.udf.CIQ($BT12, "IQ_EBIT_MEDIAN_EST_CIQ", "FY"&amp;T$8, $BR$2, "CON", $BR$3, $BR$4, $BR$5))</f>
        <v>2053</v>
      </c>
      <c r="U12" s="737">
        <f>IF(_xll.ciqfunctions.udf.CIQ($BT12, "IQ_EBIT_MEDIAN_EST_CIQ", "FY"&amp;U$8, $BR$2, "CON", $BR$3, $BR$4, $BR$5)=0,"n/a",_xll.ciqfunctions.udf.CIQ($BT12, "IQ_EBIT_MEDIAN_EST_CIQ", "FY"&amp;U$8, $BR$2, "CON", $BR$3, $BR$4, $BR$5))</f>
        <v>1697.35</v>
      </c>
      <c r="V12" s="737">
        <f>IF(_xll.ciqfunctions.udf.CIQ($BT12, "IQ_EBIT_MEDIAN_EST_CIQ", "FY"&amp;V$8, $BR$2, "CON", $BR$3, $BR$4, $BR$5)=0,"n/a",_xll.ciqfunctions.udf.CIQ($BT12, "IQ_EBIT_MEDIAN_EST_CIQ", "FY"&amp;V$8, $BR$2, "CON", $BR$3, $BR$4, $BR$5))</f>
        <v>1637</v>
      </c>
      <c r="W12" s="737">
        <f>IF(_xll.ciqfunctions.udf.CIQ($BT12, "IQ_EBIT_MEDIAN_EST_CIQ", "FY"&amp;W$8, $BR$2, "CON", $BR$3, $BR$4, $BR$5)=0,"n/a",_xll.ciqfunctions.udf.CIQ($BT12, "IQ_EBIT_MEDIAN_EST_CIQ", "FY"&amp;W$8, $BR$2, "CON", $BR$3, $BR$4, $BR$5))</f>
        <v>1513.2255</v>
      </c>
      <c r="X12" s="737">
        <f>IF(_xll.ciqfunctions.udf.CIQ($BT12, "IQ_EBIT_MEDIAN_EST_CIQ", "FY"&amp;X$8, $BR$2, "CON", $BR$3, $BR$4, $BR$5)=0,"n/a",_xll.ciqfunctions.udf.CIQ($BT12, "IQ_EBIT_MEDIAN_EST_CIQ", "FY"&amp;X$8, $BR$2, "CON", $BR$3, $BR$4, $BR$5))</f>
        <v>1653</v>
      </c>
      <c r="Y12" s="737">
        <f>_xll.ciqfunctions.udf.CIQ($BT12, "IQ_EBIT", "FY"&amp;Y$8, $BR$2)</f>
        <v>1681.87</v>
      </c>
      <c r="Z12" s="736"/>
      <c r="AA12" s="751" t="str">
        <f t="shared" si="9"/>
        <v>NM</v>
      </c>
      <c r="AB12" s="751" t="str">
        <f t="shared" si="9"/>
        <v>NM</v>
      </c>
      <c r="AC12" s="751">
        <f t="shared" si="9"/>
        <v>0.1807739779874214</v>
      </c>
      <c r="AD12" s="751">
        <f t="shared" si="9"/>
        <v>0.18609741038339966</v>
      </c>
      <c r="AE12" s="751">
        <f t="shared" si="9"/>
        <v>0.18183212071749816</v>
      </c>
      <c r="AF12" s="751">
        <f t="shared" si="9"/>
        <v>0.15883113591911266</v>
      </c>
      <c r="AG12" s="751">
        <f>IFERROR(AVERAGE(AA12:AF12),"NM")</f>
        <v>0.17688366125185798</v>
      </c>
      <c r="AH12" s="735"/>
      <c r="AI12" s="751">
        <f t="shared" si="10"/>
        <v>0.15743480355054015</v>
      </c>
      <c r="AJ12" s="751">
        <f t="shared" si="10"/>
        <v>0.15100029420417771</v>
      </c>
      <c r="AK12" s="751">
        <f t="shared" si="10"/>
        <v>0.13343946540880502</v>
      </c>
      <c r="AL12" s="751">
        <f t="shared" si="10"/>
        <v>0.13603709064822062</v>
      </c>
      <c r="AM12" s="751">
        <f t="shared" si="10"/>
        <v>0.13138147041969822</v>
      </c>
      <c r="AN12" s="751">
        <f t="shared" si="10"/>
        <v>0.10741229295679466</v>
      </c>
      <c r="AO12" s="751">
        <f>IFERROR(AVERAGE(AI12:AN12),"NM")</f>
        <v>0.13611756953137275</v>
      </c>
      <c r="AP12" s="736"/>
      <c r="AQ12" s="751">
        <f t="shared" si="11"/>
        <v>6.8917328626066476E-2</v>
      </c>
      <c r="AR12" s="751">
        <f t="shared" si="11"/>
        <v>6.8867924528301927E-2</v>
      </c>
      <c r="AS12" s="751">
        <f t="shared" si="11"/>
        <v>5.7050576081469906E-2</v>
      </c>
      <c r="AT12" s="751">
        <f t="shared" si="11"/>
        <v>4.4772688360624535E-2</v>
      </c>
      <c r="AU12" s="751">
        <f t="shared" si="11"/>
        <v>-0.25157089666196641</v>
      </c>
      <c r="AV12" s="751">
        <f t="shared" si="11"/>
        <v>0.43881845099800931</v>
      </c>
      <c r="AW12" s="751">
        <f>IFERROR((E12/I12)^(1/4)-1,"NM")</f>
        <v>4.4283848406599935E-2</v>
      </c>
      <c r="AX12" s="736"/>
      <c r="AY12" s="751" t="str">
        <f t="shared" si="12"/>
        <v>NM</v>
      </c>
      <c r="AZ12" s="751" t="str">
        <f t="shared" si="12"/>
        <v>NM</v>
      </c>
      <c r="BA12" s="751">
        <f t="shared" si="13"/>
        <v>2.6812985621148533E-2</v>
      </c>
      <c r="BB12" s="751">
        <f t="shared" si="13"/>
        <v>6.9280229345664024E-2</v>
      </c>
      <c r="BC12" s="751">
        <f t="shared" si="13"/>
        <v>-0.14318782473509806</v>
      </c>
      <c r="BD12" s="751">
        <f t="shared" si="13"/>
        <v>1.7656928502137959E-2</v>
      </c>
      <c r="BE12" s="751">
        <f>IFERROR(IF(ABS((M12/Q12)^(1/4)-1)&gt;100%,"NM",(M12/Q12)^(1/4)-1),"NM")</f>
        <v>-1.08378768878854E-2</v>
      </c>
      <c r="BF12" s="735"/>
      <c r="BG12" s="751">
        <f t="shared" si="14"/>
        <v>0.11446663419386272</v>
      </c>
      <c r="BH12" s="751">
        <f t="shared" si="14"/>
        <v>0.20953250655433475</v>
      </c>
      <c r="BI12" s="751">
        <f t="shared" si="15"/>
        <v>3.6866218692730657E-2</v>
      </c>
      <c r="BJ12" s="751">
        <f t="shared" si="15"/>
        <v>8.1795145535149993E-2</v>
      </c>
      <c r="BK12" s="751">
        <f t="shared" si="15"/>
        <v>-8.4558076225045409E-2</v>
      </c>
      <c r="BL12" s="751">
        <f t="shared" si="15"/>
        <v>-1.716541706552821E-2</v>
      </c>
      <c r="BM12" s="751">
        <f>IFERROR(IF(ABS((U12/Y12)^(1/4)-1)&gt;100%,"NM",(U12/Y12)^(1/4)-1),"NM")</f>
        <v>2.2931105859478329E-3</v>
      </c>
      <c r="BN12" s="751"/>
      <c r="BP12" s="214"/>
      <c r="BQ12" s="214"/>
      <c r="BR12" s="214"/>
      <c r="BT12" s="117" t="str">
        <f>'E1'!AZ12</f>
        <v>NYSE:DVA</v>
      </c>
      <c r="BU12" s="733" t="str">
        <f>_xll.ciqfunctions.udf.CIQ(BT12, "IQ_COMPANY_ID")</f>
        <v>IQ35644</v>
      </c>
      <c r="BW12" s="621">
        <f t="shared" si="16"/>
        <v>0.96577683184535756</v>
      </c>
      <c r="BX12" s="621">
        <f t="shared" si="16"/>
        <v>0.789580933001228</v>
      </c>
    </row>
    <row r="13" spans="1:85" s="117" customFormat="1">
      <c r="B13" s="121" t="str">
        <f>_xll.ciqfunctions.udf.CIQ($BT13,"IQ_COMPANY_NAME")</f>
        <v>NxStage Medical, Inc.</v>
      </c>
      <c r="C13" s="737" t="str">
        <f>IF(_xll.ciqfunctions.udf.CIQ($BT13, "IQ_REVENUE_MEDIAN_EST_CIQ", "FY"&amp;C$8, $BR$2, "CON", $BR$3, $BR$4, $BR$5)=0,"n/a",_xll.ciqfunctions.udf.CIQ($BT13, "IQ_REVENUE_MEDIAN_EST_CIQ", "FY"&amp;C$8, $BR$2, "CON", $BR$3, $BR$4, $BR$5))</f>
        <v>n/a</v>
      </c>
      <c r="D13" s="737" t="str">
        <f>IF(_xll.ciqfunctions.udf.CIQ($BT13, "IQ_REVENUE_MEDIAN_EST_CIQ", "FY"&amp;D$8, $BR$2, "CON", $BR$3, $BR$4, $BR$5)=0,"n/a",_xll.ciqfunctions.udf.CIQ($BT13, "IQ_REVENUE_MEDIAN_EST_CIQ", "FY"&amp;D$8, $BR$2, "CON", $BR$3, $BR$4, $BR$5))</f>
        <v>n/a</v>
      </c>
      <c r="E13" s="737">
        <f>IF(_xll.ciqfunctions.udf.CIQ($BT13, "IQ_REVENUE_MEDIAN_EST_CIQ", "FY"&amp;E$8, $BR$2, "CON", $BR$3, $BR$4, $BR$5)=0,"n/a",_xll.ciqfunctions.udf.CIQ($BT13, "IQ_REVENUE_MEDIAN_EST_CIQ", "FY"&amp;E$8, $BR$2, "CON", $BR$3, $BR$4, $BR$5))</f>
        <v>567.43200000000002</v>
      </c>
      <c r="F13" s="737">
        <f>IF(_xll.ciqfunctions.udf.CIQ($BT13, "IQ_REVENUE_MEDIAN_EST_CIQ", "FY"&amp;F$8, $BR$2, "CON", $BR$3, $BR$4, $BR$5)=0,"n/a",_xll.ciqfunctions.udf.CIQ($BT13, "IQ_REVENUE_MEDIAN_EST_CIQ", "FY"&amp;F$8, $BR$2, "CON", $BR$3, $BR$4, $BR$5))</f>
        <v>491.24450000000002</v>
      </c>
      <c r="G13" s="737">
        <f>IF(_xll.ciqfunctions.udf.CIQ($BT13, "IQ_REVENUE_MEDIAN_EST_CIQ", "FY"&amp;G$8, $BR$2, "CON", $BR$3, $BR$4, $BR$5)=0,"n/a",_xll.ciqfunctions.udf.CIQ($BT13, "IQ_REVENUE_MEDIAN_EST_CIQ", "FY"&amp;G$8, $BR$2, "CON", $BR$3, $BR$4, $BR$5))</f>
        <v>434.19400000000002</v>
      </c>
      <c r="H13" s="737">
        <f>IF(_xll.ciqfunctions.udf.CIQ($BT13, "IQ_REVENUE_MEDIAN_EST_CIQ", "FY"&amp;H$8, $BR$2, "CON", $BR$3, $BR$4, $BR$5)=0,"n/a",_xll.ciqfunctions.udf.CIQ($BT13, "IQ_REVENUE_MEDIAN_EST_CIQ", "FY"&amp;H$8, $BR$2, "CON", $BR$3, $BR$4, $BR$5))</f>
        <v>394.9</v>
      </c>
      <c r="I13" s="737">
        <f>_xll.ciqfunctions.udf.CIQ($BT13, "IQ_TOTAL_REV", "FY"&amp;I$8, $BR$2)</f>
        <v>366.37799999999999</v>
      </c>
      <c r="J13" s="735"/>
      <c r="K13" s="737" t="str">
        <f>IF(_xll.ciqfunctions.udf.CIQ($BT13, "IQ_EBITDA_MEDIAN_EST_CIQ", "FY"&amp;K$8, $BR$2, "CON", $BR$3, $BR$4, $BR$5)=0,"n/a",_xll.ciqfunctions.udf.CIQ($BT13, "IQ_EBITDA_MEDIAN_EST_CIQ", "FY"&amp;K$8, $BR$2, "CON", $BR$3, $BR$4, $BR$5))</f>
        <v>n/a</v>
      </c>
      <c r="L13" s="737" t="str">
        <f>IF(_xll.ciqfunctions.udf.CIQ($BT13, "IQ_EBITDA_MEDIAN_EST_CIQ", "FY"&amp;L$8, $BR$2, "CON", $BR$3, $BR$4, $BR$5)=0,"n/a",_xll.ciqfunctions.udf.CIQ($BT13, "IQ_EBITDA_MEDIAN_EST_CIQ", "FY"&amp;L$8, $BR$2, "CON", $BR$3, $BR$4, $BR$5))</f>
        <v>n/a</v>
      </c>
      <c r="M13" s="737">
        <f>IF(_xll.ciqfunctions.udf.CIQ($BT13, "IQ_EBITDA_MEDIAN_EST_CIQ", "FY"&amp;M$8, $BR$2, "CON", $BR$3, $BR$4, $BR$5)=0,"n/a",_xll.ciqfunctions.udf.CIQ($BT13, "IQ_EBITDA_MEDIAN_EST_CIQ", "FY"&amp;M$8, $BR$2, "CON", $BR$3, $BR$4, $BR$5))</f>
        <v>95.962000000000003</v>
      </c>
      <c r="N13" s="737">
        <f>IF(_xll.ciqfunctions.udf.CIQ($BT13, "IQ_EBITDA_MEDIAN_EST_CIQ", "FY"&amp;N$8, $BR$2, "CON", $BR$3, $BR$4, $BR$5)=0,"n/a",_xll.ciqfunctions.udf.CIQ($BT13, "IQ_EBITDA_MEDIAN_EST_CIQ", "FY"&amp;N$8, $BR$2, "CON", $BR$3, $BR$4, $BR$5))</f>
        <v>54.375</v>
      </c>
      <c r="O13" s="737">
        <f>IF(_xll.ciqfunctions.udf.CIQ($BT13, "IQ_EBITDA_MEDIAN_EST_CIQ", "FY"&amp;O$8, $BR$2, "CON", $BR$3, $BR$4, $BR$5)=0,"n/a",_xll.ciqfunctions.udf.CIQ($BT13, "IQ_EBITDA_MEDIAN_EST_CIQ", "FY"&amp;O$8, $BR$2, "CON", $BR$3, $BR$4, $BR$5))</f>
        <v>33.21</v>
      </c>
      <c r="P13" s="737">
        <f>IF(_xll.ciqfunctions.udf.CIQ($BT13, "IQ_EBITDA_MEDIAN_EST_CIQ", "FY"&amp;P$8, $BR$2, "CON", $BR$3, $BR$4, $BR$5)=0,"n/a",_xll.ciqfunctions.udf.CIQ($BT13, "IQ_EBITDA_MEDIAN_EST_CIQ", "FY"&amp;P$8, $BR$2, "CON", $BR$3, $BR$4, $BR$5))</f>
        <v>18.003</v>
      </c>
      <c r="Q13" s="737">
        <f>_xll.ciqfunctions.udf.CIQ($BT13, "IQ_EBITDA", "FY"&amp;Q$8, $BR$2)</f>
        <v>14.651999999999999</v>
      </c>
      <c r="R13" s="735"/>
      <c r="S13" s="737" t="str">
        <f>IF(_xll.ciqfunctions.udf.CIQ($BT13, "IQ_EBIT_MEDIAN_EST_CIQ", "FY"&amp;S$8, $BR$2, "CON", $BR$3, $BR$4, $BR$5)=0,"n/a",_xll.ciqfunctions.udf.CIQ($BT13, "IQ_EBIT_MEDIAN_EST_CIQ", "FY"&amp;S$8, $BR$2, "CON", $BR$3, $BR$4, $BR$5))</f>
        <v>n/a</v>
      </c>
      <c r="T13" s="737" t="str">
        <f>IF(_xll.ciqfunctions.udf.CIQ($BT13, "IQ_EBIT_MEDIAN_EST_CIQ", "FY"&amp;T$8, $BR$2, "CON", $BR$3, $BR$4, $BR$5)=0,"n/a",_xll.ciqfunctions.udf.CIQ($BT13, "IQ_EBIT_MEDIAN_EST_CIQ", "FY"&amp;T$8, $BR$2, "CON", $BR$3, $BR$4, $BR$5))</f>
        <v>n/a</v>
      </c>
      <c r="U13" s="737">
        <f>IF(_xll.ciqfunctions.udf.CIQ($BT13, "IQ_EBIT_MEDIAN_EST_CIQ", "FY"&amp;U$8, $BR$2, "CON", $BR$3, $BR$4, $BR$5)=0,"n/a",_xll.ciqfunctions.udf.CIQ($BT13, "IQ_EBIT_MEDIAN_EST_CIQ", "FY"&amp;U$8, $BR$2, "CON", $BR$3, $BR$4, $BR$5))</f>
        <v>30.167000000000002</v>
      </c>
      <c r="V13" s="737">
        <f>IF(_xll.ciqfunctions.udf.CIQ($BT13, "IQ_EBIT_MEDIAN_EST_CIQ", "FY"&amp;V$8, $BR$2, "CON", $BR$3, $BR$4, $BR$5)=0,"n/a",_xll.ciqfunctions.udf.CIQ($BT13, "IQ_EBIT_MEDIAN_EST_CIQ", "FY"&amp;V$8, $BR$2, "CON", $BR$3, $BR$4, $BR$5))</f>
        <v>19.11</v>
      </c>
      <c r="W13" s="737">
        <f>IF(_xll.ciqfunctions.udf.CIQ($BT13, "IQ_EBIT_MEDIAN_EST_CIQ", "FY"&amp;W$8, $BR$2, "CON", $BR$3, $BR$4, $BR$5)=0,"n/a",_xll.ciqfunctions.udf.CIQ($BT13, "IQ_EBIT_MEDIAN_EST_CIQ", "FY"&amp;W$8, $BR$2, "CON", $BR$3, $BR$4, $BR$5))</f>
        <v>-3.0754999999999999</v>
      </c>
      <c r="X13" s="737">
        <f>IF(_xll.ciqfunctions.udf.CIQ($BT13, "IQ_EBIT_MEDIAN_EST_CIQ", "FY"&amp;X$8, $BR$2, "CON", $BR$3, $BR$4, $BR$5)=0,"n/a",_xll.ciqfunctions.udf.CIQ($BT13, "IQ_EBIT_MEDIAN_EST_CIQ", "FY"&amp;X$8, $BR$2, "CON", $BR$3, $BR$4, $BR$5))</f>
        <v>-14.151</v>
      </c>
      <c r="Y13" s="737">
        <f>_xll.ciqfunctions.udf.CIQ($BT13, "IQ_EBIT", "FY"&amp;Y$8, $BR$2)</f>
        <v>-3.7850000000000001</v>
      </c>
      <c r="Z13" s="736"/>
      <c r="AA13" s="751" t="str">
        <f t="shared" si="9"/>
        <v>NM</v>
      </c>
      <c r="AB13" s="751" t="str">
        <f t="shared" si="9"/>
        <v>NM</v>
      </c>
      <c r="AC13" s="751">
        <f t="shared" si="9"/>
        <v>0.16911629939798953</v>
      </c>
      <c r="AD13" s="751">
        <f t="shared" si="9"/>
        <v>0.1106882621586603</v>
      </c>
      <c r="AE13" s="751">
        <f t="shared" si="9"/>
        <v>7.6486547487989234E-2</v>
      </c>
      <c r="AF13" s="751">
        <f t="shared" si="9"/>
        <v>4.5588756647252475E-2</v>
      </c>
      <c r="AG13" s="751">
        <f>IFERROR(AVERAGE(AA13:AF13),"NM")</f>
        <v>0.10046996642297289</v>
      </c>
      <c r="AH13" s="735"/>
      <c r="AI13" s="751" t="str">
        <f t="shared" si="10"/>
        <v>NM</v>
      </c>
      <c r="AJ13" s="751" t="str">
        <f t="shared" si="10"/>
        <v>NM</v>
      </c>
      <c r="AK13" s="751">
        <f t="shared" si="10"/>
        <v>5.3164079572530276E-2</v>
      </c>
      <c r="AL13" s="751">
        <f t="shared" si="10"/>
        <v>3.8901198893829855E-2</v>
      </c>
      <c r="AM13" s="751">
        <f t="shared" si="10"/>
        <v>-7.0832392893499215E-3</v>
      </c>
      <c r="AN13" s="751">
        <f t="shared" si="10"/>
        <v>-3.5834388452772856E-2</v>
      </c>
      <c r="AO13" s="751">
        <f>IFERROR(AVERAGE(AI13:AN13),"NM")</f>
        <v>1.2286912681059338E-2</v>
      </c>
      <c r="AP13" s="736"/>
      <c r="AQ13" s="751" t="str">
        <f t="shared" si="11"/>
        <v>NM</v>
      </c>
      <c r="AR13" s="751" t="str">
        <f t="shared" si="11"/>
        <v>NM</v>
      </c>
      <c r="AS13" s="751">
        <f t="shared" si="11"/>
        <v>0.15509079490966315</v>
      </c>
      <c r="AT13" s="751">
        <f t="shared" si="11"/>
        <v>0.13139403123949212</v>
      </c>
      <c r="AU13" s="751">
        <f t="shared" si="11"/>
        <v>9.9503671815649675E-2</v>
      </c>
      <c r="AV13" s="751">
        <f t="shared" si="11"/>
        <v>7.7848560776029085E-2</v>
      </c>
      <c r="AW13" s="751">
        <f>IFERROR((E13/I13)^(1/4)-1,"NM")</f>
        <v>0.11556815676071186</v>
      </c>
      <c r="AX13" s="736"/>
      <c r="AY13" s="751" t="str">
        <f t="shared" si="12"/>
        <v>NM</v>
      </c>
      <c r="AZ13" s="751" t="str">
        <f t="shared" si="12"/>
        <v>NM</v>
      </c>
      <c r="BA13" s="751">
        <f t="shared" si="13"/>
        <v>0.76481839080459779</v>
      </c>
      <c r="BB13" s="751">
        <f t="shared" si="13"/>
        <v>0.63730803974706407</v>
      </c>
      <c r="BC13" s="751">
        <f t="shared" si="13"/>
        <v>0.84469255124145981</v>
      </c>
      <c r="BD13" s="751">
        <f t="shared" si="13"/>
        <v>0.22870597870597886</v>
      </c>
      <c r="BE13" s="751">
        <f>IFERROR(IF(ABS((M13/Q13)^(1/4)-1)&gt;100%,"NM",(M13/Q13)^(1/4)-1),"NM")</f>
        <v>0.5997443875691304</v>
      </c>
      <c r="BF13" s="735"/>
      <c r="BG13" s="751" t="str">
        <f t="shared" si="14"/>
        <v>NM</v>
      </c>
      <c r="BH13" s="751" t="str">
        <f t="shared" si="14"/>
        <v>NM</v>
      </c>
      <c r="BI13" s="751">
        <f t="shared" si="15"/>
        <v>0.57859759288330737</v>
      </c>
      <c r="BJ13" s="751" t="str">
        <f t="shared" si="15"/>
        <v>NM</v>
      </c>
      <c r="BK13" s="751">
        <f t="shared" si="15"/>
        <v>-0.78266553600452271</v>
      </c>
      <c r="BL13" s="751" t="str">
        <f t="shared" si="15"/>
        <v>NM</v>
      </c>
      <c r="BM13" s="751" t="str">
        <f>IFERROR(IF(ABS((U13/Y13)^(1/4)-1)&gt;100%,"NM",(U13/Y13)^(1/4)-1),"NM")</f>
        <v>NM</v>
      </c>
      <c r="BN13" s="751"/>
      <c r="BP13" s="214"/>
      <c r="BQ13" s="214"/>
      <c r="BR13" s="214"/>
      <c r="BT13" s="117" t="str">
        <f>'E1'!AZ13</f>
        <v>IQ115544</v>
      </c>
      <c r="BU13" s="733" t="str">
        <f>_xll.ciqfunctions.udf.CIQ(BT13, "IQ_COMPANY_ID")</f>
        <v>IQ115544</v>
      </c>
      <c r="BW13" s="621">
        <f t="shared" si="16"/>
        <v>-0.18208280183553413</v>
      </c>
      <c r="BX13" s="621">
        <f t="shared" si="16"/>
        <v>-0.92116411503339479</v>
      </c>
    </row>
    <row r="14" spans="1:85" s="117" customFormat="1">
      <c r="B14" s="121" t="str">
        <f>_xll.ciqfunctions.udf.CIQ($BT14,"IQ_COMPANY_NAME")</f>
        <v>American Renal Associates Holdings, Inc.</v>
      </c>
      <c r="C14" s="737" t="str">
        <f>IF(_xll.ciqfunctions.udf.CIQ($BT14, "IQ_REVENUE_MEDIAN_EST_CIQ", "FY"&amp;C$8, $BR$2, "CON", $BR$3, $BR$4, $BR$5)=0,"n/a",_xll.ciqfunctions.udf.CIQ($BT14, "IQ_REVENUE_MEDIAN_EST_CIQ", "FY"&amp;C$8, $BR$2, "CON", $BR$3, $BR$4, $BR$5))</f>
        <v>n/a</v>
      </c>
      <c r="D14" s="737" t="str">
        <f>IF(_xll.ciqfunctions.udf.CIQ($BT14, "IQ_REVENUE_MEDIAN_EST_CIQ", "FY"&amp;D$8, $BR$2, "CON", $BR$3, $BR$4, $BR$5)=0,"n/a",_xll.ciqfunctions.udf.CIQ($BT14, "IQ_REVENUE_MEDIAN_EST_CIQ", "FY"&amp;D$8, $BR$2, "CON", $BR$3, $BR$4, $BR$5))</f>
        <v>n/a</v>
      </c>
      <c r="E14" s="737">
        <f>IF(_xll.ciqfunctions.udf.CIQ($BT14, "IQ_REVENUE_MEDIAN_EST_CIQ", "FY"&amp;E$8, $BR$2, "CON", $BR$3, $BR$4, $BR$5)=0,"n/a",_xll.ciqfunctions.udf.CIQ($BT14, "IQ_REVENUE_MEDIAN_EST_CIQ", "FY"&amp;E$8, $BR$2, "CON", $BR$3, $BR$4, $BR$5))</f>
        <v>984.44</v>
      </c>
      <c r="F14" s="737">
        <f>IF(_xll.ciqfunctions.udf.CIQ($BT14, "IQ_REVENUE_MEDIAN_EST_CIQ", "FY"&amp;F$8, $BR$2, "CON", $BR$3, $BR$4, $BR$5)=0,"n/a",_xll.ciqfunctions.udf.CIQ($BT14, "IQ_REVENUE_MEDIAN_EST_CIQ", "FY"&amp;F$8, $BR$2, "CON", $BR$3, $BR$4, $BR$5))</f>
        <v>906.21749999999997</v>
      </c>
      <c r="G14" s="737">
        <f>IF(_xll.ciqfunctions.udf.CIQ($BT14, "IQ_REVENUE_MEDIAN_EST_CIQ", "FY"&amp;G$8, $BR$2, "CON", $BR$3, $BR$4, $BR$5)=0,"n/a",_xll.ciqfunctions.udf.CIQ($BT14, "IQ_REVENUE_MEDIAN_EST_CIQ", "FY"&amp;G$8, $BR$2, "CON", $BR$3, $BR$4, $BR$5))</f>
        <v>839.11941000000002</v>
      </c>
      <c r="H14" s="737">
        <f>IF(_xll.ciqfunctions.udf.CIQ($BT14, "IQ_REVENUE_MEDIAN_EST_CIQ", "FY"&amp;H$8, $BR$2, "CON", $BR$3, $BR$4, $BR$5)=0,"n/a",_xll.ciqfunctions.udf.CIQ($BT14, "IQ_REVENUE_MEDIAN_EST_CIQ", "FY"&amp;H$8, $BR$2, "CON", $BR$3, $BR$4, $BR$5))</f>
        <v>747.2</v>
      </c>
      <c r="I14" s="737">
        <f>_xll.ciqfunctions.udf.CIQ($BT14, "IQ_TOTAL_REV", "FY"&amp;I$8, $BR$2)</f>
        <v>749.76700000000005</v>
      </c>
      <c r="J14" s="735"/>
      <c r="K14" s="737" t="str">
        <f>IF(_xll.ciqfunctions.udf.CIQ($BT14, "IQ_EBITDA_MEDIAN_EST_CIQ", "FY"&amp;K$8, $BR$2, "CON", $BR$3, $BR$4, $BR$5)=0,"n/a",_xll.ciqfunctions.udf.CIQ($BT14, "IQ_EBITDA_MEDIAN_EST_CIQ", "FY"&amp;K$8, $BR$2, "CON", $BR$3, $BR$4, $BR$5))</f>
        <v>n/a</v>
      </c>
      <c r="L14" s="737" t="str">
        <f>IF(_xll.ciqfunctions.udf.CIQ($BT14, "IQ_EBITDA_MEDIAN_EST_CIQ", "FY"&amp;L$8, $BR$2, "CON", $BR$3, $BR$4, $BR$5)=0,"n/a",_xll.ciqfunctions.udf.CIQ($BT14, "IQ_EBITDA_MEDIAN_EST_CIQ", "FY"&amp;L$8, $BR$2, "CON", $BR$3, $BR$4, $BR$5))</f>
        <v>n/a</v>
      </c>
      <c r="M14" s="737">
        <f>IF(_xll.ciqfunctions.udf.CIQ($BT14, "IQ_EBITDA_MEDIAN_EST_CIQ", "FY"&amp;M$8, $BR$2, "CON", $BR$3, $BR$4, $BR$5)=0,"n/a",_xll.ciqfunctions.udf.CIQ($BT14, "IQ_EBITDA_MEDIAN_EST_CIQ", "FY"&amp;M$8, $BR$2, "CON", $BR$3, $BR$4, $BR$5))</f>
        <v>119.923</v>
      </c>
      <c r="N14" s="737">
        <f>IF(_xll.ciqfunctions.udf.CIQ($BT14, "IQ_EBITDA_MEDIAN_EST_CIQ", "FY"&amp;N$8, $BR$2, "CON", $BR$3, $BR$4, $BR$5)=0,"n/a",_xll.ciqfunctions.udf.CIQ($BT14, "IQ_EBITDA_MEDIAN_EST_CIQ", "FY"&amp;N$8, $BR$2, "CON", $BR$3, $BR$4, $BR$5))</f>
        <v>111.71778999999999</v>
      </c>
      <c r="O14" s="737">
        <f>IF(_xll.ciqfunctions.udf.CIQ($BT14, "IQ_EBITDA_MEDIAN_EST_CIQ", "FY"&amp;O$8, $BR$2, "CON", $BR$3, $BR$4, $BR$5)=0,"n/a",_xll.ciqfunctions.udf.CIQ($BT14, "IQ_EBITDA_MEDIAN_EST_CIQ", "FY"&amp;O$8, $BR$2, "CON", $BR$3, $BR$4, $BR$5))</f>
        <v>106.11094</v>
      </c>
      <c r="P14" s="737">
        <f>IF(_xll.ciqfunctions.udf.CIQ($BT14, "IQ_EBITDA_MEDIAN_EST_CIQ", "FY"&amp;P$8, $BR$2, "CON", $BR$3, $BR$4, $BR$5)=0,"n/a",_xll.ciqfunctions.udf.CIQ($BT14, "IQ_EBITDA_MEDIAN_EST_CIQ", "FY"&amp;P$8, $BR$2, "CON", $BR$3, $BR$4, $BR$5))</f>
        <v>136.81974</v>
      </c>
      <c r="Q14" s="737">
        <f>_xll.ciqfunctions.udf.CIQ($BT14, "IQ_EBITDA", "FY"&amp;Q$8, $BR$2)</f>
        <v>171.33699999999999</v>
      </c>
      <c r="R14" s="735"/>
      <c r="S14" s="737" t="str">
        <f>IF(_xll.ciqfunctions.udf.CIQ($BT14, "IQ_EBIT_MEDIAN_EST_CIQ", "FY"&amp;S$8, $BR$2, "CON", $BR$3, $BR$4, $BR$5)=0,"n/a",_xll.ciqfunctions.udf.CIQ($BT14, "IQ_EBIT_MEDIAN_EST_CIQ", "FY"&amp;S$8, $BR$2, "CON", $BR$3, $BR$4, $BR$5))</f>
        <v>n/a</v>
      </c>
      <c r="T14" s="737" t="str">
        <f>IF(_xll.ciqfunctions.udf.CIQ($BT14, "IQ_EBIT_MEDIAN_EST_CIQ", "FY"&amp;T$8, $BR$2, "CON", $BR$3, $BR$4, $BR$5)=0,"n/a",_xll.ciqfunctions.udf.CIQ($BT14, "IQ_EBIT_MEDIAN_EST_CIQ", "FY"&amp;T$8, $BR$2, "CON", $BR$3, $BR$4, $BR$5))</f>
        <v>n/a</v>
      </c>
      <c r="U14" s="737" t="str">
        <f>IF(_xll.ciqfunctions.udf.CIQ($BT14, "IQ_EBIT_MEDIAN_EST_CIQ", "FY"&amp;U$8, $BR$2, "CON", $BR$3, $BR$4, $BR$5)=0,"n/a",_xll.ciqfunctions.udf.CIQ($BT14, "IQ_EBIT_MEDIAN_EST_CIQ", "FY"&amp;U$8, $BR$2, "CON", $BR$3, $BR$4, $BR$5))</f>
        <v>n/a</v>
      </c>
      <c r="V14" s="737">
        <f>IF(_xll.ciqfunctions.udf.CIQ($BT14, "IQ_EBIT_MEDIAN_EST_CIQ", "FY"&amp;V$8, $BR$2, "CON", $BR$3, $BR$4, $BR$5)=0,"n/a",_xll.ciqfunctions.udf.CIQ($BT14, "IQ_EBIT_MEDIAN_EST_CIQ", "FY"&amp;V$8, $BR$2, "CON", $BR$3, $BR$4, $BR$5))</f>
        <v>135.33815000000001</v>
      </c>
      <c r="W14" s="737">
        <f>IF(_xll.ciqfunctions.udf.CIQ($BT14, "IQ_EBIT_MEDIAN_EST_CIQ", "FY"&amp;W$8, $BR$2, "CON", $BR$3, $BR$4, $BR$5)=0,"n/a",_xll.ciqfunctions.udf.CIQ($BT14, "IQ_EBIT_MEDIAN_EST_CIQ", "FY"&amp;W$8, $BR$2, "CON", $BR$3, $BR$4, $BR$5))</f>
        <v>104.703</v>
      </c>
      <c r="X14" s="737">
        <f>IF(_xll.ciqfunctions.udf.CIQ($BT14, "IQ_EBIT_MEDIAN_EST_CIQ", "FY"&amp;X$8, $BR$2, "CON", $BR$3, $BR$4, $BR$5)=0,"n/a",_xll.ciqfunctions.udf.CIQ($BT14, "IQ_EBIT_MEDIAN_EST_CIQ", "FY"&amp;X$8, $BR$2, "CON", $BR$3, $BR$4, $BR$5))</f>
        <v>126.72595</v>
      </c>
      <c r="Y14" s="737">
        <f>_xll.ciqfunctions.udf.CIQ($BT14, "IQ_EBIT", "FY"&amp;Y$8, $BR$2)</f>
        <v>137.47499999999999</v>
      </c>
      <c r="Z14" s="736"/>
      <c r="AA14" s="751" t="str">
        <f t="shared" si="9"/>
        <v>NM</v>
      </c>
      <c r="AB14" s="751" t="str">
        <f t="shared" si="9"/>
        <v>NM</v>
      </c>
      <c r="AC14" s="751">
        <f t="shared" si="9"/>
        <v>0.1218184957945634</v>
      </c>
      <c r="AD14" s="751">
        <f t="shared" si="9"/>
        <v>0.12327922380664685</v>
      </c>
      <c r="AE14" s="751">
        <f t="shared" si="9"/>
        <v>0.12645511322399275</v>
      </c>
      <c r="AF14" s="751">
        <f t="shared" si="9"/>
        <v>0.18310993040685222</v>
      </c>
      <c r="AG14" s="751">
        <f>IFERROR(AVERAGE(AA14:AF14),"NM")</f>
        <v>0.1386656908080138</v>
      </c>
      <c r="AH14" s="735"/>
      <c r="AI14" s="751" t="str">
        <f t="shared" si="10"/>
        <v>NM</v>
      </c>
      <c r="AJ14" s="751" t="str">
        <f t="shared" si="10"/>
        <v>NM</v>
      </c>
      <c r="AK14" s="751" t="str">
        <f t="shared" si="10"/>
        <v>NM</v>
      </c>
      <c r="AL14" s="751">
        <f t="shared" si="10"/>
        <v>0.14934400406083531</v>
      </c>
      <c r="AM14" s="751">
        <f t="shared" si="10"/>
        <v>0.12477723522090854</v>
      </c>
      <c r="AN14" s="751">
        <f t="shared" si="10"/>
        <v>0.16960111081370449</v>
      </c>
      <c r="AO14" s="751">
        <f>IFERROR(AVERAGE(AI14:AN14),"NM")</f>
        <v>0.14790745003181613</v>
      </c>
      <c r="AP14" s="736"/>
      <c r="AQ14" s="751" t="str">
        <f t="shared" si="11"/>
        <v>NM</v>
      </c>
      <c r="AR14" s="751" t="str">
        <f t="shared" si="11"/>
        <v>NM</v>
      </c>
      <c r="AS14" s="751">
        <f t="shared" si="11"/>
        <v>8.6317578285566299E-2</v>
      </c>
      <c r="AT14" s="751">
        <f t="shared" si="11"/>
        <v>7.9962504978880133E-2</v>
      </c>
      <c r="AU14" s="751">
        <f t="shared" si="11"/>
        <v>0.123018482334047</v>
      </c>
      <c r="AV14" s="751">
        <f t="shared" si="11"/>
        <v>-3.4237303055482116E-3</v>
      </c>
      <c r="AW14" s="751">
        <f>IFERROR((E14/I14)^(1/4)-1,"NM")</f>
        <v>7.0448388101773896E-2</v>
      </c>
      <c r="AX14" s="736"/>
      <c r="AY14" s="751" t="str">
        <f t="shared" si="12"/>
        <v>NM</v>
      </c>
      <c r="AZ14" s="751" t="str">
        <f t="shared" si="12"/>
        <v>NM</v>
      </c>
      <c r="BA14" s="751">
        <f t="shared" si="13"/>
        <v>7.3445867484489336E-2</v>
      </c>
      <c r="BB14" s="751">
        <f t="shared" si="13"/>
        <v>5.2839509290936393E-2</v>
      </c>
      <c r="BC14" s="751">
        <f t="shared" si="13"/>
        <v>-0.22444714483451</v>
      </c>
      <c r="BD14" s="751">
        <f t="shared" si="13"/>
        <v>-0.2014582956395875</v>
      </c>
      <c r="BE14" s="751">
        <f>IFERROR(IF(ABS((M14/Q14)^(1/4)-1)&gt;100%,"NM",(M14/Q14)^(1/4)-1),"NM")</f>
        <v>-8.5333377227996499E-2</v>
      </c>
      <c r="BF14" s="735"/>
      <c r="BG14" s="751" t="str">
        <f t="shared" si="14"/>
        <v>NM</v>
      </c>
      <c r="BH14" s="751" t="str">
        <f t="shared" si="14"/>
        <v>NM</v>
      </c>
      <c r="BI14" s="751" t="str">
        <f t="shared" si="15"/>
        <v>NM</v>
      </c>
      <c r="BJ14" s="751">
        <f t="shared" si="15"/>
        <v>0.29259094772833638</v>
      </c>
      <c r="BK14" s="751">
        <f t="shared" si="15"/>
        <v>-0.17378405922386053</v>
      </c>
      <c r="BL14" s="751">
        <f t="shared" si="15"/>
        <v>-7.8189125295508255E-2</v>
      </c>
      <c r="BM14" s="751" t="str">
        <f>IFERROR(IF(ABS((U14/Y14)^(1/4)-1)&gt;100%,"NM",(U14/Y14)^(1/4)-1),"NM")</f>
        <v>NM</v>
      </c>
      <c r="BN14" s="751"/>
      <c r="BP14" s="214"/>
      <c r="BQ14" s="214"/>
      <c r="BR14" s="214"/>
      <c r="BT14" s="117" t="str">
        <f>'E1'!AZ14</f>
        <v>NYSE:ARA</v>
      </c>
      <c r="BU14" s="733" t="str">
        <f>_xll.ciqfunctions.udf.CIQ(BT14, "IQ_COMPANY_ID")</f>
        <v>IQ137304893</v>
      </c>
      <c r="BW14" s="621">
        <f t="shared" si="16"/>
        <v>0.83550214155287084</v>
      </c>
      <c r="BX14" s="621">
        <f t="shared" si="16"/>
        <v>1.1356405761333239</v>
      </c>
    </row>
    <row r="15" spans="1:85" s="117" customFormat="1">
      <c r="B15" s="130"/>
      <c r="C15" s="753"/>
      <c r="D15" s="753"/>
      <c r="E15" s="753"/>
      <c r="F15" s="753"/>
      <c r="G15" s="754"/>
      <c r="H15" s="754"/>
      <c r="I15" s="754"/>
      <c r="J15" s="739"/>
      <c r="K15" s="753"/>
      <c r="L15" s="753"/>
      <c r="M15" s="753"/>
      <c r="N15" s="753"/>
      <c r="O15" s="754"/>
      <c r="P15" s="754"/>
      <c r="Q15" s="754"/>
      <c r="R15" s="735"/>
      <c r="S15" s="753"/>
      <c r="T15" s="753"/>
      <c r="U15" s="753"/>
      <c r="V15" s="753"/>
      <c r="W15" s="754"/>
      <c r="X15" s="754"/>
      <c r="Y15" s="754"/>
      <c r="Z15" s="739"/>
      <c r="AA15" s="738"/>
      <c r="AB15" s="738"/>
      <c r="AC15" s="738"/>
      <c r="AD15" s="738"/>
      <c r="AE15" s="739"/>
      <c r="AF15" s="739"/>
      <c r="AG15" s="739"/>
      <c r="AH15" s="735"/>
      <c r="AI15" s="739"/>
      <c r="AJ15" s="739"/>
      <c r="AK15" s="739"/>
      <c r="AL15" s="739"/>
      <c r="AM15" s="739"/>
      <c r="AN15" s="739"/>
      <c r="AO15" s="739"/>
      <c r="AP15" s="739"/>
      <c r="AQ15" s="738"/>
      <c r="AR15" s="738"/>
      <c r="AS15" s="738"/>
      <c r="AT15" s="738"/>
      <c r="AU15" s="739"/>
      <c r="AV15" s="739"/>
      <c r="AW15" s="739"/>
      <c r="AX15" s="739"/>
      <c r="AY15" s="738"/>
      <c r="AZ15" s="738"/>
      <c r="BA15" s="738"/>
      <c r="BB15" s="738"/>
      <c r="BC15" s="739"/>
      <c r="BD15" s="739"/>
      <c r="BE15" s="739"/>
      <c r="BF15" s="735"/>
      <c r="BG15" s="739"/>
      <c r="BH15" s="739"/>
      <c r="BI15" s="739"/>
      <c r="BJ15" s="739"/>
      <c r="BK15" s="739"/>
      <c r="BL15" s="739"/>
      <c r="BM15" s="739"/>
      <c r="BN15" s="739"/>
      <c r="BP15" s="214"/>
      <c r="BQ15" s="214"/>
      <c r="BR15" s="214"/>
      <c r="BS15" s="214"/>
    </row>
    <row r="16" spans="1:85" s="117" customFormat="1">
      <c r="B16" s="134" t="s">
        <v>81</v>
      </c>
      <c r="C16" s="789">
        <f>IF(IF(ISERROR(MIN(C10:C14)),"n/a",MIN(C10:C14))&lt;=0,"n/a",MIN(C10:C14))</f>
        <v>14533</v>
      </c>
      <c r="D16" s="789">
        <f t="shared" ref="D16:I16" si="17">IF(IF(ISERROR(MIN(D10:D14)),"n/a",MIN(D10:D14))&lt;=0,"n/a",MIN(D10:D14))</f>
        <v>13596</v>
      </c>
      <c r="E16" s="789">
        <f t="shared" si="17"/>
        <v>567.43200000000002</v>
      </c>
      <c r="F16" s="789">
        <f t="shared" si="17"/>
        <v>491.24450000000002</v>
      </c>
      <c r="G16" s="789">
        <f t="shared" si="17"/>
        <v>434.19400000000002</v>
      </c>
      <c r="H16" s="789">
        <f t="shared" si="17"/>
        <v>394.9</v>
      </c>
      <c r="I16" s="789">
        <f t="shared" si="17"/>
        <v>366.37799999999999</v>
      </c>
      <c r="J16" s="789"/>
      <c r="K16" s="789">
        <f>IF(IF(ISERROR(MIN(K10:K14)),"n/a",MIN(K10:K14))&lt;=0,"n/a",MIN(K10:K14))</f>
        <v>4432.3935000000001</v>
      </c>
      <c r="L16" s="789">
        <f t="shared" ref="L16:Q16" si="18">IF(IF(ISERROR(MIN(L10:L14)),"n/a",MIN(L10:L14))&lt;=0,"n/a",MIN(L10:L14))</f>
        <v>4228.7275</v>
      </c>
      <c r="M16" s="789">
        <f t="shared" si="18"/>
        <v>95.962000000000003</v>
      </c>
      <c r="N16" s="789">
        <f t="shared" si="18"/>
        <v>54.375</v>
      </c>
      <c r="O16" s="789">
        <f t="shared" si="18"/>
        <v>33.21</v>
      </c>
      <c r="P16" s="789">
        <f t="shared" si="18"/>
        <v>18.003</v>
      </c>
      <c r="Q16" s="789">
        <f t="shared" si="18"/>
        <v>14.651999999999999</v>
      </c>
      <c r="R16" s="790"/>
      <c r="S16" s="789">
        <f>IF(IF(ISERROR(MIN(S10:S14)),"n/a",MIN(S10:S14))&lt;=0,"n/a",MIN(S10:S14))</f>
        <v>2288</v>
      </c>
      <c r="T16" s="789">
        <f t="shared" ref="T16:Y16" si="19">IF(IF(ISERROR(MIN(T10:T14)),"n/a",MIN(T10:T14))&lt;=0,"n/a",MIN(T10:T14))</f>
        <v>2053</v>
      </c>
      <c r="U16" s="789">
        <f t="shared" si="19"/>
        <v>30.167000000000002</v>
      </c>
      <c r="V16" s="789">
        <f t="shared" si="19"/>
        <v>19.11</v>
      </c>
      <c r="W16" s="789" t="str">
        <f t="shared" si="19"/>
        <v>n/a</v>
      </c>
      <c r="X16" s="789" t="str">
        <f t="shared" si="19"/>
        <v>n/a</v>
      </c>
      <c r="Y16" s="789" t="str">
        <f t="shared" si="19"/>
        <v>n/a</v>
      </c>
      <c r="Z16" s="956"/>
      <c r="AA16" s="790">
        <f>IF(IF(ISERROR(MIN(AA10:AA14)),"NM",MIN(AA10:AA14))&lt;=0,"NM",MIN(AA10:AA14))</f>
        <v>0.18468219295467483</v>
      </c>
      <c r="AB16" s="790">
        <f t="shared" ref="AB16:AG16" si="20">IF(IF(ISERROR(MIN(AB10:AB14)),"NM",MIN(AB10:AB14))&lt;=0,"NM",MIN(AB10:AB14))</f>
        <v>0.18768200179316247</v>
      </c>
      <c r="AC16" s="790">
        <f t="shared" si="20"/>
        <v>0.1218184957945634</v>
      </c>
      <c r="AD16" s="790">
        <f t="shared" si="20"/>
        <v>0.1106882621586603</v>
      </c>
      <c r="AE16" s="790">
        <f t="shared" si="20"/>
        <v>7.6486547487989234E-2</v>
      </c>
      <c r="AF16" s="790">
        <f t="shared" si="20"/>
        <v>4.5588756647252475E-2</v>
      </c>
      <c r="AG16" s="790">
        <f t="shared" si="20"/>
        <v>0.10046996642297289</v>
      </c>
      <c r="AH16" s="790"/>
      <c r="AI16" s="790">
        <f>IF(IF(ISERROR(MIN(AI10:AI14)),"NM",MIN(AI10:AI14))&lt;=0,"NM",MIN(AI10:AI14))</f>
        <v>0.14456227768594254</v>
      </c>
      <c r="AJ16" s="790">
        <f t="shared" ref="AJ16:AO16" si="21">IF(IF(ISERROR(MIN(AJ10:AJ14)),"NM",MIN(AJ10:AJ14))&lt;=0,"NM",MIN(AJ10:AJ14))</f>
        <v>0.14473413028402723</v>
      </c>
      <c r="AK16" s="790">
        <f t="shared" si="21"/>
        <v>5.3164079572530276E-2</v>
      </c>
      <c r="AL16" s="790">
        <f t="shared" si="21"/>
        <v>3.8901198893829855E-2</v>
      </c>
      <c r="AM16" s="790" t="str">
        <f t="shared" si="21"/>
        <v>NM</v>
      </c>
      <c r="AN16" s="790" t="str">
        <f t="shared" si="21"/>
        <v>NM</v>
      </c>
      <c r="AO16" s="790">
        <f t="shared" si="21"/>
        <v>1.2286912681059338E-2</v>
      </c>
      <c r="AP16" s="956"/>
      <c r="AQ16" s="790">
        <f t="shared" ref="AQ16:AW16" si="22">IF(IF(ISERROR(MIN(AQ10:AQ14)),"NM",MIN(AQ10:AQ14))&lt;=0,"NM",MIN(AQ10:AQ14))</f>
        <v>6.8917328626066476E-2</v>
      </c>
      <c r="AR16" s="790">
        <f t="shared" si="22"/>
        <v>5.9099590692325954E-2</v>
      </c>
      <c r="AS16" s="790">
        <f t="shared" si="22"/>
        <v>4.9391613345135088E-2</v>
      </c>
      <c r="AT16" s="790">
        <f t="shared" si="22"/>
        <v>4.4772688360624535E-2</v>
      </c>
      <c r="AU16" s="790" t="str">
        <f t="shared" si="22"/>
        <v>NM</v>
      </c>
      <c r="AV16" s="790" t="str">
        <f t="shared" si="22"/>
        <v>NM</v>
      </c>
      <c r="AW16" s="790">
        <f t="shared" si="22"/>
        <v>4.3581131436822185E-2</v>
      </c>
      <c r="AX16" s="956"/>
      <c r="AY16" s="790">
        <f t="shared" ref="AY16:BE16" si="23">IF(IF(ISERROR(MIN(AY10:AY14)),"NM",MIN(AY10:AY14))&lt;=0,"NM",MIN(AY10:AY14))</f>
        <v>4.8162479138227798E-2</v>
      </c>
      <c r="AZ16" s="790">
        <f t="shared" si="23"/>
        <v>6.8650363538908632E-2</v>
      </c>
      <c r="BA16" s="790">
        <f t="shared" si="23"/>
        <v>2.6812985621148533E-2</v>
      </c>
      <c r="BB16" s="790" t="str">
        <f t="shared" si="23"/>
        <v>NM</v>
      </c>
      <c r="BC16" s="790" t="str">
        <f t="shared" si="23"/>
        <v>NM</v>
      </c>
      <c r="BD16" s="790" t="str">
        <f t="shared" si="23"/>
        <v>NM</v>
      </c>
      <c r="BE16" s="790" t="str">
        <f t="shared" si="23"/>
        <v>NM</v>
      </c>
      <c r="BF16" s="790"/>
      <c r="BG16" s="790">
        <f t="shared" ref="BG16:BM16" si="24">IF(IF(ISERROR(MIN(BG10:BG14)),"NM",MIN(BG10:BG14))&lt;=0,"NM",MIN(BG10:BG14))</f>
        <v>6.6393750236284133E-2</v>
      </c>
      <c r="BH16" s="790">
        <f t="shared" si="24"/>
        <v>8.7497898372479677E-2</v>
      </c>
      <c r="BI16" s="790">
        <f t="shared" si="24"/>
        <v>3.6866218692730657E-2</v>
      </c>
      <c r="BJ16" s="790" t="str">
        <f t="shared" si="24"/>
        <v>NM</v>
      </c>
      <c r="BK16" s="790" t="str">
        <f t="shared" si="24"/>
        <v>NM</v>
      </c>
      <c r="BL16" s="790" t="str">
        <f t="shared" si="24"/>
        <v>NM</v>
      </c>
      <c r="BM16" s="791">
        <f t="shared" si="24"/>
        <v>2.2931105859478329E-3</v>
      </c>
      <c r="BN16" s="756"/>
      <c r="BP16" s="214"/>
      <c r="BQ16" s="214"/>
      <c r="BR16" s="214"/>
      <c r="BS16" s="214"/>
    </row>
    <row r="17" spans="1:71" s="117" customFormat="1">
      <c r="B17" s="729" t="s">
        <v>82</v>
      </c>
      <c r="C17" s="745">
        <f>IF(IF(ISERROR(MAX(C10:C14)),"n/a",MAX(C10:C14))&lt;=0,"n/a",MAX(C10:C14))</f>
        <v>47575.566749999998</v>
      </c>
      <c r="D17" s="745">
        <f t="shared" ref="D17:I17" si="25">IF(IF(ISERROR(MAX(D10:D14)),"n/a",MAX(D10:D14))&lt;=0,"n/a",MAX(D10:D14))</f>
        <v>44442.408969999997</v>
      </c>
      <c r="E17" s="745">
        <f t="shared" si="25"/>
        <v>41962.445610000002</v>
      </c>
      <c r="F17" s="745">
        <f t="shared" si="25"/>
        <v>39987.403250000003</v>
      </c>
      <c r="G17" s="745">
        <f t="shared" si="25"/>
        <v>38176.920660000003</v>
      </c>
      <c r="H17" s="745">
        <f t="shared" si="25"/>
        <v>40779.17568</v>
      </c>
      <c r="I17" s="745">
        <f t="shared" si="25"/>
        <v>31110.524659999999</v>
      </c>
      <c r="J17" s="745"/>
      <c r="K17" s="745">
        <f>IF(IF(ISERROR(MAX(K10:K14)),"n/a",MAX(K10:K14))&lt;=0,"n/a",MAX(K10:K14))</f>
        <v>8918.8807500000003</v>
      </c>
      <c r="L17" s="745">
        <f t="shared" ref="L17:Q17" si="26">IF(IF(ISERROR(MAX(L10:L14)),"n/a",MAX(L10:L14))&lt;=0,"n/a",MAX(L10:L14))</f>
        <v>8341.0402799999993</v>
      </c>
      <c r="M17" s="745">
        <f t="shared" si="26"/>
        <v>7577.2841799999997</v>
      </c>
      <c r="N17" s="745">
        <f t="shared" si="26"/>
        <v>7148.9580900000001</v>
      </c>
      <c r="O17" s="745">
        <f t="shared" si="26"/>
        <v>7153.6209900000003</v>
      </c>
      <c r="P17" s="745">
        <f t="shared" si="26"/>
        <v>7529.0556999999999</v>
      </c>
      <c r="Q17" s="745">
        <f t="shared" si="26"/>
        <v>5721.5243300000002</v>
      </c>
      <c r="R17" s="756"/>
      <c r="S17" s="745">
        <f>IF(IF(ISERROR(MAX(S10:S14)),"n/a",MAX(S10:S14))&lt;=0,"n/a",MAX(S10:S14))</f>
        <v>7107.2818900000002</v>
      </c>
      <c r="T17" s="745">
        <f t="shared" ref="T17:Y17" si="27">IF(IF(ISERROR(MAX(T10:T14)),"n/a",MAX(T10:T14))&lt;=0,"n/a",MAX(T10:T14))</f>
        <v>6432.3334100000002</v>
      </c>
      <c r="U17" s="745">
        <f t="shared" si="27"/>
        <v>5724.7538400000003</v>
      </c>
      <c r="V17" s="745">
        <f t="shared" si="27"/>
        <v>5414.4687400000003</v>
      </c>
      <c r="W17" s="745">
        <f t="shared" si="27"/>
        <v>5287.6212999999998</v>
      </c>
      <c r="X17" s="745">
        <f t="shared" si="27"/>
        <v>5827.2931900000003</v>
      </c>
      <c r="Y17" s="745">
        <f t="shared" si="27"/>
        <v>4506.4921400000003</v>
      </c>
      <c r="Z17" s="746"/>
      <c r="AA17" s="756">
        <f>IF(IF(ISERROR(MAX(AA10:AA14)),"NM",MAX(AA10:AA14))&lt;=0,"NM",MAX(AA10:AA14))</f>
        <v>0.18746767215337484</v>
      </c>
      <c r="AB17" s="756">
        <f t="shared" ref="AB17:AG17" si="28">IF(IF(ISERROR(MAX(AB10:AB14)),"NM",MAX(AB10:AB14))&lt;=0,"NM",MAX(AB10:AB14))</f>
        <v>0.18942603996457161</v>
      </c>
      <c r="AC17" s="756">
        <f t="shared" si="28"/>
        <v>0.19073996026541046</v>
      </c>
      <c r="AD17" s="756">
        <f t="shared" si="28"/>
        <v>0.1888844949431675</v>
      </c>
      <c r="AE17" s="756">
        <f t="shared" si="28"/>
        <v>0.19542007667226613</v>
      </c>
      <c r="AF17" s="756">
        <f t="shared" si="28"/>
        <v>0.18462991402968937</v>
      </c>
      <c r="AG17" s="756">
        <f t="shared" si="28"/>
        <v>0.18876633451758359</v>
      </c>
      <c r="AH17" s="756"/>
      <c r="AI17" s="756">
        <f>IF(IF(ISERROR(MAX(AI10:AI14)),"NM",MAX(AI10:AI14))&lt;=0,"NM",MAX(AI10:AI14))</f>
        <v>0.15743480355054015</v>
      </c>
      <c r="AJ17" s="756">
        <f t="shared" ref="AJ17:AO17" si="29">IF(IF(ISERROR(MAX(AJ10:AJ14)),"NM",MAX(AJ10:AJ14))&lt;=0,"NM",MAX(AJ10:AJ14))</f>
        <v>0.15100029420417771</v>
      </c>
      <c r="AK17" s="756">
        <f t="shared" si="29"/>
        <v>0.14420817371447939</v>
      </c>
      <c r="AL17" s="756">
        <f t="shared" si="29"/>
        <v>0.14934400406083531</v>
      </c>
      <c r="AM17" s="756">
        <f t="shared" si="29"/>
        <v>0.18030504460899516</v>
      </c>
      <c r="AN17" s="756">
        <f t="shared" si="29"/>
        <v>0.16960111081370449</v>
      </c>
      <c r="AO17" s="756">
        <f t="shared" si="29"/>
        <v>0.15023349999649901</v>
      </c>
      <c r="AP17" s="746"/>
      <c r="AQ17" s="756">
        <f t="shared" ref="AQ17:AW17" si="30">IF(IF(ISERROR(MAX(AQ10:AQ14)),"NM",MAX(AQ10:AQ14))&lt;=0,"NM",MAX(AQ10:AQ14))</f>
        <v>7.5086149271201608E-2</v>
      </c>
      <c r="AR17" s="756">
        <f t="shared" si="30"/>
        <v>7.6062868215748258E-2</v>
      </c>
      <c r="AS17" s="756">
        <f t="shared" si="30"/>
        <v>0.15509079490966315</v>
      </c>
      <c r="AT17" s="756">
        <f t="shared" si="30"/>
        <v>0.13139403123949212</v>
      </c>
      <c r="AU17" s="756">
        <f t="shared" si="30"/>
        <v>0.123018482334047</v>
      </c>
      <c r="AV17" s="756">
        <f t="shared" si="30"/>
        <v>0.43881845099800931</v>
      </c>
      <c r="AW17" s="756">
        <f t="shared" si="30"/>
        <v>0.11556815676071186</v>
      </c>
      <c r="AX17" s="746"/>
      <c r="AY17" s="756">
        <f t="shared" ref="AY17:BE17" si="31">IF(IF(ISERROR(MAX(AY10:AY14)),"NM",MAX(AY10:AY14))&lt;=0,"NM",MAX(AY10:AY14))</f>
        <v>6.9276786899775233E-2</v>
      </c>
      <c r="AZ17" s="756">
        <f t="shared" si="31"/>
        <v>0.10079549372265983</v>
      </c>
      <c r="BA17" s="756">
        <f t="shared" si="31"/>
        <v>0.76481839080459779</v>
      </c>
      <c r="BB17" s="756">
        <f t="shared" si="31"/>
        <v>0.63730803974706407</v>
      </c>
      <c r="BC17" s="756">
        <f t="shared" si="31"/>
        <v>0.84469255124145981</v>
      </c>
      <c r="BD17" s="756">
        <f t="shared" si="31"/>
        <v>0.31591779843047529</v>
      </c>
      <c r="BE17" s="756">
        <f t="shared" si="31"/>
        <v>0.5997443875691304</v>
      </c>
      <c r="BF17" s="756"/>
      <c r="BG17" s="756">
        <f t="shared" ref="BG17:BM17" si="32">IF(IF(ISERROR(MAX(BG10:BG14)),"NM",MAX(BG10:BG14))&lt;=0,"NM",MAX(BG10:BG14))</f>
        <v>0.11446663419386272</v>
      </c>
      <c r="BH17" s="756">
        <f t="shared" si="32"/>
        <v>0.20953250655433475</v>
      </c>
      <c r="BI17" s="756">
        <f t="shared" si="32"/>
        <v>0.57859759288330737</v>
      </c>
      <c r="BJ17" s="756">
        <f t="shared" si="32"/>
        <v>0.29259094772833638</v>
      </c>
      <c r="BK17" s="756">
        <f t="shared" si="32"/>
        <v>9.8073138218615963E-2</v>
      </c>
      <c r="BL17" s="756">
        <f t="shared" si="32"/>
        <v>0.293088506307702</v>
      </c>
      <c r="BM17" s="779">
        <f t="shared" si="32"/>
        <v>6.164556488354056E-2</v>
      </c>
      <c r="BN17" s="756"/>
      <c r="BP17" s="214"/>
      <c r="BQ17" s="214"/>
      <c r="BR17" s="214"/>
      <c r="BS17" s="214"/>
    </row>
    <row r="18" spans="1:71" s="117" customFormat="1">
      <c r="A18" s="95"/>
      <c r="B18" s="140" t="s">
        <v>83</v>
      </c>
      <c r="C18" s="745">
        <f>IF(ISERROR(MEDIAN(C10:C14)),"n/a",MEDIAN(C10:C14))</f>
        <v>24000.113000000001</v>
      </c>
      <c r="D18" s="745">
        <f t="shared" ref="D18:I18" si="33">IF(ISERROR(MEDIAN(D10:D14)),"n/a",MEDIAN(D10:D14))</f>
        <v>22323.897499999999</v>
      </c>
      <c r="E18" s="745">
        <f t="shared" si="33"/>
        <v>12720</v>
      </c>
      <c r="F18" s="745">
        <f t="shared" si="33"/>
        <v>12033.48287</v>
      </c>
      <c r="G18" s="745">
        <f t="shared" si="33"/>
        <v>11517.8</v>
      </c>
      <c r="H18" s="745">
        <f t="shared" si="33"/>
        <v>15389.3</v>
      </c>
      <c r="I18" s="745">
        <f t="shared" si="33"/>
        <v>10695.79</v>
      </c>
      <c r="J18" s="745"/>
      <c r="K18" s="745">
        <f>IF(ISERROR(MEDIAN(K10:K14)),"n/a",MEDIAN(K10:K14))</f>
        <v>6675.6371250000002</v>
      </c>
      <c r="L18" s="745">
        <f t="shared" ref="L18:Q18" si="34">IF(ISERROR(MEDIAN(L10:L14)),"n/a",MEDIAN(L10:L14))</f>
        <v>6284.8838899999992</v>
      </c>
      <c r="M18" s="745">
        <f t="shared" si="34"/>
        <v>2299.4450000000002</v>
      </c>
      <c r="N18" s="745">
        <f t="shared" si="34"/>
        <v>2239.4</v>
      </c>
      <c r="O18" s="745">
        <f t="shared" si="34"/>
        <v>2094.306</v>
      </c>
      <c r="P18" s="745">
        <f t="shared" si="34"/>
        <v>2444.3000000000002</v>
      </c>
      <c r="Q18" s="745">
        <f t="shared" si="34"/>
        <v>2401.89</v>
      </c>
      <c r="R18" s="756"/>
      <c r="S18" s="745">
        <f>IF(ISERROR(MEDIAN(S10:S14)),"n/a",MEDIAN(S10:S14))</f>
        <v>3469.511</v>
      </c>
      <c r="T18" s="745">
        <f t="shared" ref="T18:Y18" si="35">IF(ISERROR(MEDIAN(T10:T14)),"n/a",MEDIAN(T10:T14))</f>
        <v>3253.4989999999998</v>
      </c>
      <c r="U18" s="745">
        <f t="shared" si="35"/>
        <v>2344.5394999999999</v>
      </c>
      <c r="V18" s="745">
        <f t="shared" si="35"/>
        <v>1637</v>
      </c>
      <c r="W18" s="745">
        <f t="shared" si="35"/>
        <v>1513.2255</v>
      </c>
      <c r="X18" s="745">
        <f t="shared" si="35"/>
        <v>1653</v>
      </c>
      <c r="Y18" s="745">
        <f t="shared" si="35"/>
        <v>1681.87</v>
      </c>
      <c r="Z18" s="746"/>
      <c r="AA18" s="756">
        <f>IF(ISERROR(MEDIAN(AA10:AA14)),"NM",MEDIAN(AA10:AA14))</f>
        <v>0.18607493255402485</v>
      </c>
      <c r="AB18" s="756">
        <f t="shared" ref="AB18:AG18" si="36">IF(ISERROR(MEDIAN(AB10:AB14)),"NM",MEDIAN(AB10:AB14))</f>
        <v>0.18855402087886702</v>
      </c>
      <c r="AC18" s="756">
        <f t="shared" si="36"/>
        <v>0.18057298781923878</v>
      </c>
      <c r="AD18" s="756">
        <f t="shared" si="36"/>
        <v>0.17878025350395813</v>
      </c>
      <c r="AE18" s="756">
        <f t="shared" si="36"/>
        <v>0.18183212071749816</v>
      </c>
      <c r="AF18" s="756">
        <f t="shared" si="36"/>
        <v>0.18310993040685222</v>
      </c>
      <c r="AG18" s="756">
        <f t="shared" si="36"/>
        <v>0.17688366125185798</v>
      </c>
      <c r="AH18" s="756"/>
      <c r="AI18" s="756">
        <f>IF(ISERROR(MEDIAN(AI10:AI14)),"NM",MEDIAN(AI10:AI14))</f>
        <v>0.14938932682289066</v>
      </c>
      <c r="AJ18" s="756">
        <f t="shared" ref="AJ18:AO18" si="37">IF(ISERROR(MEDIAN(AJ10:AJ14)),"NM",MEDIAN(AJ10:AJ14))</f>
        <v>0.14574063511983065</v>
      </c>
      <c r="AK18" s="756">
        <f t="shared" si="37"/>
        <v>0.13493255677578769</v>
      </c>
      <c r="AL18" s="756">
        <f t="shared" si="37"/>
        <v>0.13603709064822062</v>
      </c>
      <c r="AM18" s="756">
        <f t="shared" si="37"/>
        <v>0.13138147041969822</v>
      </c>
      <c r="AN18" s="756">
        <f t="shared" si="37"/>
        <v>0.14289874900188274</v>
      </c>
      <c r="AO18" s="756">
        <f t="shared" si="37"/>
        <v>0.14122588324305654</v>
      </c>
      <c r="AP18" s="746"/>
      <c r="AQ18" s="756">
        <f t="shared" ref="AQ18:AW18" si="38">IF(ISERROR(MEDIAN(AQ10:AQ14)),"NM",MEDIAN(AQ10:AQ14))</f>
        <v>7.0499278788307418E-2</v>
      </c>
      <c r="AR18" s="756">
        <f t="shared" si="38"/>
        <v>6.8867924528301927E-2</v>
      </c>
      <c r="AS18" s="756">
        <f t="shared" si="38"/>
        <v>5.9136851056165396E-2</v>
      </c>
      <c r="AT18" s="756">
        <f t="shared" si="38"/>
        <v>4.7507835830084666E-2</v>
      </c>
      <c r="AU18" s="756">
        <f t="shared" si="38"/>
        <v>-6.3813330618065045E-2</v>
      </c>
      <c r="AV18" s="756">
        <f t="shared" si="38"/>
        <v>0.21872869969391528</v>
      </c>
      <c r="AW18" s="756">
        <f t="shared" si="38"/>
        <v>7.0448388101773896E-2</v>
      </c>
      <c r="AX18" s="746"/>
      <c r="AY18" s="756">
        <f t="shared" ref="AY18:BE18" si="39">IF(ISERROR(MEDIAN(AY10:AY14)),"NM",MEDIAN(AY10:AY14))</f>
        <v>5.8719633019001516E-2</v>
      </c>
      <c r="AZ18" s="756">
        <f t="shared" si="39"/>
        <v>8.4722928630784233E-2</v>
      </c>
      <c r="BA18" s="756">
        <f t="shared" si="39"/>
        <v>6.9541049130949606E-2</v>
      </c>
      <c r="BB18" s="756">
        <f t="shared" si="39"/>
        <v>5.2839509290936393E-2</v>
      </c>
      <c r="BC18" s="756">
        <f t="shared" si="39"/>
        <v>-6.5560471213777172E-2</v>
      </c>
      <c r="BD18" s="756">
        <f t="shared" si="39"/>
        <v>0.21387118825311857</v>
      </c>
      <c r="BE18" s="756">
        <f t="shared" si="39"/>
        <v>5.2752831605379358E-2</v>
      </c>
      <c r="BF18" s="756"/>
      <c r="BG18" s="756">
        <f t="shared" ref="BG18:BM18" si="40">IF(ISERROR(MEDIAN(BG10:BG14)),"NM",MEDIAN(BG10:BG14))</f>
        <v>0.10493058070508199</v>
      </c>
      <c r="BH18" s="756">
        <f t="shared" si="40"/>
        <v>0.1235999991922796</v>
      </c>
      <c r="BI18" s="756">
        <f t="shared" si="40"/>
        <v>6.4378626675317352E-2</v>
      </c>
      <c r="BJ18" s="756">
        <f t="shared" si="40"/>
        <v>5.2892327384362781E-2</v>
      </c>
      <c r="BK18" s="756">
        <f t="shared" si="40"/>
        <v>-9.2611075572121782E-2</v>
      </c>
      <c r="BL18" s="756">
        <f t="shared" si="40"/>
        <v>0.11020361068890361</v>
      </c>
      <c r="BM18" s="779">
        <f t="shared" si="40"/>
        <v>4.7908423216462159E-2</v>
      </c>
      <c r="BN18" s="756"/>
      <c r="BP18" s="214"/>
      <c r="BQ18" s="214"/>
      <c r="BR18" s="214"/>
      <c r="BS18" s="214"/>
    </row>
    <row r="19" spans="1:71" s="117" customFormat="1">
      <c r="A19" s="95"/>
      <c r="B19" s="140" t="s">
        <v>84</v>
      </c>
      <c r="C19" s="745">
        <f>IF(ISERROR(AVERAGE(C10:C14)),"n/a",AVERAGE(C10:C14))</f>
        <v>28702.893249999997</v>
      </c>
      <c r="D19" s="745">
        <f t="shared" ref="D19:I19" si="41">IF(ISERROR(AVERAGE(D10:D14)),"n/a",AVERAGE(D10:D14))</f>
        <v>26787.43549</v>
      </c>
      <c r="E19" s="745">
        <f t="shared" si="41"/>
        <v>15396.044422000001</v>
      </c>
      <c r="F19" s="745">
        <f t="shared" si="41"/>
        <v>14601.181224</v>
      </c>
      <c r="G19" s="745">
        <f t="shared" si="41"/>
        <v>13933.446714000002</v>
      </c>
      <c r="H19" s="745">
        <f t="shared" si="41"/>
        <v>15725.598135999997</v>
      </c>
      <c r="I19" s="745">
        <f t="shared" si="41"/>
        <v>12082.795533999999</v>
      </c>
      <c r="J19" s="745"/>
      <c r="K19" s="745">
        <f>IF(ISERROR(AVERAGE(K10:K14)),"n/a",AVERAGE(K10:K14))</f>
        <v>6675.6371250000002</v>
      </c>
      <c r="L19" s="745">
        <f t="shared" ref="L19:Q19" si="42">IF(ISERROR(AVERAGE(L10:L14)),"n/a",AVERAGE(L10:L14))</f>
        <v>6284.8838899999992</v>
      </c>
      <c r="M19" s="745">
        <f t="shared" si="42"/>
        <v>2809.9374359999997</v>
      </c>
      <c r="N19" s="745">
        <f t="shared" si="42"/>
        <v>2650.8473760000002</v>
      </c>
      <c r="O19" s="745">
        <f t="shared" si="42"/>
        <v>2608.2893859999999</v>
      </c>
      <c r="P19" s="745">
        <f t="shared" si="42"/>
        <v>2807.7513600000002</v>
      </c>
      <c r="Q19" s="745">
        <f t="shared" si="42"/>
        <v>2306.1958779999995</v>
      </c>
      <c r="R19" s="756"/>
      <c r="S19" s="745">
        <f>IF(ISERROR(AVERAGE(S10:S14)),"n/a",AVERAGE(S10:S14))</f>
        <v>4288.2642966666672</v>
      </c>
      <c r="T19" s="745">
        <f t="shared" ref="T19:Y19" si="43">IF(ISERROR(AVERAGE(T10:T14)),"n/a",AVERAGE(T10:T14))</f>
        <v>3912.9441366666665</v>
      </c>
      <c r="U19" s="745">
        <f t="shared" si="43"/>
        <v>2610.9999600000001</v>
      </c>
      <c r="V19" s="745">
        <f t="shared" si="43"/>
        <v>1999.627978</v>
      </c>
      <c r="W19" s="745">
        <f t="shared" si="43"/>
        <v>2054.8068599999997</v>
      </c>
      <c r="X19" s="745">
        <f t="shared" si="43"/>
        <v>2132.6602280000002</v>
      </c>
      <c r="Y19" s="745">
        <f t="shared" si="43"/>
        <v>1760.6128980000001</v>
      </c>
      <c r="Z19" s="746"/>
      <c r="AA19" s="756">
        <f>IF(ISERROR(AVERAGE(AA10:AA14)),"NM",AVERAGE(AA10:AA14))</f>
        <v>0.18607493255402485</v>
      </c>
      <c r="AB19" s="756">
        <f t="shared" ref="AB19:AG19" si="44">IF(ISERROR(AVERAGE(AB10:AB14)),"NM",AVERAGE(AB10:AB14))</f>
        <v>0.18855402087886702</v>
      </c>
      <c r="AC19" s="756">
        <f t="shared" si="44"/>
        <v>0.16860434425292473</v>
      </c>
      <c r="AD19" s="756">
        <f t="shared" si="44"/>
        <v>0.15754592895916647</v>
      </c>
      <c r="AE19" s="756">
        <f t="shared" si="44"/>
        <v>0.15351492667072361</v>
      </c>
      <c r="AF19" s="756">
        <f t="shared" si="44"/>
        <v>0.15112099586166353</v>
      </c>
      <c r="AG19" s="756">
        <f t="shared" si="44"/>
        <v>0.15784091741846218</v>
      </c>
      <c r="AH19" s="756"/>
      <c r="AI19" s="756">
        <f>IF(ISERROR(AVERAGE(AI10:AI14)),"NM",AVERAGE(AI10:AI14))</f>
        <v>0.15046213601979111</v>
      </c>
      <c r="AJ19" s="756">
        <f t="shared" ref="AJ19:AO19" si="45">IF(ISERROR(AVERAGE(AJ10:AJ14)),"NM",AVERAGE(AJ10:AJ14))</f>
        <v>0.14715835320267853</v>
      </c>
      <c r="AK19" s="756">
        <f t="shared" si="45"/>
        <v>0.11680934170964627</v>
      </c>
      <c r="AL19" s="756">
        <f t="shared" si="45"/>
        <v>0.12044750026277329</v>
      </c>
      <c r="AM19" s="756">
        <f t="shared" si="45"/>
        <v>0.11357671925905299</v>
      </c>
      <c r="AN19" s="756">
        <f t="shared" si="45"/>
        <v>0.10562235706602605</v>
      </c>
      <c r="AO19" s="756">
        <f t="shared" si="45"/>
        <v>0.11755426309676076</v>
      </c>
      <c r="AP19" s="746"/>
      <c r="AQ19" s="756">
        <f t="shared" ref="AQ19:AW19" si="46">IF(ISERROR(AVERAGE(AQ10:AQ14)),"NM",AVERAGE(AQ10:AQ14))</f>
        <v>7.1500918895191834E-2</v>
      </c>
      <c r="AR19" s="756">
        <f t="shared" si="46"/>
        <v>6.8010127812125384E-2</v>
      </c>
      <c r="AS19" s="756">
        <f t="shared" si="46"/>
        <v>8.1397482735599963E-2</v>
      </c>
      <c r="AT19" s="756">
        <f t="shared" si="46"/>
        <v>7.0212108902306267E-2</v>
      </c>
      <c r="AU19" s="756">
        <f t="shared" si="46"/>
        <v>-4.3136513978638581E-2</v>
      </c>
      <c r="AV19" s="756">
        <f t="shared" si="46"/>
        <v>0.20855118160120462</v>
      </c>
      <c r="AW19" s="756">
        <f t="shared" si="46"/>
        <v>7.0311580799323009E-2</v>
      </c>
      <c r="AX19" s="746"/>
      <c r="AY19" s="756">
        <f t="shared" ref="AY19:BE19" si="47">IF(ISERROR(AVERAGE(AY10:AY14)),"NM",AVERAGE(AY10:AY14))</f>
        <v>5.8719633019001516E-2</v>
      </c>
      <c r="AZ19" s="756">
        <f t="shared" si="47"/>
        <v>8.4722928630784233E-2</v>
      </c>
      <c r="BA19" s="756">
        <f t="shared" si="47"/>
        <v>0.19890655414651542</v>
      </c>
      <c r="BB19" s="756">
        <f t="shared" si="47"/>
        <v>0.15425023840666141</v>
      </c>
      <c r="BC19" s="756">
        <f t="shared" si="47"/>
        <v>7.232646598770405E-2</v>
      </c>
      <c r="BD19" s="756">
        <f t="shared" si="47"/>
        <v>0.11493871965042464</v>
      </c>
      <c r="BE19" s="756">
        <f t="shared" si="47"/>
        <v>0.12581614814480879</v>
      </c>
      <c r="BF19" s="756"/>
      <c r="BG19" s="756">
        <f t="shared" ref="BG19:BM19" si="48">IF(ISERROR(AVERAGE(BG10:BG14)),"NM",AVERAGE(BG10:BG14))</f>
        <v>9.5263655045076279E-2</v>
      </c>
      <c r="BH19" s="756">
        <f t="shared" si="48"/>
        <v>0.14021013470636468</v>
      </c>
      <c r="BI19" s="756">
        <f t="shared" si="48"/>
        <v>0.18605526623166818</v>
      </c>
      <c r="BJ19" s="756">
        <f t="shared" si="48"/>
        <v>5.6636263803328007E-2</v>
      </c>
      <c r="BK19" s="756">
        <f t="shared" si="48"/>
        <v>-0.20710912176138691</v>
      </c>
      <c r="BL19" s="756">
        <f t="shared" si="48"/>
        <v>0.10882665059750024</v>
      </c>
      <c r="BM19" s="779">
        <f t="shared" si="48"/>
        <v>3.7282366228650186E-2</v>
      </c>
      <c r="BN19" s="756"/>
      <c r="BP19" s="214"/>
      <c r="BQ19" s="214"/>
      <c r="BR19" s="214"/>
      <c r="BS19" s="214"/>
    </row>
    <row r="20" spans="1:71" s="117" customFormat="1">
      <c r="A20" s="95"/>
      <c r="B20" s="140" t="s">
        <v>337</v>
      </c>
      <c r="C20" s="745">
        <f>IFERROR(QUARTILE(C10:C14,1),"n/a")</f>
        <v>19266.556499999999</v>
      </c>
      <c r="D20" s="745">
        <f t="shared" ref="D20:I20" si="49">IFERROR(QUARTILE(D10:D14,1),"n/a")</f>
        <v>17959.94875</v>
      </c>
      <c r="E20" s="745">
        <f t="shared" si="49"/>
        <v>984.44</v>
      </c>
      <c r="F20" s="745">
        <f t="shared" si="49"/>
        <v>906.21749999999997</v>
      </c>
      <c r="G20" s="745">
        <f t="shared" si="49"/>
        <v>839.11941000000002</v>
      </c>
      <c r="H20" s="745">
        <f t="shared" si="49"/>
        <v>747.2</v>
      </c>
      <c r="I20" s="745">
        <f t="shared" si="49"/>
        <v>749.76700000000005</v>
      </c>
      <c r="J20" s="745"/>
      <c r="K20" s="745">
        <f>IFERROR(QUARTILE(K10:K14,1),"n/a")</f>
        <v>5554.0153124999997</v>
      </c>
      <c r="L20" s="745">
        <f t="shared" ref="L20:Q20" si="50">IFERROR(QUARTILE(L10:L14,1),"n/a")</f>
        <v>5256.805695</v>
      </c>
      <c r="M20" s="745">
        <f t="shared" si="50"/>
        <v>119.923</v>
      </c>
      <c r="N20" s="745">
        <f t="shared" si="50"/>
        <v>111.71778999999999</v>
      </c>
      <c r="O20" s="745">
        <f t="shared" si="50"/>
        <v>106.11094</v>
      </c>
      <c r="P20" s="745">
        <f t="shared" si="50"/>
        <v>136.81974</v>
      </c>
      <c r="Q20" s="745">
        <f t="shared" si="50"/>
        <v>171.33699999999999</v>
      </c>
      <c r="R20" s="756"/>
      <c r="S20" s="745">
        <f>IFERROR(QUARTILE(S10:S14,1),"n/a")</f>
        <v>2878.7555000000002</v>
      </c>
      <c r="T20" s="745">
        <f t="shared" ref="T20:Y20" si="51">IFERROR(QUARTILE(T10:T14,1),"n/a")</f>
        <v>2653.2494999999999</v>
      </c>
      <c r="U20" s="745">
        <f t="shared" si="51"/>
        <v>1280.5542499999999</v>
      </c>
      <c r="V20" s="745">
        <f t="shared" si="51"/>
        <v>135.33815000000001</v>
      </c>
      <c r="W20" s="745">
        <f t="shared" si="51"/>
        <v>104.703</v>
      </c>
      <c r="X20" s="745">
        <f t="shared" si="51"/>
        <v>126.72595</v>
      </c>
      <c r="Y20" s="745">
        <f t="shared" si="51"/>
        <v>137.47499999999999</v>
      </c>
      <c r="Z20" s="746"/>
      <c r="AA20" s="756">
        <f>IFERROR(QUARTILE(AA10:AA14,1),"NM")</f>
        <v>0.18537856275434983</v>
      </c>
      <c r="AB20" s="756">
        <f t="shared" ref="AB20:AG20" si="52">IFERROR(QUARTILE(AB10:AB14,1),"NM")</f>
        <v>0.18811801133601475</v>
      </c>
      <c r="AC20" s="756">
        <f t="shared" si="52"/>
        <v>0.16911629939798953</v>
      </c>
      <c r="AD20" s="756">
        <f t="shared" si="52"/>
        <v>0.12327922380664685</v>
      </c>
      <c r="AE20" s="756">
        <f t="shared" si="52"/>
        <v>0.12645511322399275</v>
      </c>
      <c r="AF20" s="756">
        <f t="shared" si="52"/>
        <v>0.15883113591911266</v>
      </c>
      <c r="AG20" s="756">
        <f t="shared" si="52"/>
        <v>0.1386656908080138</v>
      </c>
      <c r="AH20" s="756"/>
      <c r="AI20" s="756">
        <f>IFERROR(QUARTILE(AI10:AI14,1),"NM")</f>
        <v>0.14697580225441659</v>
      </c>
      <c r="AJ20" s="756">
        <f t="shared" ref="AJ20:AO20" si="53">IFERROR(QUARTILE(AJ10:AJ14,1),"NM")</f>
        <v>0.14523738270192893</v>
      </c>
      <c r="AK20" s="756">
        <f t="shared" si="53"/>
        <v>0.11337061894973634</v>
      </c>
      <c r="AL20" s="756">
        <f t="shared" si="53"/>
        <v>0.13540435987175536</v>
      </c>
      <c r="AM20" s="756">
        <f t="shared" si="53"/>
        <v>0.12477723522090854</v>
      </c>
      <c r="AN20" s="756">
        <f t="shared" si="53"/>
        <v>0.10741229295679466</v>
      </c>
      <c r="AO20" s="756">
        <f t="shared" si="53"/>
        <v>0.13611756953137275</v>
      </c>
      <c r="AP20" s="746"/>
      <c r="AQ20" s="756">
        <f t="shared" ref="AQ20:AW20" si="54">IFERROR(QUARTILE(AQ10:AQ14,1),"NM")</f>
        <v>6.9708303707186947E-2</v>
      </c>
      <c r="AR20" s="756">
        <f t="shared" si="54"/>
        <v>6.398375761031394E-2</v>
      </c>
      <c r="AS20" s="756">
        <f t="shared" si="54"/>
        <v>5.7050576081469906E-2</v>
      </c>
      <c r="AT20" s="756">
        <f t="shared" si="54"/>
        <v>4.7423484102449898E-2</v>
      </c>
      <c r="AU20" s="756">
        <f t="shared" si="54"/>
        <v>-0.12282049676285811</v>
      </c>
      <c r="AV20" s="756">
        <f t="shared" si="54"/>
        <v>7.7848560776029085E-2</v>
      </c>
      <c r="AW20" s="756">
        <f t="shared" si="54"/>
        <v>4.4283848406599935E-2</v>
      </c>
      <c r="AX20" s="746"/>
      <c r="AY20" s="756">
        <f t="shared" ref="AY20:BE20" si="55">IFERROR(QUARTILE(AY10:AY14,1),"NM")</f>
        <v>5.3441056078614657E-2</v>
      </c>
      <c r="AZ20" s="756">
        <f t="shared" si="55"/>
        <v>7.6686646084846433E-2</v>
      </c>
      <c r="BA20" s="756">
        <f t="shared" si="55"/>
        <v>5.9914477691391799E-2</v>
      </c>
      <c r="BB20" s="756">
        <f t="shared" si="55"/>
        <v>1.2475237391285976E-2</v>
      </c>
      <c r="BC20" s="756">
        <f t="shared" si="55"/>
        <v>-0.14318782473509806</v>
      </c>
      <c r="BD20" s="756">
        <f t="shared" si="55"/>
        <v>1.7656928502137959E-2</v>
      </c>
      <c r="BE20" s="756">
        <f t="shared" si="55"/>
        <v>-1.08378768878854E-2</v>
      </c>
      <c r="BF20" s="756"/>
      <c r="BG20" s="756">
        <f t="shared" ref="BG20:BM20" si="56">IFERROR(QUARTILE(BG10:BG14,1),"NM")</f>
        <v>8.566216547068306E-2</v>
      </c>
      <c r="BH20" s="756">
        <f t="shared" si="56"/>
        <v>0.10554894878237964</v>
      </c>
      <c r="BI20" s="756">
        <f t="shared" si="56"/>
        <v>5.2196547018655115E-2</v>
      </c>
      <c r="BJ20" s="756">
        <f t="shared" si="56"/>
        <v>-2.4965504895755802E-2</v>
      </c>
      <c r="BK20" s="756">
        <f t="shared" si="56"/>
        <v>-0.17378405922386053</v>
      </c>
      <c r="BL20" s="756">
        <f t="shared" si="56"/>
        <v>-3.2421344123023221E-2</v>
      </c>
      <c r="BM20" s="779">
        <f t="shared" si="56"/>
        <v>2.5100766901204996E-2</v>
      </c>
      <c r="BN20" s="756"/>
      <c r="BP20" s="214"/>
      <c r="BQ20" s="214"/>
      <c r="BR20" s="214"/>
      <c r="BS20" s="214"/>
    </row>
    <row r="21" spans="1:71" s="117" customFormat="1">
      <c r="A21" s="95"/>
      <c r="B21" s="734" t="s">
        <v>422</v>
      </c>
      <c r="C21" s="749">
        <f>IFERROR(QUARTILE(C10:C14,3),"n/a")</f>
        <v>35787.839874999998</v>
      </c>
      <c r="D21" s="749">
        <f t="shared" ref="D21:I21" si="57">IFERROR(QUARTILE(D10:D14,3),"n/a")</f>
        <v>33383.153234999998</v>
      </c>
      <c r="E21" s="749">
        <f t="shared" si="57"/>
        <v>20745.904500000001</v>
      </c>
      <c r="F21" s="749">
        <f t="shared" si="57"/>
        <v>19587.558000000001</v>
      </c>
      <c r="G21" s="749">
        <f t="shared" si="57"/>
        <v>18699.199499999999</v>
      </c>
      <c r="H21" s="749">
        <f t="shared" si="57"/>
        <v>21317.415000000001</v>
      </c>
      <c r="I21" s="749">
        <f t="shared" si="57"/>
        <v>17491.51801</v>
      </c>
      <c r="J21" s="749"/>
      <c r="K21" s="749">
        <f>IFERROR(QUARTILE(K10:K14,3),"n/a")</f>
        <v>7797.2589375000007</v>
      </c>
      <c r="L21" s="749">
        <f t="shared" ref="L21:Q21" si="58">IFERROR(QUARTILE(L10:L14,3),"n/a")</f>
        <v>7312.9620849999992</v>
      </c>
      <c r="M21" s="749">
        <f t="shared" si="58"/>
        <v>3957.0729999999999</v>
      </c>
      <c r="N21" s="749">
        <f t="shared" si="58"/>
        <v>3699.7860000000001</v>
      </c>
      <c r="O21" s="749">
        <f t="shared" si="58"/>
        <v>3654.1990000000001</v>
      </c>
      <c r="P21" s="749">
        <f t="shared" si="58"/>
        <v>3910.57836</v>
      </c>
      <c r="Q21" s="749">
        <f t="shared" si="58"/>
        <v>3221.5760599999999</v>
      </c>
      <c r="R21" s="757"/>
      <c r="S21" s="749">
        <f>IFERROR(QUARTILE(S10:S14,3),"n/a")</f>
        <v>5288.3964450000003</v>
      </c>
      <c r="T21" s="749">
        <f t="shared" ref="T21:Y21" si="59">IFERROR(QUARTILE(T10:T14,3),"n/a")</f>
        <v>4842.9162049999995</v>
      </c>
      <c r="U21" s="749">
        <f t="shared" si="59"/>
        <v>3674.9852099999998</v>
      </c>
      <c r="V21" s="749">
        <f t="shared" si="59"/>
        <v>2792.223</v>
      </c>
      <c r="W21" s="749">
        <f t="shared" si="59"/>
        <v>3371.56</v>
      </c>
      <c r="X21" s="749">
        <f t="shared" si="59"/>
        <v>3070.433</v>
      </c>
      <c r="Y21" s="749">
        <f t="shared" si="59"/>
        <v>2481.01235</v>
      </c>
      <c r="Z21" s="749"/>
      <c r="AA21" s="757">
        <f>IFERROR(QUARTILE(AA10:AA14,3),"NM")</f>
        <v>0.18677130235369985</v>
      </c>
      <c r="AB21" s="757">
        <f t="shared" ref="AB21:AG21" si="60">IFERROR(QUARTILE(AB10:AB14,3),"NM")</f>
        <v>0.18899003042171933</v>
      </c>
      <c r="AC21" s="757">
        <f t="shared" si="60"/>
        <v>0.1807739779874214</v>
      </c>
      <c r="AD21" s="757">
        <f t="shared" si="60"/>
        <v>0.18609741038339966</v>
      </c>
      <c r="AE21" s="757">
        <f t="shared" si="60"/>
        <v>0.18738077525187177</v>
      </c>
      <c r="AF21" s="757">
        <f t="shared" si="60"/>
        <v>0.18344524230541084</v>
      </c>
      <c r="AG21" s="757">
        <f t="shared" si="60"/>
        <v>0.18441893409188256</v>
      </c>
      <c r="AH21" s="757"/>
      <c r="AI21" s="757">
        <f>IFERROR(QUARTILE(AI10:AI14,3),"NM")</f>
        <v>0.15341206518671541</v>
      </c>
      <c r="AJ21" s="757">
        <f t="shared" ref="AJ21:AO21" si="61">IFERROR(QUARTILE(AJ10:AJ14,3),"NM")</f>
        <v>0.14837046466200418</v>
      </c>
      <c r="AK21" s="757">
        <f t="shared" si="61"/>
        <v>0.13837127953569764</v>
      </c>
      <c r="AL21" s="757">
        <f t="shared" si="61"/>
        <v>0.14255084783922528</v>
      </c>
      <c r="AM21" s="757">
        <f t="shared" si="61"/>
        <v>0.13850308533501296</v>
      </c>
      <c r="AN21" s="757">
        <f t="shared" si="61"/>
        <v>0.14403402101052121</v>
      </c>
      <c r="AO21" s="757">
        <f t="shared" si="61"/>
        <v>0.14790745003181613</v>
      </c>
      <c r="AP21" s="749"/>
      <c r="AQ21" s="757">
        <f t="shared" ref="AQ21:AW21" si="62">IFERROR(QUARTILE(AQ10:AQ14,3),"NM")</f>
        <v>7.2792714029754513E-2</v>
      </c>
      <c r="AR21" s="757">
        <f t="shared" si="62"/>
        <v>7.2465396372025093E-2</v>
      </c>
      <c r="AS21" s="757">
        <f t="shared" si="62"/>
        <v>8.6317578285566299E-2</v>
      </c>
      <c r="AT21" s="757">
        <f t="shared" si="62"/>
        <v>7.9962504978880133E-2</v>
      </c>
      <c r="AU21" s="757">
        <f t="shared" si="62"/>
        <v>9.9503671815649675E-2</v>
      </c>
      <c r="AV21" s="757">
        <f t="shared" si="62"/>
        <v>0.31078392684361766</v>
      </c>
      <c r="AW21" s="757">
        <f t="shared" si="62"/>
        <v>7.7676379290707143E-2</v>
      </c>
      <c r="AX21" s="749"/>
      <c r="AY21" s="757">
        <f t="shared" ref="AY21:BE21" si="63">IFERROR(QUARTILE(AY10:AY14,3),"NM")</f>
        <v>6.3998209959388375E-2</v>
      </c>
      <c r="AZ21" s="757">
        <f t="shared" si="63"/>
        <v>9.2759211176722034E-2</v>
      </c>
      <c r="BA21" s="757">
        <f t="shared" si="63"/>
        <v>7.3445867484489336E-2</v>
      </c>
      <c r="BB21" s="757">
        <f t="shared" si="63"/>
        <v>6.9280229345664024E-2</v>
      </c>
      <c r="BC21" s="757">
        <f t="shared" si="63"/>
        <v>-4.9864780519554341E-2</v>
      </c>
      <c r="BD21" s="757">
        <f t="shared" si="63"/>
        <v>0.22870597870597886</v>
      </c>
      <c r="BE21" s="757">
        <f t="shared" si="63"/>
        <v>7.2754775665416105E-2</v>
      </c>
      <c r="BF21" s="757"/>
      <c r="BG21" s="757">
        <f t="shared" ref="BG21:BM21" si="64">IFERROR(QUARTILE(BG10:BG14,3),"NM")</f>
        <v>0.10969860744947235</v>
      </c>
      <c r="BH21" s="757">
        <f t="shared" si="64"/>
        <v>0.16656625287330717</v>
      </c>
      <c r="BI21" s="757">
        <f t="shared" si="64"/>
        <v>0.19823734588833042</v>
      </c>
      <c r="BJ21" s="757">
        <f t="shared" si="64"/>
        <v>0.13449409608344659</v>
      </c>
      <c r="BK21" s="757">
        <f t="shared" si="64"/>
        <v>-8.4558076225045409E-2</v>
      </c>
      <c r="BL21" s="757">
        <f t="shared" si="64"/>
        <v>0.25145160540942707</v>
      </c>
      <c r="BM21" s="780">
        <f t="shared" si="64"/>
        <v>5.477699405000136E-2</v>
      </c>
      <c r="BN21" s="940"/>
      <c r="BP21" s="214"/>
      <c r="BQ21" s="214"/>
      <c r="BR21" s="214"/>
      <c r="BS21" s="214"/>
    </row>
    <row r="22" spans="1:71" s="117" customFormat="1" hidden="1" outlineLevel="1">
      <c r="A22" s="95"/>
      <c r="B22" s="528"/>
      <c r="C22" s="149"/>
      <c r="D22" s="149"/>
      <c r="E22" s="149"/>
      <c r="F22" s="149"/>
      <c r="G22" s="149"/>
      <c r="H22" s="149"/>
      <c r="I22" s="149"/>
      <c r="J22" s="223"/>
      <c r="K22" s="149"/>
      <c r="L22" s="149"/>
      <c r="M22" s="149"/>
      <c r="N22" s="149"/>
      <c r="O22" s="149"/>
      <c r="P22" s="149"/>
      <c r="Q22" s="149"/>
      <c r="R22" s="223"/>
      <c r="S22" s="149"/>
      <c r="T22" s="149"/>
      <c r="U22" s="149"/>
      <c r="V22" s="149"/>
      <c r="W22" s="149"/>
      <c r="X22" s="149"/>
      <c r="Y22" s="149"/>
      <c r="Z22" s="143"/>
      <c r="AA22" s="141"/>
      <c r="AB22" s="141"/>
      <c r="AC22" s="141"/>
      <c r="AD22" s="141"/>
      <c r="AE22" s="223"/>
      <c r="AF22" s="223"/>
      <c r="AG22" s="223"/>
      <c r="AH22" s="223"/>
      <c r="AI22" s="223"/>
      <c r="AJ22" s="223"/>
      <c r="AK22" s="223"/>
      <c r="AL22" s="223"/>
      <c r="AM22" s="223"/>
      <c r="AN22" s="223"/>
      <c r="AO22" s="223"/>
      <c r="AP22" s="143"/>
      <c r="AQ22" s="141"/>
      <c r="AR22" s="141"/>
      <c r="AS22" s="141"/>
      <c r="AT22" s="141"/>
      <c r="AU22" s="223"/>
      <c r="AV22" s="223"/>
      <c r="AW22" s="223"/>
      <c r="AX22" s="143"/>
      <c r="AY22" s="141"/>
      <c r="AZ22" s="141"/>
      <c r="BA22" s="141"/>
      <c r="BB22" s="141"/>
      <c r="BC22" s="223"/>
      <c r="BD22" s="223"/>
      <c r="BE22" s="223"/>
      <c r="BF22" s="223"/>
      <c r="BG22" s="223"/>
      <c r="BH22" s="223"/>
      <c r="BI22" s="223"/>
      <c r="BJ22" s="223"/>
      <c r="BK22" s="223"/>
      <c r="BL22" s="223"/>
      <c r="BM22" s="223"/>
      <c r="BN22" s="223"/>
      <c r="BP22" s="214"/>
      <c r="BQ22" s="214"/>
      <c r="BR22" s="214"/>
      <c r="BS22" s="214"/>
    </row>
    <row r="23" spans="1:71" s="117" customFormat="1" hidden="1" outlineLevel="1">
      <c r="A23" s="95"/>
      <c r="B23" s="155" t="str">
        <f>"Summary Metrics considering the most comparable companies " &amp; B12&amp; " and "&amp;B13</f>
        <v>Summary Metrics considering the most comparable companies DaVita Inc. and NxStage Medical, Inc.</v>
      </c>
      <c r="C23" s="116"/>
      <c r="D23" s="116"/>
      <c r="E23" s="116"/>
      <c r="F23" s="116"/>
      <c r="G23" s="116"/>
      <c r="H23" s="116"/>
      <c r="I23" s="116"/>
      <c r="J23" s="116"/>
      <c r="K23" s="116"/>
      <c r="L23" s="116"/>
      <c r="M23" s="116"/>
      <c r="N23" s="116"/>
      <c r="O23" s="116"/>
      <c r="P23" s="116"/>
      <c r="Q23" s="116"/>
      <c r="R23" s="213"/>
      <c r="S23" s="116"/>
      <c r="T23" s="116"/>
      <c r="U23" s="116"/>
      <c r="V23" s="116"/>
      <c r="W23" s="116"/>
      <c r="X23" s="116"/>
      <c r="Y23" s="116"/>
      <c r="Z23" s="116"/>
      <c r="AA23" s="116"/>
      <c r="AB23" s="116"/>
      <c r="AC23" s="116"/>
      <c r="AD23" s="116"/>
      <c r="AE23" s="116"/>
      <c r="AF23" s="116"/>
      <c r="AG23" s="116"/>
      <c r="AH23" s="213"/>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213"/>
      <c r="BG23" s="116"/>
      <c r="BH23" s="116"/>
      <c r="BI23" s="116"/>
      <c r="BJ23" s="116"/>
      <c r="BK23" s="116"/>
      <c r="BL23" s="116"/>
      <c r="BM23" s="116"/>
      <c r="BN23" s="116"/>
      <c r="BP23" s="95"/>
      <c r="BQ23" s="95"/>
      <c r="BR23" s="95"/>
    </row>
    <row r="24" spans="1:71" s="117" customFormat="1" hidden="1" outlineLevel="1">
      <c r="B24" s="726" t="s">
        <v>81</v>
      </c>
      <c r="C24" s="741">
        <f>IF(IF(ISERROR(MIN(C12:C13)),"n/a",MIN(C12:C13))&lt;=0,"n/a",MIN(C12:C13))</f>
        <v>14533</v>
      </c>
      <c r="D24" s="741">
        <f t="shared" ref="D24:I24" si="65">IF(IF(ISERROR(MIN(D12:D13)),"n/a",MIN(D12:D13))&lt;=0,"n/a",MIN(D12:D13))</f>
        <v>13596</v>
      </c>
      <c r="E24" s="741">
        <f t="shared" si="65"/>
        <v>567.43200000000002</v>
      </c>
      <c r="F24" s="741">
        <f t="shared" si="65"/>
        <v>491.24450000000002</v>
      </c>
      <c r="G24" s="741">
        <f t="shared" si="65"/>
        <v>434.19400000000002</v>
      </c>
      <c r="H24" s="741">
        <f t="shared" si="65"/>
        <v>394.9</v>
      </c>
      <c r="I24" s="741">
        <f t="shared" si="65"/>
        <v>366.37799999999999</v>
      </c>
      <c r="J24" s="755"/>
      <c r="K24" s="741" t="str">
        <f>IF(IF(ISERROR(MIN(K12:K13)),"n/a",MIN(K12:K13))&lt;=0,"n/a",MIN(K12:K13))</f>
        <v>n/a</v>
      </c>
      <c r="L24" s="741" t="str">
        <f t="shared" ref="L24:Q24" si="66">IF(IF(ISERROR(MIN(L12:L13)),"n/a",MIN(L12:L13))&lt;=0,"n/a",MIN(L12:L13))</f>
        <v>n/a</v>
      </c>
      <c r="M24" s="741">
        <f t="shared" si="66"/>
        <v>95.962000000000003</v>
      </c>
      <c r="N24" s="741">
        <f t="shared" si="66"/>
        <v>54.375</v>
      </c>
      <c r="O24" s="741">
        <f t="shared" si="66"/>
        <v>33.21</v>
      </c>
      <c r="P24" s="741">
        <f t="shared" si="66"/>
        <v>18.003</v>
      </c>
      <c r="Q24" s="741">
        <f t="shared" si="66"/>
        <v>14.651999999999999</v>
      </c>
      <c r="R24" s="755"/>
      <c r="S24" s="741">
        <f>IF(IF(ISERROR(MIN(S12:S13)),"n/a",MIN(S12:S13))&lt;=0,"n/a",MIN(S12:S13))</f>
        <v>2288</v>
      </c>
      <c r="T24" s="741">
        <f t="shared" ref="T24:Y24" si="67">IF(IF(ISERROR(MIN(T12:T13)),"n/a",MIN(T12:T13))&lt;=0,"n/a",MIN(T12:T13))</f>
        <v>2053</v>
      </c>
      <c r="U24" s="741">
        <f t="shared" si="67"/>
        <v>30.167000000000002</v>
      </c>
      <c r="V24" s="741">
        <f t="shared" si="67"/>
        <v>19.11</v>
      </c>
      <c r="W24" s="741" t="str">
        <f t="shared" si="67"/>
        <v>n/a</v>
      </c>
      <c r="X24" s="741" t="str">
        <f t="shared" si="67"/>
        <v>n/a</v>
      </c>
      <c r="Y24" s="741" t="str">
        <f t="shared" si="67"/>
        <v>n/a</v>
      </c>
      <c r="Z24" s="742"/>
      <c r="AA24" s="755" t="str">
        <f>IF(IF(ISERROR(MIN(AA12:AA13)),"n/a",MIN(AA12:AA13))&lt;=0,"n/a",MIN(AA12:AA13))</f>
        <v>n/a</v>
      </c>
      <c r="AB24" s="755" t="str">
        <f t="shared" ref="AB24:AG24" si="68">IF(IF(ISERROR(MIN(AB12:AB13)),"n/a",MIN(AB12:AB13))&lt;=0,"n/a",MIN(AB12:AB13))</f>
        <v>n/a</v>
      </c>
      <c r="AC24" s="755">
        <f t="shared" si="68"/>
        <v>0.16911629939798953</v>
      </c>
      <c r="AD24" s="755">
        <f t="shared" si="68"/>
        <v>0.1106882621586603</v>
      </c>
      <c r="AE24" s="755">
        <f t="shared" si="68"/>
        <v>7.6486547487989234E-2</v>
      </c>
      <c r="AF24" s="755">
        <f t="shared" si="68"/>
        <v>4.5588756647252475E-2</v>
      </c>
      <c r="AG24" s="755">
        <f t="shared" si="68"/>
        <v>0.10046996642297289</v>
      </c>
      <c r="AH24" s="755"/>
      <c r="AI24" s="755">
        <f>IF(IF(ISERROR(MIN(AI12:AI13)),"n/a",MIN(AI12:AI13))&lt;=0,"n/a",MIN(AI12:AI13))</f>
        <v>0.15743480355054015</v>
      </c>
      <c r="AJ24" s="755">
        <f t="shared" ref="AJ24:AO24" si="69">IF(IF(ISERROR(MIN(AJ12:AJ13)),"n/a",MIN(AJ12:AJ13))&lt;=0,"n/a",MIN(AJ12:AJ13))</f>
        <v>0.15100029420417771</v>
      </c>
      <c r="AK24" s="755">
        <f t="shared" si="69"/>
        <v>5.3164079572530276E-2</v>
      </c>
      <c r="AL24" s="755">
        <f t="shared" si="69"/>
        <v>3.8901198893829855E-2</v>
      </c>
      <c r="AM24" s="755" t="str">
        <f t="shared" si="69"/>
        <v>n/a</v>
      </c>
      <c r="AN24" s="755" t="str">
        <f t="shared" si="69"/>
        <v>n/a</v>
      </c>
      <c r="AO24" s="791">
        <f t="shared" si="69"/>
        <v>1.2286912681059338E-2</v>
      </c>
      <c r="AP24" s="742"/>
      <c r="AQ24" s="755">
        <f>IF(IF(ISERROR(MIN(AQ12:AQ13)),"n/a",MIN(AQ12:AQ13))&lt;=0,"n/a",MIN(AQ12:AQ13))</f>
        <v>6.8917328626066476E-2</v>
      </c>
      <c r="AR24" s="755">
        <f t="shared" ref="AR24:AW24" si="70">IF(IF(ISERROR(MIN(AR12:AR13)),"n/a",MIN(AR12:AR13))&lt;=0,"n/a",MIN(AR12:AR13))</f>
        <v>6.8867924528301927E-2</v>
      </c>
      <c r="AS24" s="755">
        <f t="shared" si="70"/>
        <v>5.7050576081469906E-2</v>
      </c>
      <c r="AT24" s="755">
        <f t="shared" si="70"/>
        <v>4.4772688360624535E-2</v>
      </c>
      <c r="AU24" s="755" t="str">
        <f t="shared" si="70"/>
        <v>n/a</v>
      </c>
      <c r="AV24" s="755">
        <f t="shared" si="70"/>
        <v>7.7848560776029085E-2</v>
      </c>
      <c r="AW24" s="755">
        <f t="shared" si="70"/>
        <v>4.4283848406599935E-2</v>
      </c>
      <c r="AX24" s="742"/>
      <c r="AY24" s="755" t="str">
        <f>IF(IF(ISERROR(MIN(AY12:AY13)),"n/a",MIN(AY12:AY13))&lt;=0,"n/a",MIN(AY12:AY13))</f>
        <v>n/a</v>
      </c>
      <c r="AZ24" s="755" t="str">
        <f t="shared" ref="AZ24:BE24" si="71">IF(IF(ISERROR(MIN(AZ12:AZ13)),"n/a",MIN(AZ12:AZ13))&lt;=0,"n/a",MIN(AZ12:AZ13))</f>
        <v>n/a</v>
      </c>
      <c r="BA24" s="755">
        <f t="shared" si="71"/>
        <v>2.6812985621148533E-2</v>
      </c>
      <c r="BB24" s="755">
        <f t="shared" si="71"/>
        <v>6.9280229345664024E-2</v>
      </c>
      <c r="BC24" s="755" t="str">
        <f t="shared" si="71"/>
        <v>n/a</v>
      </c>
      <c r="BD24" s="755">
        <f t="shared" si="71"/>
        <v>1.7656928502137959E-2</v>
      </c>
      <c r="BE24" s="755" t="str">
        <f t="shared" si="71"/>
        <v>n/a</v>
      </c>
      <c r="BF24" s="755"/>
      <c r="BG24" s="755">
        <f>IF(IF(ISERROR(MIN(BG12:BG13)),"n/a",MIN(BG12:BG13))&lt;=0,"n/a",MIN(BG12:BG13))</f>
        <v>0.11446663419386272</v>
      </c>
      <c r="BH24" s="755">
        <f t="shared" ref="BH24:BM24" si="72">IF(IF(ISERROR(MIN(BH12:BH13)),"n/a",MIN(BH12:BH13))&lt;=0,"n/a",MIN(BH12:BH13))</f>
        <v>0.20953250655433475</v>
      </c>
      <c r="BI24" s="755">
        <f t="shared" si="72"/>
        <v>3.6866218692730657E-2</v>
      </c>
      <c r="BJ24" s="755">
        <f t="shared" si="72"/>
        <v>8.1795145535149993E-2</v>
      </c>
      <c r="BK24" s="755" t="str">
        <f t="shared" si="72"/>
        <v>n/a</v>
      </c>
      <c r="BL24" s="755" t="str">
        <f t="shared" si="72"/>
        <v>n/a</v>
      </c>
      <c r="BM24" s="791">
        <f t="shared" si="72"/>
        <v>2.2931105859478329E-3</v>
      </c>
      <c r="BN24" s="756"/>
      <c r="BP24" s="214"/>
      <c r="BQ24" s="214"/>
      <c r="BR24" s="214"/>
      <c r="BS24" s="214"/>
    </row>
    <row r="25" spans="1:71" s="117" customFormat="1" hidden="1" outlineLevel="1">
      <c r="B25" s="140" t="s">
        <v>82</v>
      </c>
      <c r="C25" s="745">
        <f>IF(IF(ISERROR(MAX(C12:C13)),"n/a",MAX(C12:C13))&lt;=0,"n/a",MAX(C12:C13))</f>
        <v>14533</v>
      </c>
      <c r="D25" s="745">
        <f t="shared" ref="D25:I25" si="73">IF(IF(ISERROR(MAX(D12:D13)),"n/a",MAX(D12:D13))&lt;=0,"n/a",MAX(D12:D13))</f>
        <v>13596</v>
      </c>
      <c r="E25" s="745">
        <f t="shared" si="73"/>
        <v>12720</v>
      </c>
      <c r="F25" s="745">
        <f t="shared" si="73"/>
        <v>12033.48287</v>
      </c>
      <c r="G25" s="745">
        <f t="shared" si="73"/>
        <v>11517.8</v>
      </c>
      <c r="H25" s="745">
        <f t="shared" si="73"/>
        <v>15389.3</v>
      </c>
      <c r="I25" s="745">
        <f t="shared" si="73"/>
        <v>10695.79</v>
      </c>
      <c r="J25" s="756"/>
      <c r="K25" s="745" t="str">
        <f>IF(IF(ISERROR(MAX(K12:K13)),"n/a",MAX(K12:K13))&lt;=0,"n/a",MAX(K12:K13))</f>
        <v>n/a</v>
      </c>
      <c r="L25" s="745" t="str">
        <f t="shared" ref="L25:Q25" si="74">IF(IF(ISERROR(MAX(L12:L13)),"n/a",MAX(L12:L13))&lt;=0,"n/a",MAX(L12:L13))</f>
        <v>n/a</v>
      </c>
      <c r="M25" s="745">
        <f t="shared" si="74"/>
        <v>2299.4450000000002</v>
      </c>
      <c r="N25" s="745">
        <f t="shared" si="74"/>
        <v>2239.4</v>
      </c>
      <c r="O25" s="745">
        <f t="shared" si="74"/>
        <v>2094.306</v>
      </c>
      <c r="P25" s="745">
        <f t="shared" si="74"/>
        <v>2444.3000000000002</v>
      </c>
      <c r="Q25" s="745">
        <f t="shared" si="74"/>
        <v>2401.89</v>
      </c>
      <c r="R25" s="756"/>
      <c r="S25" s="745">
        <f>IF(IF(ISERROR(MAX(S12:S13)),"n/a",MAX(S12:S13))&lt;=0,"n/a",MAX(S12:S13))</f>
        <v>2288</v>
      </c>
      <c r="T25" s="745">
        <f t="shared" ref="T25:Y25" si="75">IF(IF(ISERROR(MAX(T12:T13)),"n/a",MAX(T12:T13))&lt;=0,"n/a",MAX(T12:T13))</f>
        <v>2053</v>
      </c>
      <c r="U25" s="745">
        <f t="shared" si="75"/>
        <v>1697.35</v>
      </c>
      <c r="V25" s="745">
        <f t="shared" si="75"/>
        <v>1637</v>
      </c>
      <c r="W25" s="745">
        <f t="shared" si="75"/>
        <v>1513.2255</v>
      </c>
      <c r="X25" s="745">
        <f t="shared" si="75"/>
        <v>1653</v>
      </c>
      <c r="Y25" s="745">
        <f t="shared" si="75"/>
        <v>1681.87</v>
      </c>
      <c r="Z25" s="746"/>
      <c r="AA25" s="756" t="str">
        <f>IF(IF(ISERROR(MAX(AA12:AA13)),"n/a",MAX(AA12:AA13))&lt;=0,"n/a",MAX(AA12:AA13))</f>
        <v>n/a</v>
      </c>
      <c r="AB25" s="756" t="str">
        <f t="shared" ref="AB25:AG25" si="76">IF(IF(ISERROR(MAX(AB12:AB13)),"n/a",MAX(AB12:AB13))&lt;=0,"n/a",MAX(AB12:AB13))</f>
        <v>n/a</v>
      </c>
      <c r="AC25" s="756">
        <f t="shared" si="76"/>
        <v>0.1807739779874214</v>
      </c>
      <c r="AD25" s="756">
        <f t="shared" si="76"/>
        <v>0.18609741038339966</v>
      </c>
      <c r="AE25" s="756">
        <f t="shared" si="76"/>
        <v>0.18183212071749816</v>
      </c>
      <c r="AF25" s="756">
        <f t="shared" si="76"/>
        <v>0.15883113591911266</v>
      </c>
      <c r="AG25" s="756">
        <f t="shared" si="76"/>
        <v>0.17688366125185798</v>
      </c>
      <c r="AH25" s="756"/>
      <c r="AI25" s="756">
        <f>IF(IF(ISERROR(MAX(AI12:AI13)),"n/a",MAX(AI12:AI13))&lt;=0,"n/a",MAX(AI12:AI13))</f>
        <v>0.15743480355054015</v>
      </c>
      <c r="AJ25" s="756">
        <f t="shared" ref="AJ25:AO25" si="77">IF(IF(ISERROR(MAX(AJ12:AJ13)),"n/a",MAX(AJ12:AJ13))&lt;=0,"n/a",MAX(AJ12:AJ13))</f>
        <v>0.15100029420417771</v>
      </c>
      <c r="AK25" s="756">
        <f t="shared" si="77"/>
        <v>0.13343946540880502</v>
      </c>
      <c r="AL25" s="756">
        <f t="shared" si="77"/>
        <v>0.13603709064822062</v>
      </c>
      <c r="AM25" s="756">
        <f t="shared" si="77"/>
        <v>0.13138147041969822</v>
      </c>
      <c r="AN25" s="756">
        <f t="shared" si="77"/>
        <v>0.10741229295679466</v>
      </c>
      <c r="AO25" s="779">
        <f t="shared" si="77"/>
        <v>0.13611756953137275</v>
      </c>
      <c r="AP25" s="746"/>
      <c r="AQ25" s="756">
        <f>IF(IF(ISERROR(MAX(AQ12:AQ13)),"n/a",MAX(AQ12:AQ13))&lt;=0,"n/a",MAX(AQ12:AQ13))</f>
        <v>6.8917328626066476E-2</v>
      </c>
      <c r="AR25" s="756">
        <f t="shared" ref="AR25:AW25" si="78">IF(IF(ISERROR(MAX(AR12:AR13)),"n/a",MAX(AR12:AR13))&lt;=0,"n/a",MAX(AR12:AR13))</f>
        <v>6.8867924528301927E-2</v>
      </c>
      <c r="AS25" s="756">
        <f t="shared" si="78"/>
        <v>0.15509079490966315</v>
      </c>
      <c r="AT25" s="756">
        <f t="shared" si="78"/>
        <v>0.13139403123949212</v>
      </c>
      <c r="AU25" s="756">
        <f t="shared" si="78"/>
        <v>9.9503671815649675E-2</v>
      </c>
      <c r="AV25" s="756">
        <f t="shared" si="78"/>
        <v>0.43881845099800931</v>
      </c>
      <c r="AW25" s="756">
        <f t="shared" si="78"/>
        <v>0.11556815676071186</v>
      </c>
      <c r="AX25" s="746"/>
      <c r="AY25" s="756" t="str">
        <f>IF(IF(ISERROR(MAX(AY12:AY13)),"n/a",MAX(AY12:AY13))&lt;=0,"n/a",MAX(AY12:AY13))</f>
        <v>n/a</v>
      </c>
      <c r="AZ25" s="756" t="str">
        <f t="shared" ref="AZ25:BE25" si="79">IF(IF(ISERROR(MAX(AZ12:AZ13)),"n/a",MAX(AZ12:AZ13))&lt;=0,"n/a",MAX(AZ12:AZ13))</f>
        <v>n/a</v>
      </c>
      <c r="BA25" s="756">
        <f t="shared" si="79"/>
        <v>0.76481839080459779</v>
      </c>
      <c r="BB25" s="756">
        <f t="shared" si="79"/>
        <v>0.63730803974706407</v>
      </c>
      <c r="BC25" s="756">
        <f t="shared" si="79"/>
        <v>0.84469255124145981</v>
      </c>
      <c r="BD25" s="756">
        <f t="shared" si="79"/>
        <v>0.22870597870597886</v>
      </c>
      <c r="BE25" s="756">
        <f t="shared" si="79"/>
        <v>0.5997443875691304</v>
      </c>
      <c r="BF25" s="756"/>
      <c r="BG25" s="756">
        <f>IF(IF(ISERROR(MAX(BG12:BG13)),"n/a",MAX(BG12:BG13))&lt;=0,"n/a",MAX(BG12:BG13))</f>
        <v>0.11446663419386272</v>
      </c>
      <c r="BH25" s="756">
        <f t="shared" ref="BH25:BM25" si="80">IF(IF(ISERROR(MAX(BH12:BH13)),"n/a",MAX(BH12:BH13))&lt;=0,"n/a",MAX(BH12:BH13))</f>
        <v>0.20953250655433475</v>
      </c>
      <c r="BI25" s="756">
        <f t="shared" si="80"/>
        <v>0.57859759288330737</v>
      </c>
      <c r="BJ25" s="756">
        <f t="shared" si="80"/>
        <v>8.1795145535149993E-2</v>
      </c>
      <c r="BK25" s="756" t="str">
        <f t="shared" si="80"/>
        <v>n/a</v>
      </c>
      <c r="BL25" s="756" t="str">
        <f t="shared" si="80"/>
        <v>n/a</v>
      </c>
      <c r="BM25" s="779">
        <f t="shared" si="80"/>
        <v>2.2931105859478329E-3</v>
      </c>
      <c r="BN25" s="756"/>
      <c r="BP25" s="214"/>
      <c r="BQ25" s="214"/>
      <c r="BR25" s="214"/>
      <c r="BS25" s="214"/>
    </row>
    <row r="26" spans="1:71" s="117" customFormat="1" hidden="1" outlineLevel="1">
      <c r="A26" s="95"/>
      <c r="B26" s="140" t="s">
        <v>83</v>
      </c>
      <c r="C26" s="745">
        <f>IF(ISERROR(MEDIAN(C12:C13)),"n/a",MEDIAN(C12:C13))</f>
        <v>14533</v>
      </c>
      <c r="D26" s="745">
        <f t="shared" ref="D26:I26" si="81">IF(ISERROR(MEDIAN(D12:D13)),"n/a",MEDIAN(D12:D13))</f>
        <v>13596</v>
      </c>
      <c r="E26" s="745">
        <f t="shared" si="81"/>
        <v>6643.7159999999994</v>
      </c>
      <c r="F26" s="745">
        <f t="shared" si="81"/>
        <v>6262.3636849999994</v>
      </c>
      <c r="G26" s="745">
        <f t="shared" si="81"/>
        <v>5975.9970000000003</v>
      </c>
      <c r="H26" s="745">
        <f t="shared" si="81"/>
        <v>7892.0999999999995</v>
      </c>
      <c r="I26" s="745">
        <f t="shared" si="81"/>
        <v>5531.0839999999998</v>
      </c>
      <c r="J26" s="756"/>
      <c r="K26" s="745" t="str">
        <f>IF(ISERROR(MEDIAN(K12:K13)),"n/a",MEDIAN(K12:K13))</f>
        <v>n/a</v>
      </c>
      <c r="L26" s="745" t="str">
        <f t="shared" ref="L26:Q26" si="82">IF(ISERROR(MEDIAN(L12:L13)),"n/a",MEDIAN(L12:L13))</f>
        <v>n/a</v>
      </c>
      <c r="M26" s="745">
        <f t="shared" si="82"/>
        <v>1197.7035000000001</v>
      </c>
      <c r="N26" s="745">
        <f t="shared" si="82"/>
        <v>1146.8875</v>
      </c>
      <c r="O26" s="745">
        <f t="shared" si="82"/>
        <v>1063.758</v>
      </c>
      <c r="P26" s="745">
        <f t="shared" si="82"/>
        <v>1231.1514999999999</v>
      </c>
      <c r="Q26" s="745">
        <f t="shared" si="82"/>
        <v>1208.271</v>
      </c>
      <c r="R26" s="756"/>
      <c r="S26" s="745">
        <f>IF(ISERROR(MEDIAN(S12:S13)),"n/a",MEDIAN(S12:S13))</f>
        <v>2288</v>
      </c>
      <c r="T26" s="745">
        <f t="shared" ref="T26:Y26" si="83">IF(ISERROR(MEDIAN(T12:T13)),"n/a",MEDIAN(T12:T13))</f>
        <v>2053</v>
      </c>
      <c r="U26" s="745">
        <f t="shared" si="83"/>
        <v>863.75850000000003</v>
      </c>
      <c r="V26" s="745">
        <f t="shared" si="83"/>
        <v>828.05500000000006</v>
      </c>
      <c r="W26" s="745">
        <f t="shared" si="83"/>
        <v>755.07499999999993</v>
      </c>
      <c r="X26" s="745">
        <f t="shared" si="83"/>
        <v>819.42450000000008</v>
      </c>
      <c r="Y26" s="745">
        <f t="shared" si="83"/>
        <v>839.04250000000002</v>
      </c>
      <c r="Z26" s="746"/>
      <c r="AA26" s="756" t="str">
        <f>IF(ISERROR(MEDIAN(AA12:AA13)),"n/a",MEDIAN(AA12:AA13))</f>
        <v>n/a</v>
      </c>
      <c r="AB26" s="756" t="str">
        <f t="shared" ref="AB26:AG26" si="84">IF(ISERROR(MEDIAN(AB12:AB13)),"n/a",MEDIAN(AB12:AB13))</f>
        <v>n/a</v>
      </c>
      <c r="AC26" s="756">
        <f t="shared" si="84"/>
        <v>0.17494513869270545</v>
      </c>
      <c r="AD26" s="756">
        <f t="shared" si="84"/>
        <v>0.14839283627102998</v>
      </c>
      <c r="AE26" s="756">
        <f t="shared" si="84"/>
        <v>0.12915933410274369</v>
      </c>
      <c r="AF26" s="756">
        <f t="shared" si="84"/>
        <v>0.10220994628318256</v>
      </c>
      <c r="AG26" s="756">
        <f t="shared" si="84"/>
        <v>0.13867681383741542</v>
      </c>
      <c r="AH26" s="756"/>
      <c r="AI26" s="756">
        <f>IF(ISERROR(MEDIAN(AI12:AI13)),"n/a",MEDIAN(AI12:AI13))</f>
        <v>0.15743480355054015</v>
      </c>
      <c r="AJ26" s="756">
        <f t="shared" ref="AJ26:AO26" si="85">IF(ISERROR(MEDIAN(AJ12:AJ13)),"n/a",MEDIAN(AJ12:AJ13))</f>
        <v>0.15100029420417771</v>
      </c>
      <c r="AK26" s="756">
        <f t="shared" si="85"/>
        <v>9.330177249066765E-2</v>
      </c>
      <c r="AL26" s="756">
        <f t="shared" si="85"/>
        <v>8.7469144771025242E-2</v>
      </c>
      <c r="AM26" s="756">
        <f t="shared" si="85"/>
        <v>6.2149115565174148E-2</v>
      </c>
      <c r="AN26" s="756">
        <f t="shared" si="85"/>
        <v>3.5788952252010911E-2</v>
      </c>
      <c r="AO26" s="779">
        <f t="shared" si="85"/>
        <v>7.4202241106216038E-2</v>
      </c>
      <c r="AP26" s="746"/>
      <c r="AQ26" s="756">
        <f>IF(ISERROR(MEDIAN(AQ12:AQ13)),"n/a",MEDIAN(AQ12:AQ13))</f>
        <v>6.8917328626066476E-2</v>
      </c>
      <c r="AR26" s="756">
        <f t="shared" ref="AR26:AW26" si="86">IF(ISERROR(MEDIAN(AR12:AR13)),"n/a",MEDIAN(AR12:AR13))</f>
        <v>6.8867924528301927E-2</v>
      </c>
      <c r="AS26" s="756">
        <f t="shared" si="86"/>
        <v>0.10607068549556653</v>
      </c>
      <c r="AT26" s="756">
        <f t="shared" si="86"/>
        <v>8.8083359800058325E-2</v>
      </c>
      <c r="AU26" s="756">
        <f t="shared" si="86"/>
        <v>-7.603361242315837E-2</v>
      </c>
      <c r="AV26" s="756">
        <f t="shared" si="86"/>
        <v>0.2583335058870192</v>
      </c>
      <c r="AW26" s="756">
        <f t="shared" si="86"/>
        <v>7.9926002583655897E-2</v>
      </c>
      <c r="AX26" s="746"/>
      <c r="AY26" s="756" t="str">
        <f>IF(ISERROR(MEDIAN(AY12:AY13)),"n/a",MEDIAN(AY12:AY13))</f>
        <v>n/a</v>
      </c>
      <c r="AZ26" s="756" t="str">
        <f t="shared" ref="AZ26:BE26" si="87">IF(ISERROR(MEDIAN(AZ12:AZ13)),"n/a",MEDIAN(AZ12:AZ13))</f>
        <v>n/a</v>
      </c>
      <c r="BA26" s="756">
        <f t="shared" si="87"/>
        <v>0.39581568821287316</v>
      </c>
      <c r="BB26" s="756">
        <f t="shared" si="87"/>
        <v>0.35329413454636405</v>
      </c>
      <c r="BC26" s="756">
        <f t="shared" si="87"/>
        <v>0.35075236325318088</v>
      </c>
      <c r="BD26" s="756">
        <f t="shared" si="87"/>
        <v>0.12318145360405841</v>
      </c>
      <c r="BE26" s="756">
        <f t="shared" si="87"/>
        <v>0.2944532553406225</v>
      </c>
      <c r="BF26" s="756"/>
      <c r="BG26" s="756">
        <f>IF(ISERROR(MEDIAN(BG12:BG13)),"n/a",MEDIAN(BG12:BG13))</f>
        <v>0.11446663419386272</v>
      </c>
      <c r="BH26" s="756">
        <f t="shared" ref="BH26:BM26" si="88">IF(ISERROR(MEDIAN(BH12:BH13)),"n/a",MEDIAN(BH12:BH13))</f>
        <v>0.20953250655433475</v>
      </c>
      <c r="BI26" s="756">
        <f t="shared" si="88"/>
        <v>0.30773190578801901</v>
      </c>
      <c r="BJ26" s="756">
        <f t="shared" si="88"/>
        <v>8.1795145535149993E-2</v>
      </c>
      <c r="BK26" s="756">
        <f t="shared" si="88"/>
        <v>-0.43361180611478406</v>
      </c>
      <c r="BL26" s="756">
        <f t="shared" si="88"/>
        <v>-1.716541706552821E-2</v>
      </c>
      <c r="BM26" s="779">
        <f t="shared" si="88"/>
        <v>2.2931105859478329E-3</v>
      </c>
      <c r="BN26" s="756"/>
      <c r="BP26" s="214"/>
      <c r="BQ26" s="214"/>
      <c r="BR26" s="214"/>
      <c r="BS26" s="214"/>
    </row>
    <row r="27" spans="1:71" s="117" customFormat="1" hidden="1" outlineLevel="1">
      <c r="A27" s="95"/>
      <c r="B27" s="140" t="s">
        <v>84</v>
      </c>
      <c r="C27" s="745">
        <f>IF(ISERROR(AVERAGE(C12:C13)),"n/a",AVERAGE(C12:C13))</f>
        <v>14533</v>
      </c>
      <c r="D27" s="745">
        <f t="shared" ref="D27:I27" si="89">IF(ISERROR(AVERAGE(D12:D13)),"n/a",AVERAGE(D12:D13))</f>
        <v>13596</v>
      </c>
      <c r="E27" s="745">
        <f t="shared" si="89"/>
        <v>6643.7160000000003</v>
      </c>
      <c r="F27" s="745">
        <f t="shared" si="89"/>
        <v>6262.3636850000003</v>
      </c>
      <c r="G27" s="745">
        <f t="shared" si="89"/>
        <v>5975.9969999999994</v>
      </c>
      <c r="H27" s="745">
        <f t="shared" si="89"/>
        <v>7892.0999999999995</v>
      </c>
      <c r="I27" s="745">
        <f t="shared" si="89"/>
        <v>5531.0840000000007</v>
      </c>
      <c r="J27" s="756"/>
      <c r="K27" s="745" t="str">
        <f>IF(ISERROR(AVERAGE(K12:K13)),"n/a",AVERAGE(K12:K13))</f>
        <v>n/a</v>
      </c>
      <c r="L27" s="745" t="str">
        <f t="shared" ref="L27:Q27" si="90">IF(ISERROR(AVERAGE(L12:L13)),"n/a",AVERAGE(L12:L13))</f>
        <v>n/a</v>
      </c>
      <c r="M27" s="745">
        <f t="shared" si="90"/>
        <v>1197.7035000000001</v>
      </c>
      <c r="N27" s="745">
        <f t="shared" si="90"/>
        <v>1146.8875</v>
      </c>
      <c r="O27" s="745">
        <f t="shared" si="90"/>
        <v>1063.758</v>
      </c>
      <c r="P27" s="745">
        <f t="shared" si="90"/>
        <v>1231.1515000000002</v>
      </c>
      <c r="Q27" s="745">
        <f t="shared" si="90"/>
        <v>1208.271</v>
      </c>
      <c r="R27" s="756"/>
      <c r="S27" s="745">
        <f>IF(ISERROR(AVERAGE(S12:S13)),"n/a",AVERAGE(S12:S13))</f>
        <v>2288</v>
      </c>
      <c r="T27" s="745">
        <f t="shared" ref="T27:Y27" si="91">IF(ISERROR(AVERAGE(T12:T13)),"n/a",AVERAGE(T12:T13))</f>
        <v>2053</v>
      </c>
      <c r="U27" s="745">
        <f t="shared" si="91"/>
        <v>863.75849999999991</v>
      </c>
      <c r="V27" s="745">
        <f t="shared" si="91"/>
        <v>828.05499999999995</v>
      </c>
      <c r="W27" s="745">
        <f t="shared" si="91"/>
        <v>755.07500000000005</v>
      </c>
      <c r="X27" s="745">
        <f t="shared" si="91"/>
        <v>819.42449999999997</v>
      </c>
      <c r="Y27" s="745">
        <f t="shared" si="91"/>
        <v>839.0424999999999</v>
      </c>
      <c r="Z27" s="746"/>
      <c r="AA27" s="756" t="str">
        <f>IF(ISERROR(AVERAGE(AA12:AA13)),"n/a",AVERAGE(AA12:AA13))</f>
        <v>n/a</v>
      </c>
      <c r="AB27" s="756" t="str">
        <f t="shared" ref="AB27:AG27" si="92">IF(ISERROR(AVERAGE(AB12:AB13)),"n/a",AVERAGE(AB12:AB13))</f>
        <v>n/a</v>
      </c>
      <c r="AC27" s="756">
        <f t="shared" si="92"/>
        <v>0.17494513869270545</v>
      </c>
      <c r="AD27" s="756">
        <f t="shared" si="92"/>
        <v>0.14839283627102998</v>
      </c>
      <c r="AE27" s="756">
        <f t="shared" si="92"/>
        <v>0.12915933410274369</v>
      </c>
      <c r="AF27" s="756">
        <f t="shared" si="92"/>
        <v>0.10220994628318257</v>
      </c>
      <c r="AG27" s="756">
        <f t="shared" si="92"/>
        <v>0.13867681383741542</v>
      </c>
      <c r="AH27" s="756"/>
      <c r="AI27" s="756">
        <f>IF(ISERROR(AVERAGE(AI12:AI13)),"n/a",AVERAGE(AI12:AI13))</f>
        <v>0.15743480355054015</v>
      </c>
      <c r="AJ27" s="756">
        <f t="shared" ref="AJ27:AO27" si="93">IF(ISERROR(AVERAGE(AJ12:AJ13)),"n/a",AVERAGE(AJ12:AJ13))</f>
        <v>0.15100029420417771</v>
      </c>
      <c r="AK27" s="756">
        <f t="shared" si="93"/>
        <v>9.330177249066765E-2</v>
      </c>
      <c r="AL27" s="756">
        <f t="shared" si="93"/>
        <v>8.7469144771025242E-2</v>
      </c>
      <c r="AM27" s="756">
        <f t="shared" si="93"/>
        <v>6.2149115565174148E-2</v>
      </c>
      <c r="AN27" s="756">
        <f t="shared" si="93"/>
        <v>3.5788952252010904E-2</v>
      </c>
      <c r="AO27" s="779">
        <f t="shared" si="93"/>
        <v>7.4202241106216038E-2</v>
      </c>
      <c r="AP27" s="746"/>
      <c r="AQ27" s="756">
        <f>IF(ISERROR(AVERAGE(AQ12:AQ13)),"n/a",AVERAGE(AQ12:AQ13))</f>
        <v>6.8917328626066476E-2</v>
      </c>
      <c r="AR27" s="756">
        <f t="shared" ref="AR27:AW27" si="94">IF(ISERROR(AVERAGE(AR12:AR13)),"n/a",AVERAGE(AR12:AR13))</f>
        <v>6.8867924528301927E-2</v>
      </c>
      <c r="AS27" s="756">
        <f t="shared" si="94"/>
        <v>0.10607068549556653</v>
      </c>
      <c r="AT27" s="756">
        <f t="shared" si="94"/>
        <v>8.8083359800058325E-2</v>
      </c>
      <c r="AU27" s="756">
        <f t="shared" si="94"/>
        <v>-7.603361242315837E-2</v>
      </c>
      <c r="AV27" s="756">
        <f t="shared" si="94"/>
        <v>0.2583335058870192</v>
      </c>
      <c r="AW27" s="756">
        <f t="shared" si="94"/>
        <v>7.9926002583655897E-2</v>
      </c>
      <c r="AX27" s="746"/>
      <c r="AY27" s="756" t="str">
        <f>IF(ISERROR(AVERAGE(AY12:AY13)),"n/a",AVERAGE(AY12:AY13))</f>
        <v>n/a</v>
      </c>
      <c r="AZ27" s="756" t="str">
        <f t="shared" ref="AZ27:BE27" si="95">IF(ISERROR(AVERAGE(AZ12:AZ13)),"n/a",AVERAGE(AZ12:AZ13))</f>
        <v>n/a</v>
      </c>
      <c r="BA27" s="756">
        <f t="shared" si="95"/>
        <v>0.39581568821287316</v>
      </c>
      <c r="BB27" s="756">
        <f t="shared" si="95"/>
        <v>0.35329413454636405</v>
      </c>
      <c r="BC27" s="756">
        <f t="shared" si="95"/>
        <v>0.35075236325318088</v>
      </c>
      <c r="BD27" s="756">
        <f t="shared" si="95"/>
        <v>0.12318145360405841</v>
      </c>
      <c r="BE27" s="756">
        <f t="shared" si="95"/>
        <v>0.2944532553406225</v>
      </c>
      <c r="BF27" s="756"/>
      <c r="BG27" s="756">
        <f>IF(ISERROR(AVERAGE(BG12:BG13)),"n/a",AVERAGE(BG12:BG13))</f>
        <v>0.11446663419386272</v>
      </c>
      <c r="BH27" s="756">
        <f t="shared" ref="BH27:BM27" si="96">IF(ISERROR(AVERAGE(BH12:BH13)),"n/a",AVERAGE(BH12:BH13))</f>
        <v>0.20953250655433475</v>
      </c>
      <c r="BI27" s="756">
        <f t="shared" si="96"/>
        <v>0.30773190578801901</v>
      </c>
      <c r="BJ27" s="756">
        <f t="shared" si="96"/>
        <v>8.1795145535149993E-2</v>
      </c>
      <c r="BK27" s="756">
        <f t="shared" si="96"/>
        <v>-0.43361180611478406</v>
      </c>
      <c r="BL27" s="756">
        <f t="shared" si="96"/>
        <v>-1.716541706552821E-2</v>
      </c>
      <c r="BM27" s="779">
        <f t="shared" si="96"/>
        <v>2.2931105859478329E-3</v>
      </c>
      <c r="BN27" s="756"/>
      <c r="BP27" s="214"/>
      <c r="BQ27" s="214"/>
      <c r="BR27" s="214"/>
      <c r="BS27" s="214"/>
    </row>
    <row r="28" spans="1:71" s="117" customFormat="1" hidden="1" outlineLevel="1">
      <c r="A28" s="95"/>
      <c r="B28" s="140" t="s">
        <v>337</v>
      </c>
      <c r="C28" s="745">
        <f>IFERROR(QUARTILE(C12:C13,1),"n/a")</f>
        <v>14533</v>
      </c>
      <c r="D28" s="745">
        <f t="shared" ref="D28:I28" si="97">IFERROR(QUARTILE(D12:D13,1),"n/a")</f>
        <v>13596</v>
      </c>
      <c r="E28" s="745">
        <f t="shared" si="97"/>
        <v>3605.5739999999996</v>
      </c>
      <c r="F28" s="745">
        <f t="shared" si="97"/>
        <v>3376.8040924999996</v>
      </c>
      <c r="G28" s="745">
        <f t="shared" si="97"/>
        <v>3205.0954999999999</v>
      </c>
      <c r="H28" s="745">
        <f t="shared" si="97"/>
        <v>4143.5</v>
      </c>
      <c r="I28" s="745">
        <f t="shared" si="97"/>
        <v>2948.7310000000002</v>
      </c>
      <c r="J28" s="756"/>
      <c r="K28" s="745" t="str">
        <f>IFERROR(QUARTILE(K12:K13,1),"n/a")</f>
        <v>n/a</v>
      </c>
      <c r="L28" s="745" t="str">
        <f t="shared" ref="L28:Q28" si="98">IFERROR(QUARTILE(L12:L13,1),"n/a")</f>
        <v>n/a</v>
      </c>
      <c r="M28" s="745">
        <f t="shared" si="98"/>
        <v>646.83275000000003</v>
      </c>
      <c r="N28" s="745">
        <f t="shared" si="98"/>
        <v>600.63125000000002</v>
      </c>
      <c r="O28" s="745">
        <f t="shared" si="98"/>
        <v>548.48400000000004</v>
      </c>
      <c r="P28" s="745">
        <f t="shared" si="98"/>
        <v>624.57725000000005</v>
      </c>
      <c r="Q28" s="745">
        <f t="shared" si="98"/>
        <v>611.4615</v>
      </c>
      <c r="R28" s="756"/>
      <c r="S28" s="745">
        <f>IFERROR(QUARTILE(S12:S13,1),"n/a")</f>
        <v>2288</v>
      </c>
      <c r="T28" s="745">
        <f t="shared" ref="T28:Y28" si="99">IFERROR(QUARTILE(T12:T13,1),"n/a")</f>
        <v>2053</v>
      </c>
      <c r="U28" s="745">
        <f t="shared" si="99"/>
        <v>446.96275000000003</v>
      </c>
      <c r="V28" s="745">
        <f t="shared" si="99"/>
        <v>423.58250000000004</v>
      </c>
      <c r="W28" s="745">
        <f t="shared" si="99"/>
        <v>375.99975000000001</v>
      </c>
      <c r="X28" s="745">
        <f t="shared" si="99"/>
        <v>402.63675000000001</v>
      </c>
      <c r="Y28" s="745">
        <f t="shared" si="99"/>
        <v>417.62874999999997</v>
      </c>
      <c r="Z28" s="746"/>
      <c r="AA28" s="756" t="str">
        <f>IFERROR(QUARTILE(AA12:AA13,1),"n/a")</f>
        <v>n/a</v>
      </c>
      <c r="AB28" s="756" t="str">
        <f t="shared" ref="AB28:AG28" si="100">IFERROR(QUARTILE(AB12:AB13,1),"n/a")</f>
        <v>n/a</v>
      </c>
      <c r="AC28" s="756">
        <f t="shared" si="100"/>
        <v>0.1720307190453475</v>
      </c>
      <c r="AD28" s="756">
        <f t="shared" si="100"/>
        <v>0.12954054921484515</v>
      </c>
      <c r="AE28" s="756">
        <f t="shared" si="100"/>
        <v>0.10282294079536647</v>
      </c>
      <c r="AF28" s="756">
        <f t="shared" si="100"/>
        <v>7.3899351465217519E-2</v>
      </c>
      <c r="AG28" s="756">
        <f t="shared" si="100"/>
        <v>0.11957339013019416</v>
      </c>
      <c r="AH28" s="756"/>
      <c r="AI28" s="756">
        <f>IFERROR(QUARTILE(AI12:AI13,1),"n/a")</f>
        <v>0.15743480355054015</v>
      </c>
      <c r="AJ28" s="756">
        <f t="shared" ref="AJ28:AO28" si="101">IFERROR(QUARTILE(AJ12:AJ13,1),"n/a")</f>
        <v>0.15100029420417771</v>
      </c>
      <c r="AK28" s="756">
        <f t="shared" si="101"/>
        <v>7.3232926031598963E-2</v>
      </c>
      <c r="AL28" s="756">
        <f t="shared" si="101"/>
        <v>6.3185171832427542E-2</v>
      </c>
      <c r="AM28" s="756">
        <f t="shared" si="101"/>
        <v>2.7532938137912116E-2</v>
      </c>
      <c r="AN28" s="756">
        <f t="shared" si="101"/>
        <v>-2.2718100380972328E-5</v>
      </c>
      <c r="AO28" s="779">
        <f t="shared" si="101"/>
        <v>4.3244576893637691E-2</v>
      </c>
      <c r="AP28" s="746"/>
      <c r="AQ28" s="756">
        <f>IFERROR(QUARTILE(AQ12:AQ13,1),"n/a")</f>
        <v>6.8917328626066476E-2</v>
      </c>
      <c r="AR28" s="756">
        <f t="shared" ref="AR28:AW28" si="102">IFERROR(QUARTILE(AR12:AR13,1),"n/a")</f>
        <v>6.8867924528301927E-2</v>
      </c>
      <c r="AS28" s="756">
        <f t="shared" si="102"/>
        <v>8.1560630788518218E-2</v>
      </c>
      <c r="AT28" s="756">
        <f t="shared" si="102"/>
        <v>6.642802408034143E-2</v>
      </c>
      <c r="AU28" s="756">
        <f t="shared" si="102"/>
        <v>-0.16380225454256239</v>
      </c>
      <c r="AV28" s="756">
        <f t="shared" si="102"/>
        <v>0.16809103333152414</v>
      </c>
      <c r="AW28" s="756">
        <f t="shared" si="102"/>
        <v>6.2104925495127916E-2</v>
      </c>
      <c r="AX28" s="746"/>
      <c r="AY28" s="756" t="str">
        <f>IFERROR(QUARTILE(AY12:AY13,1),"n/a")</f>
        <v>n/a</v>
      </c>
      <c r="AZ28" s="756" t="str">
        <f t="shared" ref="AZ28:BE28" si="103">IFERROR(QUARTILE(AZ12:AZ13,1),"n/a")</f>
        <v>n/a</v>
      </c>
      <c r="BA28" s="756">
        <f t="shared" si="103"/>
        <v>0.21131433691701085</v>
      </c>
      <c r="BB28" s="756">
        <f t="shared" si="103"/>
        <v>0.21128718194601404</v>
      </c>
      <c r="BC28" s="756">
        <f t="shared" si="103"/>
        <v>0.10378226925904141</v>
      </c>
      <c r="BD28" s="756">
        <f t="shared" si="103"/>
        <v>7.0419191053098185E-2</v>
      </c>
      <c r="BE28" s="756">
        <f t="shared" si="103"/>
        <v>0.14180768922636855</v>
      </c>
      <c r="BF28" s="756"/>
      <c r="BG28" s="756">
        <f>IFERROR(QUARTILE(BG12:BG13,1),"n/a")</f>
        <v>0.11446663419386272</v>
      </c>
      <c r="BH28" s="756">
        <f t="shared" ref="BH28:BM28" si="104">IFERROR(QUARTILE(BH12:BH13,1),"n/a")</f>
        <v>0.20953250655433475</v>
      </c>
      <c r="BI28" s="756">
        <f t="shared" si="104"/>
        <v>0.17229906224037483</v>
      </c>
      <c r="BJ28" s="756">
        <f t="shared" si="104"/>
        <v>8.1795145535149993E-2</v>
      </c>
      <c r="BK28" s="756">
        <f t="shared" si="104"/>
        <v>-0.60813867105965336</v>
      </c>
      <c r="BL28" s="756">
        <f t="shared" si="104"/>
        <v>-1.716541706552821E-2</v>
      </c>
      <c r="BM28" s="779">
        <f t="shared" si="104"/>
        <v>2.2931105859478329E-3</v>
      </c>
      <c r="BN28" s="756"/>
      <c r="BP28" s="214"/>
      <c r="BQ28" s="214"/>
      <c r="BR28" s="214"/>
      <c r="BS28" s="214"/>
    </row>
    <row r="29" spans="1:71" s="117" customFormat="1" hidden="1" outlineLevel="1">
      <c r="A29" s="95"/>
      <c r="B29" s="734" t="s">
        <v>422</v>
      </c>
      <c r="C29" s="749">
        <f>IFERROR(QUARTILE(C12:C13,3),"n/a")</f>
        <v>14533</v>
      </c>
      <c r="D29" s="749">
        <f t="shared" ref="D29:I29" si="105">IFERROR(QUARTILE(D12:D13,3),"n/a")</f>
        <v>13596</v>
      </c>
      <c r="E29" s="749">
        <f t="shared" si="105"/>
        <v>9681.8580000000002</v>
      </c>
      <c r="F29" s="749">
        <f t="shared" si="105"/>
        <v>9147.9232775</v>
      </c>
      <c r="G29" s="749">
        <f t="shared" si="105"/>
        <v>8746.8984999999993</v>
      </c>
      <c r="H29" s="749">
        <f t="shared" si="105"/>
        <v>11640.699999999999</v>
      </c>
      <c r="I29" s="749">
        <f t="shared" si="105"/>
        <v>8113.4369999999999</v>
      </c>
      <c r="J29" s="757"/>
      <c r="K29" s="749" t="str">
        <f>IFERROR(QUARTILE(K12:K13,3),"n/a")</f>
        <v>n/a</v>
      </c>
      <c r="L29" s="749" t="str">
        <f t="shared" ref="L29:Q29" si="106">IFERROR(QUARTILE(L12:L13,3),"n/a")</f>
        <v>n/a</v>
      </c>
      <c r="M29" s="749">
        <f t="shared" si="106"/>
        <v>1748.5742500000001</v>
      </c>
      <c r="N29" s="749">
        <f t="shared" si="106"/>
        <v>1693.1437500000002</v>
      </c>
      <c r="O29" s="749">
        <f t="shared" si="106"/>
        <v>1579.0320000000002</v>
      </c>
      <c r="P29" s="749">
        <f t="shared" si="106"/>
        <v>1837.7257499999998</v>
      </c>
      <c r="Q29" s="749">
        <f t="shared" si="106"/>
        <v>1805.0805</v>
      </c>
      <c r="R29" s="757"/>
      <c r="S29" s="749">
        <f>IFERROR(QUARTILE(S12:S13,3),"n/a")</f>
        <v>2288</v>
      </c>
      <c r="T29" s="749">
        <f t="shared" ref="T29:Y29" si="107">IFERROR(QUARTILE(T12:T13,3),"n/a")</f>
        <v>2053</v>
      </c>
      <c r="U29" s="749">
        <f t="shared" si="107"/>
        <v>1280.5542499999999</v>
      </c>
      <c r="V29" s="749">
        <f t="shared" si="107"/>
        <v>1232.5274999999999</v>
      </c>
      <c r="W29" s="749">
        <f t="shared" si="107"/>
        <v>1134.1502500000001</v>
      </c>
      <c r="X29" s="749">
        <f t="shared" si="107"/>
        <v>1236.21225</v>
      </c>
      <c r="Y29" s="749">
        <f t="shared" si="107"/>
        <v>1260.45625</v>
      </c>
      <c r="Z29" s="749"/>
      <c r="AA29" s="757" t="str">
        <f>IFERROR(QUARTILE(AA12:AA13,3),"n/a")</f>
        <v>n/a</v>
      </c>
      <c r="AB29" s="757" t="str">
        <f t="shared" ref="AB29:AG29" si="108">IFERROR(QUARTILE(AB12:AB13,3),"n/a")</f>
        <v>n/a</v>
      </c>
      <c r="AC29" s="757">
        <f t="shared" si="108"/>
        <v>0.17785955834006342</v>
      </c>
      <c r="AD29" s="757">
        <f t="shared" si="108"/>
        <v>0.16724512332721481</v>
      </c>
      <c r="AE29" s="757">
        <f t="shared" si="108"/>
        <v>0.15549572741012091</v>
      </c>
      <c r="AF29" s="757">
        <f t="shared" si="108"/>
        <v>0.13052054110114761</v>
      </c>
      <c r="AG29" s="757">
        <f t="shared" si="108"/>
        <v>0.15778023754463671</v>
      </c>
      <c r="AH29" s="757"/>
      <c r="AI29" s="757">
        <f>IFERROR(QUARTILE(AI12:AI13,3),"n/a")</f>
        <v>0.15743480355054015</v>
      </c>
      <c r="AJ29" s="757">
        <f t="shared" ref="AJ29:AO29" si="109">IFERROR(QUARTILE(AJ12:AJ13,3),"n/a")</f>
        <v>0.15100029420417771</v>
      </c>
      <c r="AK29" s="757">
        <f t="shared" si="109"/>
        <v>0.11337061894973634</v>
      </c>
      <c r="AL29" s="757">
        <f t="shared" si="109"/>
        <v>0.11175311770962293</v>
      </c>
      <c r="AM29" s="757">
        <f t="shared" si="109"/>
        <v>9.6765292992436192E-2</v>
      </c>
      <c r="AN29" s="757">
        <f t="shared" si="109"/>
        <v>7.1600622604402794E-2</v>
      </c>
      <c r="AO29" s="780">
        <f t="shared" si="109"/>
        <v>0.10515990531879441</v>
      </c>
      <c r="AP29" s="749"/>
      <c r="AQ29" s="757">
        <f>IFERROR(QUARTILE(AQ12:AQ13,3),"n/a")</f>
        <v>6.8917328626066476E-2</v>
      </c>
      <c r="AR29" s="757">
        <f t="shared" ref="AR29:AW29" si="110">IFERROR(QUARTILE(AR12:AR13,3),"n/a")</f>
        <v>6.8867924528301927E-2</v>
      </c>
      <c r="AS29" s="757">
        <f t="shared" si="110"/>
        <v>0.13058074020261484</v>
      </c>
      <c r="AT29" s="757">
        <f t="shared" si="110"/>
        <v>0.10973869551977522</v>
      </c>
      <c r="AU29" s="757">
        <f t="shared" si="110"/>
        <v>1.1735029696245625E-2</v>
      </c>
      <c r="AV29" s="757">
        <f t="shared" si="110"/>
        <v>0.34857597844251426</v>
      </c>
      <c r="AW29" s="757">
        <f t="shared" si="110"/>
        <v>9.7747079672183879E-2</v>
      </c>
      <c r="AX29" s="749"/>
      <c r="AY29" s="757" t="str">
        <f>IFERROR(QUARTILE(AY12:AY13,3),"n/a")</f>
        <v>n/a</v>
      </c>
      <c r="AZ29" s="757" t="str">
        <f t="shared" ref="AZ29:BE29" si="111">IFERROR(QUARTILE(AZ12:AZ13,3),"n/a")</f>
        <v>n/a</v>
      </c>
      <c r="BA29" s="757">
        <f t="shared" si="111"/>
        <v>0.58031703950873548</v>
      </c>
      <c r="BB29" s="757">
        <f t="shared" si="111"/>
        <v>0.49530108714671406</v>
      </c>
      <c r="BC29" s="757">
        <f t="shared" si="111"/>
        <v>0.59772245724732032</v>
      </c>
      <c r="BD29" s="757">
        <f t="shared" si="111"/>
        <v>0.17594371615501864</v>
      </c>
      <c r="BE29" s="757">
        <f t="shared" si="111"/>
        <v>0.44709882145487645</v>
      </c>
      <c r="BF29" s="757"/>
      <c r="BG29" s="757">
        <f>IFERROR(QUARTILE(BG12:BG13,3),"n/a")</f>
        <v>0.11446663419386272</v>
      </c>
      <c r="BH29" s="757">
        <f t="shared" ref="BH29:BM29" si="112">IFERROR(QUARTILE(BH12:BH13,3),"n/a")</f>
        <v>0.20953250655433475</v>
      </c>
      <c r="BI29" s="757">
        <f t="shared" si="112"/>
        <v>0.44316474933566319</v>
      </c>
      <c r="BJ29" s="757">
        <f t="shared" si="112"/>
        <v>8.1795145535149993E-2</v>
      </c>
      <c r="BK29" s="757">
        <f t="shared" si="112"/>
        <v>-0.25908494116991476</v>
      </c>
      <c r="BL29" s="757">
        <f t="shared" si="112"/>
        <v>-1.716541706552821E-2</v>
      </c>
      <c r="BM29" s="780">
        <f t="shared" si="112"/>
        <v>2.2931105859478329E-3</v>
      </c>
      <c r="BN29" s="940"/>
      <c r="BP29" s="214"/>
      <c r="BQ29" s="214"/>
      <c r="BR29" s="214"/>
      <c r="BS29" s="214"/>
    </row>
    <row r="30" spans="1:71" s="117" customFormat="1" collapsed="1">
      <c r="A30" s="95"/>
      <c r="B30" s="155"/>
      <c r="C30" s="116"/>
      <c r="D30" s="116"/>
      <c r="E30" s="116"/>
      <c r="F30" s="116"/>
      <c r="G30" s="116"/>
      <c r="H30" s="116"/>
      <c r="I30" s="116"/>
      <c r="J30" s="116"/>
      <c r="K30" s="116"/>
      <c r="L30" s="116"/>
      <c r="M30" s="116"/>
      <c r="N30" s="116"/>
      <c r="O30" s="116"/>
      <c r="P30" s="116"/>
      <c r="Q30" s="116"/>
      <c r="R30" s="213"/>
      <c r="S30" s="116"/>
      <c r="T30" s="116"/>
      <c r="U30" s="116"/>
      <c r="V30" s="116"/>
      <c r="W30" s="116"/>
      <c r="X30" s="116"/>
      <c r="Y30" s="116"/>
      <c r="Z30" s="116"/>
      <c r="AA30" s="116"/>
      <c r="AB30" s="116"/>
      <c r="AC30" s="116"/>
      <c r="AD30" s="116"/>
      <c r="AE30" s="116"/>
      <c r="AF30" s="116"/>
      <c r="AG30" s="116"/>
      <c r="AH30" s="213"/>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213"/>
      <c r="BG30" s="116"/>
      <c r="BH30" s="116"/>
      <c r="BI30" s="116"/>
      <c r="BJ30" s="116"/>
      <c r="BK30" s="116"/>
      <c r="BL30" s="116"/>
      <c r="BM30" s="116"/>
      <c r="BN30" s="116"/>
      <c r="BP30" s="95"/>
      <c r="BQ30" s="95"/>
      <c r="BR30" s="95"/>
    </row>
    <row r="31" spans="1:71" s="117" customFormat="1">
      <c r="A31" s="95"/>
      <c r="B31" s="792" t="str">
        <f>Outline!$M$2</f>
        <v>WB Santa Cruz</v>
      </c>
      <c r="C31" s="935">
        <f>'C1'!K26/1000</f>
        <v>3.9974027245785568</v>
      </c>
      <c r="D31" s="935">
        <f>'C1'!J26/1000</f>
        <v>3.8425480386220867</v>
      </c>
      <c r="E31" s="935">
        <f>'C1'!I26/1000</f>
        <v>3.6936922412977857</v>
      </c>
      <c r="F31" s="935">
        <f>'C1'!H26/1000</f>
        <v>3.533807806374456</v>
      </c>
      <c r="G31" s="935">
        <f>'C3'!K10/1000</f>
        <v>3.3126134900000004</v>
      </c>
      <c r="H31" s="935">
        <f>'C3'!J10/1000</f>
        <v>2.9985903899999999</v>
      </c>
      <c r="I31" s="935">
        <f>'C3'!I10/1000</f>
        <v>3.1262068000000003</v>
      </c>
      <c r="J31" s="935"/>
      <c r="K31" s="935">
        <f>'C1'!K55/1000</f>
        <v>0.28452036624813581</v>
      </c>
      <c r="L31" s="935">
        <f>'C1'!J55/1000</f>
        <v>0.33522289220613311</v>
      </c>
      <c r="M31" s="935">
        <f>'C1'!I55/1000</f>
        <v>0.3797648342577461</v>
      </c>
      <c r="N31" s="935">
        <f>'C1'!H55/1000</f>
        <v>0.41379553739481456</v>
      </c>
      <c r="O31" s="935">
        <f>'C3'!K45/1000</f>
        <v>7.2352675999999741E-2</v>
      </c>
      <c r="P31" s="935">
        <f>'C3'!J45/1000</f>
        <v>0.26572770799999967</v>
      </c>
      <c r="Q31" s="935">
        <f>'C3'!I45/1000</f>
        <v>0.62993924800000056</v>
      </c>
      <c r="R31" s="935"/>
      <c r="S31" s="935">
        <f>'C1'!K49/1000</f>
        <v>0.28003207481956438</v>
      </c>
      <c r="T31" s="935">
        <f>'C1'!J49/1000</f>
        <v>0.33073460077756167</v>
      </c>
      <c r="U31" s="935">
        <f>'C1'!I49/1000</f>
        <v>0.36604838282917468</v>
      </c>
      <c r="V31" s="935">
        <f>'C1'!H49/1000</f>
        <v>0.40107908596624314</v>
      </c>
      <c r="W31" s="935">
        <f>'C3'!K50/1000</f>
        <v>1.8238835999999713E-2</v>
      </c>
      <c r="X31" s="935">
        <f>'C3'!J50/1000</f>
        <v>0.1346097679999996</v>
      </c>
      <c r="Y31" s="935">
        <f>'C3'!I50/1000</f>
        <v>0.4965196480000007</v>
      </c>
      <c r="Z31" s="957"/>
      <c r="AA31" s="758">
        <f t="shared" ref="AA31:AF31" si="113">IFERROR(K31/C31,"n/a")</f>
        <v>7.1176307680665976E-2</v>
      </c>
      <c r="AB31" s="758">
        <f t="shared" si="113"/>
        <v>8.7239740098692925E-2</v>
      </c>
      <c r="AC31" s="758">
        <f t="shared" si="113"/>
        <v>0.10281442238520527</v>
      </c>
      <c r="AD31" s="758">
        <f t="shared" si="113"/>
        <v>0.11709622030048998</v>
      </c>
      <c r="AE31" s="758">
        <f t="shared" si="113"/>
        <v>2.1841568966139702E-2</v>
      </c>
      <c r="AF31" s="758">
        <f t="shared" si="113"/>
        <v>8.8617541390839868E-2</v>
      </c>
      <c r="AG31" s="758">
        <f>IFERROR(AVERAGE(AA31:AF31),"NM")</f>
        <v>8.1464300137005632E-2</v>
      </c>
      <c r="AH31" s="958"/>
      <c r="AI31" s="758">
        <f t="shared" ref="AI31:AN31" si="114">IFERROR(S31/C31,"n/a")</f>
        <v>7.0053505767069785E-2</v>
      </c>
      <c r="AJ31" s="758">
        <f t="shared" si="114"/>
        <v>8.6071689267978813E-2</v>
      </c>
      <c r="AK31" s="758">
        <f t="shared" si="114"/>
        <v>9.9100942611440437E-2</v>
      </c>
      <c r="AL31" s="758">
        <f t="shared" si="114"/>
        <v>0.11349770783876729</v>
      </c>
      <c r="AM31" s="758">
        <f t="shared" si="114"/>
        <v>5.5058750606004781E-3</v>
      </c>
      <c r="AN31" s="758">
        <f t="shared" si="114"/>
        <v>4.4891015608170347E-2</v>
      </c>
      <c r="AO31" s="758">
        <f>IFERROR(AVERAGE(AI31:AN31),"NM")</f>
        <v>6.9853456025671182E-2</v>
      </c>
      <c r="AP31" s="957"/>
      <c r="AQ31" s="758">
        <f t="shared" ref="AQ31:AV31" si="115">IFERROR(C31/D31-1,"NM")</f>
        <v>4.0300000000000002E-2</v>
      </c>
      <c r="AR31" s="758">
        <f t="shared" si="115"/>
        <v>4.0300000000000002E-2</v>
      </c>
      <c r="AS31" s="758">
        <f t="shared" si="115"/>
        <v>4.5244236156511519E-2</v>
      </c>
      <c r="AT31" s="758">
        <f t="shared" si="115"/>
        <v>6.6773354948348018E-2</v>
      </c>
      <c r="AU31" s="758">
        <f t="shared" si="115"/>
        <v>0.10472357313197445</v>
      </c>
      <c r="AV31" s="758">
        <f t="shared" si="115"/>
        <v>-4.0821486921466699E-2</v>
      </c>
      <c r="AW31" s="758">
        <f>IFERROR((E31/I31)^(1/(4-1))-1,"NM")</f>
        <v>5.7176907230265694E-2</v>
      </c>
      <c r="AX31" s="957"/>
      <c r="AY31" s="758">
        <f t="shared" ref="AY31:BD31" si="116">IFERROR(K31/L31-1,"NM")</f>
        <v>-0.15125018946146318</v>
      </c>
      <c r="AZ31" s="758">
        <f t="shared" si="116"/>
        <v>-0.11728822164029651</v>
      </c>
      <c r="BA31" s="758">
        <f t="shared" si="116"/>
        <v>-8.2240382173572768E-2</v>
      </c>
      <c r="BB31" s="758">
        <f t="shared" si="116"/>
        <v>4.7191462744904698</v>
      </c>
      <c r="BC31" s="758">
        <f t="shared" si="116"/>
        <v>-0.72771873680557309</v>
      </c>
      <c r="BD31" s="758">
        <f t="shared" si="116"/>
        <v>-0.57816930943156697</v>
      </c>
      <c r="BE31" s="758">
        <f>IFERROR((M31/Q31)^(1/(4-1))-1,"NM")</f>
        <v>-0.15522959028192906</v>
      </c>
      <c r="BF31" s="958"/>
      <c r="BG31" s="758">
        <f>IFERROR(S31/T31-1,"NM")</f>
        <v>-0.15330275646634772</v>
      </c>
      <c r="BH31" s="758">
        <f>IFERROR(T31/U31-1,"NM")</f>
        <v>-9.6472990206032505E-2</v>
      </c>
      <c r="BI31" s="758">
        <f>IFERROR(U31/V31-1,"NM")</f>
        <v>-8.7341136356376414E-2</v>
      </c>
      <c r="BJ31" s="758">
        <f>IFERROR(V31/W31-1,"NM")</f>
        <v>20.990388310210665</v>
      </c>
      <c r="BK31" s="758">
        <f>IFERROR(W31/X31-1,"NM")</f>
        <v>-0.86450585071954245</v>
      </c>
      <c r="BL31" s="758">
        <f>IFERROR(IF(Y31&lt;0,"NM",X31/Y31-1),"NM")</f>
        <v>-0.72889337100311602</v>
      </c>
      <c r="BM31" s="942">
        <f>IFERROR(IF(Y31&lt;0,"NM",(U31/Y31)^(1/(4-1))-1),"NM")</f>
        <v>-9.6626490383663222E-2</v>
      </c>
      <c r="BN31" s="941"/>
      <c r="BP31" s="95"/>
      <c r="BQ31" s="95"/>
      <c r="BR31" s="95"/>
    </row>
    <row r="32" spans="1:71" s="117" customFormat="1">
      <c r="A32" s="95"/>
      <c r="B32" s="155"/>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213"/>
      <c r="AI32" s="213"/>
      <c r="AJ32" s="213"/>
      <c r="AK32" s="213"/>
      <c r="AL32" s="116"/>
      <c r="AM32" s="116"/>
      <c r="AN32" s="116"/>
      <c r="AO32" s="116"/>
      <c r="AP32" s="116"/>
      <c r="AQ32" s="116"/>
      <c r="AR32" s="116"/>
      <c r="AS32" s="116"/>
      <c r="AT32" s="116"/>
      <c r="AU32" s="116"/>
      <c r="AV32" s="116"/>
      <c r="AW32" s="116"/>
      <c r="AX32" s="116"/>
      <c r="AY32" s="116"/>
      <c r="AZ32" s="116"/>
      <c r="BA32" s="116"/>
      <c r="BB32" s="116"/>
      <c r="BC32" s="116"/>
      <c r="BD32" s="116"/>
      <c r="BE32" s="116"/>
      <c r="BF32" s="213"/>
      <c r="BG32" s="213"/>
      <c r="BH32" s="213"/>
      <c r="BI32" s="213"/>
      <c r="BJ32" s="116"/>
      <c r="BK32" s="116"/>
      <c r="BL32" s="116"/>
      <c r="BM32" s="116"/>
      <c r="BN32" s="116"/>
      <c r="BP32" s="95"/>
      <c r="BQ32" s="95"/>
      <c r="BR32" s="95"/>
    </row>
    <row r="33" spans="1:69" s="117" customFormat="1">
      <c r="A33" s="95"/>
      <c r="B33" s="157"/>
      <c r="C33" s="157"/>
      <c r="D33" s="157"/>
      <c r="E33" s="157"/>
      <c r="F33" s="157"/>
      <c r="G33" s="95"/>
      <c r="H33" s="95"/>
      <c r="I33" s="95"/>
      <c r="J33" s="95"/>
      <c r="K33" s="95"/>
      <c r="L33" s="95"/>
      <c r="M33" s="95"/>
      <c r="N33" s="95"/>
      <c r="O33" s="95"/>
      <c r="P33" s="95"/>
      <c r="Q33" s="95"/>
      <c r="R33" s="95"/>
      <c r="S33" s="95"/>
      <c r="T33" s="95"/>
      <c r="U33" s="95"/>
      <c r="V33" s="95"/>
      <c r="W33" s="95"/>
      <c r="X33" s="95"/>
      <c r="Y33" s="95"/>
      <c r="Z33" s="95"/>
      <c r="AA33" s="95"/>
      <c r="AB33" s="95"/>
      <c r="AC33" s="95"/>
      <c r="AD33" s="157"/>
      <c r="AE33" s="95"/>
      <c r="AF33" s="95"/>
      <c r="AG33" s="95"/>
      <c r="AH33" s="213"/>
      <c r="AI33" s="213"/>
      <c r="AJ33" s="213"/>
      <c r="AK33" s="213"/>
      <c r="AL33" s="95"/>
      <c r="AM33" s="95"/>
      <c r="AN33" s="95"/>
      <c r="AO33" s="95"/>
      <c r="AP33" s="95"/>
      <c r="AQ33" s="95"/>
      <c r="AR33" s="95"/>
      <c r="AS33" s="95"/>
      <c r="AT33" s="157"/>
      <c r="AU33" s="95"/>
      <c r="AV33" s="95"/>
      <c r="AW33" s="95"/>
      <c r="AX33" s="95"/>
      <c r="AY33" s="95"/>
      <c r="AZ33" s="95"/>
      <c r="BA33" s="95"/>
      <c r="BB33" s="157"/>
      <c r="BC33" s="95"/>
      <c r="BD33" s="95"/>
      <c r="BE33" s="95"/>
      <c r="BF33" s="213"/>
      <c r="BG33" s="213"/>
      <c r="BH33" s="213"/>
      <c r="BI33" s="213"/>
      <c r="BJ33" s="95"/>
      <c r="BK33" s="95"/>
      <c r="BL33" s="95"/>
      <c r="BM33" s="95"/>
      <c r="BN33" s="95"/>
      <c r="BO33" s="95"/>
      <c r="BP33" s="95"/>
      <c r="BQ33" s="95"/>
    </row>
    <row r="34" spans="1:69" s="117" customFormat="1">
      <c r="A34" s="95"/>
      <c r="B34" s="95"/>
      <c r="C34" s="95"/>
      <c r="D34" s="95"/>
      <c r="E34" s="95"/>
      <c r="F34" s="95"/>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95"/>
      <c r="AE34" s="159"/>
      <c r="AF34" s="159"/>
      <c r="AG34" s="159"/>
      <c r="AH34" s="213"/>
      <c r="AI34" s="213"/>
      <c r="AJ34" s="213"/>
      <c r="AK34" s="213"/>
      <c r="AL34" s="159"/>
      <c r="AM34" s="159"/>
      <c r="AN34" s="159"/>
      <c r="AO34" s="159"/>
      <c r="AP34" s="159"/>
      <c r="AQ34" s="159"/>
      <c r="AR34" s="159"/>
      <c r="AS34" s="159"/>
      <c r="AT34" s="95"/>
      <c r="AU34" s="159"/>
      <c r="AV34" s="159"/>
      <c r="AW34" s="159"/>
      <c r="AX34" s="159"/>
      <c r="AY34" s="159"/>
      <c r="AZ34" s="159"/>
      <c r="BA34" s="159"/>
      <c r="BB34" s="95"/>
      <c r="BC34" s="159"/>
      <c r="BD34" s="159"/>
      <c r="BE34" s="159"/>
      <c r="BF34" s="213"/>
      <c r="BG34" s="213"/>
      <c r="BH34" s="213"/>
      <c r="BI34" s="213"/>
      <c r="BJ34" s="159"/>
      <c r="BK34" s="159"/>
      <c r="BL34" s="159"/>
      <c r="BM34" s="159"/>
      <c r="BN34" s="159"/>
      <c r="BO34" s="159"/>
      <c r="BP34" s="159"/>
      <c r="BQ34" s="159"/>
    </row>
    <row r="35" spans="1:69" s="117" customFormat="1">
      <c r="A35" s="116"/>
      <c r="B35" s="95"/>
      <c r="C35" s="95"/>
      <c r="D35" s="95"/>
      <c r="E35" s="95"/>
      <c r="F35" s="95"/>
      <c r="G35" s="95"/>
      <c r="H35" s="95"/>
      <c r="I35" s="95"/>
      <c r="AD35" s="95"/>
      <c r="AE35" s="95"/>
      <c r="AF35" s="95"/>
      <c r="AH35" s="213"/>
      <c r="AI35" s="213"/>
      <c r="AJ35" s="213"/>
      <c r="AK35" s="213"/>
      <c r="AL35" s="95"/>
      <c r="AM35" s="95"/>
      <c r="AN35" s="95"/>
      <c r="AO35" s="95"/>
      <c r="AT35" s="95"/>
      <c r="AU35" s="95"/>
      <c r="AV35" s="95"/>
      <c r="BB35" s="95"/>
      <c r="BC35" s="95"/>
      <c r="BD35" s="95"/>
      <c r="BF35" s="213"/>
      <c r="BG35" s="213"/>
      <c r="BH35" s="213"/>
      <c r="BI35" s="213"/>
      <c r="BJ35" s="95"/>
      <c r="BK35" s="95"/>
      <c r="BL35" s="95"/>
      <c r="BM35" s="95"/>
      <c r="BN35" s="95"/>
      <c r="BO35" s="95"/>
      <c r="BP35" s="95"/>
      <c r="BQ35" s="95"/>
    </row>
    <row r="36" spans="1:69" s="117" customFormat="1">
      <c r="B36" s="131"/>
      <c r="C36" s="131"/>
      <c r="D36" s="131"/>
      <c r="E36" s="131"/>
      <c r="F36" s="131"/>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31"/>
      <c r="AE36" s="163"/>
      <c r="AF36" s="163"/>
      <c r="AG36" s="163"/>
      <c r="AH36" s="213"/>
      <c r="AI36" s="213"/>
      <c r="AJ36" s="213"/>
      <c r="AK36" s="213"/>
      <c r="AL36" s="163"/>
      <c r="AM36" s="163"/>
      <c r="AN36" s="163"/>
      <c r="AO36" s="163"/>
      <c r="AP36" s="163"/>
      <c r="AQ36" s="163"/>
      <c r="AR36" s="163"/>
      <c r="AS36" s="163"/>
      <c r="AT36" s="131"/>
      <c r="AU36" s="163"/>
      <c r="AV36" s="163"/>
      <c r="AW36" s="163"/>
      <c r="AX36" s="163"/>
      <c r="AY36" s="163"/>
      <c r="AZ36" s="163"/>
      <c r="BA36" s="163"/>
      <c r="BB36" s="131"/>
      <c r="BC36" s="163"/>
      <c r="BD36" s="163"/>
      <c r="BE36" s="163"/>
      <c r="BF36" s="213"/>
      <c r="BG36" s="213"/>
      <c r="BH36" s="213"/>
      <c r="BI36" s="213"/>
      <c r="BJ36" s="163"/>
      <c r="BK36" s="163"/>
      <c r="BL36" s="163"/>
      <c r="BM36" s="163"/>
      <c r="BN36" s="163"/>
      <c r="BO36" s="163"/>
      <c r="BP36" s="163"/>
      <c r="BQ36" s="163"/>
    </row>
    <row r="37" spans="1:69" s="117" customFormat="1">
      <c r="B37" s="131"/>
      <c r="C37" s="131"/>
      <c r="D37" s="131"/>
      <c r="E37" s="131"/>
      <c r="F37" s="131"/>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31"/>
      <c r="AE37" s="163"/>
      <c r="AF37" s="163"/>
      <c r="AG37" s="163"/>
      <c r="AH37" s="213"/>
      <c r="AI37" s="213"/>
      <c r="AJ37" s="213"/>
      <c r="AK37" s="213"/>
      <c r="AL37" s="163"/>
      <c r="AM37" s="163"/>
      <c r="AN37" s="163"/>
      <c r="AO37" s="163"/>
      <c r="AP37" s="163"/>
      <c r="AQ37" s="163"/>
      <c r="AR37" s="163"/>
      <c r="AS37" s="163"/>
      <c r="AT37" s="131"/>
      <c r="AU37" s="163"/>
      <c r="AV37" s="163"/>
      <c r="AW37" s="163"/>
      <c r="AX37" s="163"/>
      <c r="AY37" s="163"/>
      <c r="AZ37" s="163"/>
      <c r="BA37" s="163"/>
      <c r="BB37" s="131"/>
      <c r="BC37" s="163"/>
      <c r="BD37" s="163"/>
      <c r="BE37" s="163"/>
      <c r="BF37" s="213"/>
      <c r="BG37" s="213"/>
      <c r="BH37" s="213"/>
      <c r="BI37" s="213"/>
      <c r="BJ37" s="163"/>
      <c r="BK37" s="163"/>
      <c r="BL37" s="163"/>
      <c r="BM37" s="163"/>
      <c r="BN37" s="163"/>
      <c r="BO37" s="163"/>
      <c r="BP37" s="163"/>
      <c r="BQ37" s="163"/>
    </row>
    <row r="38" spans="1:69" s="117" customFormat="1">
      <c r="B38" s="131"/>
      <c r="C38" s="131"/>
      <c r="D38" s="131"/>
      <c r="E38" s="131"/>
      <c r="F38" s="131"/>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31"/>
      <c r="AE38" s="163"/>
      <c r="AF38" s="163"/>
      <c r="AG38" s="163"/>
      <c r="AH38" s="163"/>
      <c r="AI38" s="163"/>
      <c r="AJ38" s="163"/>
      <c r="AK38" s="163"/>
      <c r="AL38" s="163"/>
      <c r="AM38" s="163"/>
      <c r="AN38" s="163"/>
      <c r="AO38" s="163"/>
      <c r="AP38" s="163"/>
      <c r="AQ38" s="163"/>
      <c r="AR38" s="163"/>
      <c r="AS38" s="163"/>
      <c r="AT38" s="131"/>
      <c r="AU38" s="163"/>
      <c r="AV38" s="163"/>
      <c r="AW38" s="163"/>
      <c r="AX38" s="163"/>
      <c r="AY38" s="163"/>
      <c r="AZ38" s="163"/>
      <c r="BA38" s="163"/>
      <c r="BB38" s="131"/>
      <c r="BC38" s="163"/>
      <c r="BD38" s="163"/>
      <c r="BE38" s="163"/>
      <c r="BF38" s="163"/>
      <c r="BG38" s="163"/>
      <c r="BH38" s="163"/>
      <c r="BI38" s="163"/>
      <c r="BJ38" s="163"/>
      <c r="BK38" s="163"/>
      <c r="BL38" s="163"/>
      <c r="BM38" s="163"/>
      <c r="BN38" s="163"/>
      <c r="BO38" s="163"/>
      <c r="BP38" s="163"/>
      <c r="BQ38" s="163"/>
    </row>
    <row r="39" spans="1:69" s="117" customFormat="1">
      <c r="B39" s="131"/>
      <c r="C39" s="131"/>
      <c r="D39" s="131"/>
      <c r="E39" s="131"/>
      <c r="F39" s="131"/>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31"/>
      <c r="AE39" s="163"/>
      <c r="AF39" s="163"/>
      <c r="AG39" s="163"/>
      <c r="AH39" s="163"/>
      <c r="AI39" s="163"/>
      <c r="AJ39" s="163"/>
      <c r="AK39" s="163"/>
      <c r="AL39" s="163"/>
      <c r="AM39" s="163"/>
      <c r="AN39" s="163"/>
      <c r="AO39" s="163"/>
      <c r="AP39" s="163"/>
      <c r="AQ39" s="163"/>
      <c r="AR39" s="163"/>
      <c r="AS39" s="163"/>
      <c r="AT39" s="131"/>
      <c r="AU39" s="163"/>
      <c r="AV39" s="163"/>
      <c r="AW39" s="163"/>
      <c r="AX39" s="163"/>
      <c r="AY39" s="163"/>
      <c r="AZ39" s="163"/>
      <c r="BA39" s="163"/>
      <c r="BB39" s="131"/>
      <c r="BC39" s="163"/>
      <c r="BD39" s="163"/>
      <c r="BE39" s="163"/>
      <c r="BF39" s="163"/>
      <c r="BG39" s="163"/>
      <c r="BH39" s="163"/>
      <c r="BI39" s="163"/>
      <c r="BJ39" s="163"/>
      <c r="BK39" s="163"/>
      <c r="BL39" s="163"/>
      <c r="BM39" s="163"/>
      <c r="BN39" s="163"/>
      <c r="BO39" s="163"/>
      <c r="BP39" s="163"/>
      <c r="BQ39" s="163"/>
    </row>
    <row r="40" spans="1:69" s="117" customFormat="1">
      <c r="B40" s="131"/>
      <c r="C40" s="131"/>
      <c r="D40" s="131"/>
      <c r="E40" s="131"/>
      <c r="F40" s="131"/>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31"/>
      <c r="AE40" s="163"/>
      <c r="AF40" s="163"/>
      <c r="AG40" s="163"/>
      <c r="AH40" s="163"/>
      <c r="AI40" s="163"/>
      <c r="AJ40" s="163"/>
      <c r="AK40" s="163"/>
      <c r="AL40" s="163"/>
      <c r="AM40" s="163"/>
      <c r="AN40" s="163"/>
      <c r="AO40" s="163"/>
      <c r="AP40" s="163"/>
      <c r="AQ40" s="163"/>
      <c r="AR40" s="163"/>
      <c r="AS40" s="163"/>
      <c r="AT40" s="131"/>
      <c r="AU40" s="163"/>
      <c r="AV40" s="163"/>
      <c r="AW40" s="163"/>
      <c r="AX40" s="163"/>
      <c r="AY40" s="163"/>
      <c r="AZ40" s="163"/>
      <c r="BA40" s="163"/>
      <c r="BB40" s="131"/>
      <c r="BC40" s="163"/>
      <c r="BD40" s="163"/>
      <c r="BE40" s="163"/>
      <c r="BF40" s="163"/>
      <c r="BG40" s="163"/>
      <c r="BH40" s="163"/>
      <c r="BI40" s="163"/>
      <c r="BJ40" s="163"/>
      <c r="BK40" s="163"/>
      <c r="BL40" s="163"/>
      <c r="BM40" s="163"/>
      <c r="BN40" s="163"/>
      <c r="BO40" s="163"/>
      <c r="BP40" s="163"/>
      <c r="BQ40" s="163"/>
    </row>
    <row r="41" spans="1:69" s="117" customFormat="1">
      <c r="B41" s="131"/>
      <c r="C41" s="131"/>
      <c r="D41" s="131"/>
      <c r="E41" s="131"/>
      <c r="F41" s="131"/>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31"/>
      <c r="AE41" s="163"/>
      <c r="AF41" s="163"/>
      <c r="AG41" s="163"/>
      <c r="AH41" s="163"/>
      <c r="AI41" s="163"/>
      <c r="AJ41" s="163"/>
      <c r="AK41" s="163"/>
      <c r="AL41" s="163"/>
      <c r="AM41" s="163"/>
      <c r="AN41" s="163"/>
      <c r="AO41" s="163"/>
      <c r="AP41" s="163"/>
      <c r="AQ41" s="163"/>
      <c r="AR41" s="163"/>
      <c r="AS41" s="163"/>
      <c r="AT41" s="131"/>
      <c r="AU41" s="163"/>
      <c r="AV41" s="163"/>
      <c r="AW41" s="163"/>
      <c r="AX41" s="163"/>
      <c r="AY41" s="163"/>
      <c r="AZ41" s="163"/>
      <c r="BA41" s="163"/>
      <c r="BB41" s="131"/>
      <c r="BC41" s="163"/>
      <c r="BD41" s="163"/>
      <c r="BE41" s="163"/>
      <c r="BF41" s="163"/>
      <c r="BG41" s="163"/>
      <c r="BH41" s="163"/>
      <c r="BI41" s="163"/>
      <c r="BJ41" s="163"/>
      <c r="BK41" s="163"/>
      <c r="BL41" s="163"/>
      <c r="BM41" s="163"/>
      <c r="BN41" s="163"/>
      <c r="BO41" s="163"/>
      <c r="BP41" s="163"/>
      <c r="BQ41" s="163"/>
    </row>
    <row r="42" spans="1:69" s="117" customFormat="1">
      <c r="B42" s="131"/>
      <c r="C42" s="131"/>
      <c r="D42" s="131"/>
      <c r="E42" s="131"/>
      <c r="F42" s="131"/>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31"/>
      <c r="AE42" s="163"/>
      <c r="AF42" s="163"/>
      <c r="AG42" s="163"/>
      <c r="AH42" s="163"/>
      <c r="AI42" s="163"/>
      <c r="AJ42" s="163"/>
      <c r="AK42" s="163"/>
      <c r="AL42" s="163"/>
      <c r="AM42" s="163"/>
      <c r="AN42" s="163"/>
      <c r="AO42" s="163"/>
      <c r="AP42" s="163"/>
      <c r="AQ42" s="163"/>
      <c r="AR42" s="163"/>
      <c r="AS42" s="163"/>
      <c r="AT42" s="131"/>
      <c r="AU42" s="163"/>
      <c r="AV42" s="163"/>
      <c r="AW42" s="163"/>
      <c r="AX42" s="163"/>
      <c r="AY42" s="163"/>
      <c r="AZ42" s="163"/>
      <c r="BA42" s="163"/>
      <c r="BB42" s="131"/>
      <c r="BC42" s="163"/>
      <c r="BD42" s="163"/>
      <c r="BE42" s="163"/>
      <c r="BF42" s="163"/>
      <c r="BG42" s="163"/>
      <c r="BH42" s="163"/>
      <c r="BI42" s="163"/>
      <c r="BJ42" s="163"/>
      <c r="BK42" s="163"/>
      <c r="BL42" s="163"/>
      <c r="BM42" s="163"/>
      <c r="BN42" s="163"/>
      <c r="BO42" s="163"/>
      <c r="BP42" s="163"/>
      <c r="BQ42" s="163"/>
    </row>
    <row r="43" spans="1:69" s="117" customFormat="1">
      <c r="B43" s="131"/>
      <c r="C43" s="131"/>
      <c r="D43" s="131"/>
      <c r="E43" s="131"/>
      <c r="F43" s="131"/>
      <c r="G43" s="163"/>
      <c r="H43" s="163"/>
      <c r="I43" s="163"/>
      <c r="J43" s="163"/>
      <c r="K43" s="163"/>
      <c r="L43" s="163"/>
      <c r="M43" s="163"/>
      <c r="N43" s="163"/>
      <c r="O43" s="163"/>
      <c r="P43" s="163"/>
      <c r="Q43" s="163"/>
      <c r="R43" s="163"/>
      <c r="S43" s="163"/>
      <c r="T43" s="163"/>
      <c r="U43" s="163"/>
      <c r="V43" s="163"/>
      <c r="W43" s="163"/>
      <c r="X43" s="163"/>
      <c r="Y43" s="163"/>
      <c r="Z43" s="163"/>
      <c r="AA43" s="163"/>
      <c r="AB43" s="163"/>
      <c r="AC43" s="163"/>
      <c r="AD43" s="131"/>
      <c r="AE43" s="163"/>
      <c r="AF43" s="163"/>
      <c r="AG43" s="163"/>
      <c r="AH43" s="163"/>
      <c r="AI43" s="163"/>
      <c r="AJ43" s="163"/>
      <c r="AK43" s="163"/>
      <c r="AL43" s="163"/>
      <c r="AM43" s="163"/>
      <c r="AN43" s="163"/>
      <c r="AO43" s="163"/>
      <c r="AP43" s="163"/>
      <c r="AQ43" s="163"/>
      <c r="AR43" s="163"/>
      <c r="AS43" s="163"/>
      <c r="AT43" s="131"/>
      <c r="AU43" s="163"/>
      <c r="AV43" s="163"/>
      <c r="AW43" s="163"/>
      <c r="AX43" s="163"/>
      <c r="AY43" s="163"/>
      <c r="AZ43" s="163"/>
      <c r="BA43" s="163"/>
      <c r="BB43" s="131"/>
      <c r="BC43" s="163"/>
      <c r="BD43" s="163"/>
      <c r="BE43" s="163"/>
      <c r="BF43" s="163"/>
      <c r="BG43" s="163"/>
      <c r="BH43" s="163"/>
      <c r="BI43" s="163"/>
      <c r="BJ43" s="163"/>
      <c r="BK43" s="163"/>
      <c r="BL43" s="163"/>
      <c r="BM43" s="163"/>
      <c r="BN43" s="163"/>
      <c r="BO43" s="163"/>
      <c r="BP43" s="163"/>
      <c r="BQ43" s="163"/>
    </row>
    <row r="44" spans="1:69" s="117" customFormat="1">
      <c r="B44" s="131"/>
      <c r="C44" s="131"/>
      <c r="D44" s="131"/>
      <c r="E44" s="131"/>
      <c r="F44" s="131"/>
      <c r="G44" s="163"/>
      <c r="H44" s="163"/>
      <c r="I44" s="163"/>
      <c r="J44" s="163"/>
      <c r="K44" s="163"/>
      <c r="L44" s="163"/>
      <c r="M44" s="163"/>
      <c r="N44" s="163"/>
      <c r="O44" s="163"/>
      <c r="P44" s="163"/>
      <c r="Q44" s="163"/>
      <c r="R44" s="163"/>
      <c r="S44" s="163"/>
      <c r="T44" s="163"/>
      <c r="U44" s="163"/>
      <c r="V44" s="163"/>
      <c r="W44" s="163"/>
      <c r="X44" s="163"/>
      <c r="Y44" s="163"/>
      <c r="Z44" s="163"/>
      <c r="AA44" s="163"/>
      <c r="AB44" s="163"/>
      <c r="AC44" s="163"/>
      <c r="AD44" s="131"/>
      <c r="AE44" s="163"/>
      <c r="AF44" s="163"/>
      <c r="AG44" s="163"/>
      <c r="AH44" s="163"/>
      <c r="AI44" s="163"/>
      <c r="AJ44" s="163"/>
      <c r="AK44" s="163"/>
      <c r="AL44" s="163"/>
      <c r="AM44" s="163"/>
      <c r="AN44" s="163"/>
      <c r="AO44" s="163"/>
      <c r="AP44" s="163"/>
      <c r="AQ44" s="163"/>
      <c r="AR44" s="163"/>
      <c r="AS44" s="163"/>
      <c r="AT44" s="131"/>
      <c r="AU44" s="163"/>
      <c r="AV44" s="163"/>
      <c r="AW44" s="163"/>
      <c r="AX44" s="163"/>
      <c r="AY44" s="163"/>
      <c r="AZ44" s="163"/>
      <c r="BA44" s="163"/>
      <c r="BB44" s="131"/>
      <c r="BC44" s="163"/>
      <c r="BD44" s="163"/>
      <c r="BE44" s="163"/>
      <c r="BF44" s="163"/>
      <c r="BG44" s="163"/>
      <c r="BH44" s="163"/>
      <c r="BI44" s="163"/>
      <c r="BJ44" s="163"/>
      <c r="BK44" s="163"/>
      <c r="BL44" s="163"/>
      <c r="BM44" s="163"/>
      <c r="BN44" s="163"/>
      <c r="BO44" s="163"/>
      <c r="BP44" s="163"/>
      <c r="BQ44" s="163"/>
    </row>
    <row r="45" spans="1:69" s="117" customFormat="1">
      <c r="B45" s="131"/>
      <c r="C45" s="131"/>
      <c r="D45" s="131"/>
      <c r="E45" s="131"/>
      <c r="F45" s="131"/>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31"/>
      <c r="AE45" s="163"/>
      <c r="AF45" s="163"/>
      <c r="AG45" s="163"/>
      <c r="AH45" s="163"/>
      <c r="AI45" s="163"/>
      <c r="AJ45" s="163"/>
      <c r="AK45" s="163"/>
      <c r="AL45" s="163"/>
      <c r="AM45" s="163"/>
      <c r="AN45" s="163"/>
      <c r="AO45" s="163"/>
      <c r="AP45" s="163"/>
      <c r="AQ45" s="163"/>
      <c r="AR45" s="163"/>
      <c r="AS45" s="163"/>
      <c r="AT45" s="131"/>
      <c r="AU45" s="163"/>
      <c r="AV45" s="163"/>
      <c r="AW45" s="163"/>
      <c r="AX45" s="163"/>
      <c r="AY45" s="163"/>
      <c r="AZ45" s="163"/>
      <c r="BA45" s="163"/>
      <c r="BB45" s="131"/>
      <c r="BC45" s="163"/>
      <c r="BD45" s="163"/>
      <c r="BE45" s="163"/>
      <c r="BF45" s="163"/>
      <c r="BG45" s="163"/>
      <c r="BH45" s="163"/>
      <c r="BI45" s="163"/>
      <c r="BJ45" s="163"/>
      <c r="BK45" s="163"/>
      <c r="BL45" s="163"/>
      <c r="BM45" s="163"/>
      <c r="BN45" s="163"/>
      <c r="BO45" s="163"/>
      <c r="BP45" s="163"/>
      <c r="BQ45" s="163"/>
    </row>
    <row r="46" spans="1:69" s="117" customFormat="1">
      <c r="B46" s="131"/>
      <c r="C46" s="131"/>
      <c r="D46" s="131"/>
      <c r="E46" s="131"/>
      <c r="F46" s="131"/>
      <c r="G46" s="132"/>
      <c r="H46" s="132"/>
      <c r="I46" s="132"/>
      <c r="J46" s="132"/>
      <c r="K46" s="132"/>
      <c r="L46" s="132"/>
      <c r="M46" s="132"/>
      <c r="N46" s="132"/>
      <c r="O46" s="132"/>
      <c r="P46" s="132"/>
      <c r="Q46" s="132"/>
      <c r="R46" s="132"/>
      <c r="S46" s="132"/>
      <c r="T46" s="132"/>
      <c r="U46" s="132"/>
      <c r="V46" s="132"/>
      <c r="W46" s="132"/>
      <c r="X46" s="132"/>
      <c r="Y46" s="132"/>
      <c r="Z46" s="132"/>
      <c r="AA46" s="132"/>
      <c r="AB46" s="132"/>
      <c r="AC46" s="132"/>
      <c r="AD46" s="131"/>
      <c r="AE46" s="132"/>
      <c r="AF46" s="132"/>
      <c r="AG46" s="132"/>
      <c r="AH46" s="132"/>
      <c r="AI46" s="132"/>
      <c r="AJ46" s="132"/>
      <c r="AK46" s="132"/>
      <c r="AL46" s="132"/>
      <c r="AM46" s="132"/>
      <c r="AN46" s="132"/>
      <c r="AO46" s="132"/>
      <c r="AP46" s="132"/>
      <c r="AQ46" s="132"/>
      <c r="AR46" s="132"/>
      <c r="AS46" s="132"/>
      <c r="AT46" s="131"/>
      <c r="AU46" s="132"/>
      <c r="AV46" s="132"/>
      <c r="AW46" s="132"/>
      <c r="AX46" s="132"/>
      <c r="AY46" s="132"/>
      <c r="AZ46" s="132"/>
      <c r="BA46" s="132"/>
      <c r="BB46" s="131"/>
      <c r="BC46" s="132"/>
      <c r="BD46" s="132"/>
      <c r="BE46" s="132"/>
      <c r="BF46" s="132"/>
      <c r="BG46" s="132"/>
      <c r="BH46" s="132"/>
      <c r="BI46" s="132"/>
      <c r="BJ46" s="132"/>
      <c r="BK46" s="132"/>
      <c r="BL46" s="132"/>
      <c r="BM46" s="132"/>
      <c r="BN46" s="132"/>
      <c r="BO46" s="132"/>
      <c r="BP46" s="132"/>
      <c r="BQ46" s="132"/>
    </row>
    <row r="47" spans="1:69" s="117" customFormat="1">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c r="BH47" s="166"/>
      <c r="BI47" s="166"/>
      <c r="BJ47" s="166"/>
      <c r="BK47" s="166"/>
      <c r="BL47" s="166"/>
      <c r="BM47" s="166"/>
      <c r="BN47" s="166"/>
      <c r="BO47" s="166"/>
      <c r="BP47" s="166"/>
      <c r="BQ47" s="166"/>
    </row>
    <row r="48" spans="1:69" s="117" customFormat="1">
      <c r="A48" s="95"/>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66"/>
      <c r="BN48" s="166"/>
      <c r="BO48" s="166"/>
      <c r="BP48" s="166"/>
      <c r="BQ48" s="166"/>
    </row>
    <row r="49" spans="1:70" s="117" customFormat="1">
      <c r="A49" s="95"/>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6"/>
      <c r="BG49" s="166"/>
      <c r="BH49" s="166"/>
      <c r="BI49" s="166"/>
      <c r="BJ49" s="166"/>
      <c r="BK49" s="166"/>
      <c r="BL49" s="166"/>
      <c r="BM49" s="166"/>
      <c r="BN49" s="166"/>
      <c r="BO49" s="166"/>
      <c r="BP49" s="166"/>
      <c r="BQ49" s="166"/>
    </row>
    <row r="50" spans="1:70" s="117" customFormat="1">
      <c r="A50" s="95"/>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6"/>
      <c r="BG50" s="166"/>
      <c r="BH50" s="166"/>
      <c r="BI50" s="166"/>
      <c r="BJ50" s="166"/>
      <c r="BK50" s="166"/>
      <c r="BL50" s="166"/>
      <c r="BM50" s="166"/>
      <c r="BN50" s="166"/>
      <c r="BO50" s="166"/>
      <c r="BP50" s="166"/>
      <c r="BQ50" s="166"/>
    </row>
    <row r="51" spans="1:70" s="117" customFormat="1">
      <c r="A51" s="95"/>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row>
    <row r="52" spans="1:70" s="168" customFormat="1"/>
    <row r="53" spans="1:70" s="168" customFormat="1">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row>
    <row r="54" spans="1:70" s="168" customFormat="1">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row>
    <row r="55" spans="1:70" s="168" customFormat="1">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row>
    <row r="56" spans="1:70" s="168" customFormat="1">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row>
    <row r="57" spans="1:70" s="168" customFormat="1">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row>
    <row r="58" spans="1:70" s="117" customFormat="1">
      <c r="A58" s="95"/>
      <c r="B58" s="116"/>
      <c r="C58" s="116"/>
      <c r="D58" s="116"/>
      <c r="E58" s="116"/>
      <c r="F58" s="116"/>
      <c r="G58" s="172"/>
      <c r="H58" s="172"/>
      <c r="I58" s="172"/>
      <c r="J58" s="172"/>
      <c r="K58" s="172"/>
      <c r="L58" s="172"/>
      <c r="M58" s="172"/>
      <c r="N58" s="172"/>
      <c r="O58" s="172"/>
      <c r="P58" s="172"/>
      <c r="Q58" s="172"/>
      <c r="R58" s="172"/>
      <c r="S58" s="172"/>
      <c r="T58" s="172"/>
      <c r="U58" s="172"/>
      <c r="V58" s="172"/>
      <c r="W58" s="172"/>
      <c r="X58" s="172"/>
      <c r="Y58" s="172"/>
      <c r="Z58" s="172"/>
      <c r="AA58" s="172"/>
      <c r="AB58" s="172"/>
      <c r="AC58" s="172"/>
      <c r="AD58" s="116"/>
      <c r="AE58" s="172"/>
      <c r="AF58" s="172"/>
      <c r="AG58" s="172"/>
      <c r="AH58" s="116"/>
      <c r="AI58" s="116"/>
      <c r="AJ58" s="116"/>
      <c r="AK58" s="116"/>
      <c r="AL58" s="116"/>
      <c r="AM58" s="116"/>
      <c r="AN58" s="116"/>
      <c r="AO58" s="116"/>
      <c r="AP58" s="172"/>
      <c r="AQ58" s="172"/>
      <c r="AR58" s="172"/>
      <c r="AS58" s="172"/>
      <c r="AT58" s="116"/>
      <c r="AU58" s="172"/>
      <c r="AV58" s="172"/>
      <c r="AW58" s="172"/>
      <c r="AX58" s="172"/>
      <c r="AY58" s="172"/>
      <c r="AZ58" s="172"/>
      <c r="BA58" s="172"/>
      <c r="BB58" s="116"/>
      <c r="BC58" s="172"/>
      <c r="BD58" s="172"/>
      <c r="BE58" s="172"/>
      <c r="BF58" s="116"/>
      <c r="BG58" s="116"/>
      <c r="BH58" s="116"/>
      <c r="BI58" s="116"/>
      <c r="BJ58" s="116"/>
      <c r="BK58" s="116"/>
      <c r="BL58" s="116"/>
      <c r="BM58" s="116"/>
      <c r="BN58" s="116"/>
      <c r="BO58" s="116"/>
      <c r="BP58" s="116"/>
      <c r="BQ58" s="116"/>
    </row>
    <row r="59" spans="1:70" s="117" customFormat="1">
      <c r="A59" s="95"/>
      <c r="B59" s="116"/>
      <c r="C59" s="116"/>
      <c r="D59" s="116"/>
      <c r="E59" s="116"/>
      <c r="F59" s="116"/>
      <c r="G59" s="172"/>
      <c r="H59" s="172"/>
      <c r="I59" s="172"/>
      <c r="J59" s="172"/>
      <c r="K59" s="172"/>
      <c r="L59" s="172"/>
      <c r="M59" s="172"/>
      <c r="N59" s="172"/>
      <c r="O59" s="172"/>
      <c r="P59" s="172"/>
      <c r="Q59" s="172"/>
      <c r="R59" s="172"/>
      <c r="S59" s="172"/>
      <c r="T59" s="172"/>
      <c r="U59" s="172"/>
      <c r="V59" s="172"/>
      <c r="W59" s="172"/>
      <c r="X59" s="172"/>
      <c r="Y59" s="172"/>
      <c r="Z59" s="172"/>
      <c r="AA59" s="172"/>
      <c r="AB59" s="172"/>
      <c r="AC59" s="172"/>
      <c r="AD59" s="116"/>
      <c r="AE59" s="172"/>
      <c r="AF59" s="172"/>
      <c r="AG59" s="172"/>
      <c r="AH59" s="116"/>
      <c r="AI59" s="116"/>
      <c r="AJ59" s="116"/>
      <c r="AK59" s="116"/>
      <c r="AL59" s="116"/>
      <c r="AM59" s="116"/>
      <c r="AN59" s="116"/>
      <c r="AO59" s="116"/>
      <c r="AP59" s="172"/>
      <c r="AQ59" s="172"/>
      <c r="AR59" s="172"/>
      <c r="AS59" s="172"/>
      <c r="AT59" s="116"/>
      <c r="AU59" s="172"/>
      <c r="AV59" s="172"/>
      <c r="AW59" s="172"/>
      <c r="AX59" s="172"/>
      <c r="AY59" s="172"/>
      <c r="AZ59" s="172"/>
      <c r="BA59" s="172"/>
      <c r="BB59" s="116"/>
      <c r="BC59" s="172"/>
      <c r="BD59" s="172"/>
      <c r="BE59" s="172"/>
      <c r="BF59" s="116"/>
      <c r="BG59" s="116"/>
      <c r="BH59" s="116"/>
      <c r="BI59" s="116"/>
      <c r="BJ59" s="116"/>
      <c r="BK59" s="116"/>
      <c r="BL59" s="116"/>
      <c r="BM59" s="116"/>
      <c r="BN59" s="116"/>
      <c r="BO59" s="116"/>
      <c r="BP59" s="116"/>
      <c r="BQ59" s="116"/>
    </row>
    <row r="60" spans="1:70" s="117" customFormat="1">
      <c r="B60" s="173"/>
      <c r="C60" s="173"/>
      <c r="D60" s="173"/>
      <c r="E60" s="173"/>
      <c r="F60" s="173"/>
      <c r="G60" s="95"/>
      <c r="H60" s="95"/>
      <c r="I60" s="95"/>
      <c r="J60" s="95"/>
      <c r="K60" s="95"/>
      <c r="L60" s="95"/>
      <c r="M60" s="95"/>
      <c r="N60" s="95"/>
      <c r="O60" s="95"/>
      <c r="P60" s="95"/>
      <c r="Q60" s="95"/>
      <c r="R60" s="95"/>
      <c r="S60" s="95"/>
      <c r="T60" s="95"/>
      <c r="U60" s="95"/>
      <c r="V60" s="95"/>
      <c r="W60" s="95"/>
      <c r="X60" s="95"/>
      <c r="Y60" s="95"/>
      <c r="Z60" s="95"/>
      <c r="AA60" s="95"/>
      <c r="AB60" s="95"/>
      <c r="AC60" s="95"/>
      <c r="AD60" s="173"/>
      <c r="AE60" s="95"/>
      <c r="AF60" s="95"/>
      <c r="AG60" s="95"/>
      <c r="AH60" s="95"/>
      <c r="AI60" s="95"/>
      <c r="AJ60" s="95"/>
      <c r="AK60" s="95"/>
      <c r="AL60" s="95"/>
      <c r="AM60" s="95"/>
      <c r="AN60" s="95"/>
      <c r="AO60" s="95"/>
      <c r="AP60" s="95"/>
      <c r="AQ60" s="95"/>
      <c r="AR60" s="95"/>
      <c r="AS60" s="95"/>
      <c r="AT60" s="173"/>
      <c r="AU60" s="95"/>
      <c r="AV60" s="95"/>
      <c r="AW60" s="95"/>
      <c r="AX60" s="95"/>
      <c r="AY60" s="95"/>
      <c r="AZ60" s="95"/>
      <c r="BA60" s="95"/>
      <c r="BB60" s="173"/>
      <c r="BC60" s="95"/>
      <c r="BD60" s="95"/>
      <c r="BE60" s="95"/>
      <c r="BF60" s="95"/>
      <c r="BG60" s="95"/>
      <c r="BH60" s="95"/>
      <c r="BI60" s="95"/>
      <c r="BJ60" s="95"/>
      <c r="BK60" s="95"/>
      <c r="BL60" s="95"/>
      <c r="BM60" s="95"/>
      <c r="BN60" s="95"/>
      <c r="BO60" s="95"/>
      <c r="BP60" s="95"/>
      <c r="BQ60" s="95"/>
      <c r="BR60" s="176"/>
    </row>
    <row r="61" spans="1:70" s="117" customFormat="1">
      <c r="B61" s="95"/>
      <c r="C61" s="95"/>
      <c r="D61" s="95"/>
      <c r="E61" s="95"/>
      <c r="F61" s="95"/>
      <c r="G61" s="177"/>
      <c r="H61" s="177"/>
      <c r="I61" s="177"/>
      <c r="J61" s="177"/>
      <c r="K61" s="177"/>
      <c r="L61" s="177"/>
      <c r="M61" s="177"/>
      <c r="N61" s="177"/>
      <c r="O61" s="177"/>
      <c r="P61" s="177"/>
      <c r="Q61" s="177"/>
      <c r="R61" s="177"/>
      <c r="S61" s="177"/>
      <c r="T61" s="177"/>
      <c r="U61" s="177"/>
      <c r="V61" s="177"/>
      <c r="W61" s="177"/>
      <c r="X61" s="177"/>
      <c r="Y61" s="177"/>
      <c r="Z61" s="177"/>
      <c r="AA61" s="177"/>
      <c r="AB61" s="177"/>
      <c r="AC61" s="177"/>
      <c r="AD61" s="95"/>
      <c r="AE61" s="177"/>
      <c r="AF61" s="177"/>
      <c r="AG61" s="177"/>
      <c r="AH61" s="177"/>
      <c r="AI61" s="177"/>
      <c r="AJ61" s="177"/>
      <c r="AK61" s="177"/>
      <c r="AL61" s="177"/>
      <c r="AM61" s="177"/>
      <c r="AN61" s="177"/>
      <c r="AO61" s="177"/>
      <c r="AP61" s="177"/>
      <c r="AQ61" s="177"/>
      <c r="AR61" s="177"/>
      <c r="AS61" s="177"/>
      <c r="AT61" s="95"/>
      <c r="AU61" s="177"/>
      <c r="AV61" s="177"/>
      <c r="AW61" s="177"/>
      <c r="AX61" s="177"/>
      <c r="AY61" s="177"/>
      <c r="AZ61" s="177"/>
      <c r="BA61" s="177"/>
      <c r="BB61" s="95"/>
      <c r="BC61" s="177"/>
      <c r="BD61" s="177"/>
      <c r="BE61" s="177"/>
      <c r="BF61" s="177"/>
      <c r="BG61" s="177"/>
      <c r="BH61" s="177"/>
      <c r="BI61" s="177"/>
      <c r="BJ61" s="177"/>
      <c r="BK61" s="177"/>
      <c r="BL61" s="177"/>
      <c r="BM61" s="177"/>
      <c r="BN61" s="177"/>
      <c r="BO61" s="177"/>
      <c r="BP61" s="177"/>
      <c r="BQ61" s="177"/>
      <c r="BR61" s="176"/>
    </row>
    <row r="62" spans="1:70" s="117" customFormat="1">
      <c r="B62" s="95"/>
      <c r="C62" s="95"/>
      <c r="D62" s="95"/>
      <c r="E62" s="95"/>
      <c r="F62" s="95"/>
      <c r="G62" s="95"/>
      <c r="H62" s="95"/>
      <c r="I62" s="95"/>
      <c r="AD62" s="95"/>
      <c r="AE62" s="95"/>
      <c r="AF62" s="95"/>
      <c r="AH62" s="95"/>
      <c r="AI62" s="95"/>
      <c r="AJ62" s="95"/>
      <c r="AK62" s="95"/>
      <c r="AL62" s="95"/>
      <c r="AM62" s="95"/>
      <c r="AN62" s="95"/>
      <c r="AO62" s="95"/>
      <c r="AT62" s="95"/>
      <c r="AU62" s="95"/>
      <c r="AV62" s="95"/>
      <c r="BB62" s="95"/>
      <c r="BC62" s="95"/>
      <c r="BD62" s="95"/>
      <c r="BF62" s="95"/>
      <c r="BG62" s="95"/>
      <c r="BH62" s="95"/>
      <c r="BI62" s="95"/>
      <c r="BJ62" s="95"/>
      <c r="BK62" s="95"/>
      <c r="BL62" s="95"/>
      <c r="BM62" s="95"/>
      <c r="BN62" s="95"/>
      <c r="BO62" s="95"/>
      <c r="BP62" s="95"/>
      <c r="BQ62" s="95"/>
      <c r="BR62" s="176"/>
    </row>
    <row r="63" spans="1:70" s="117" customFormat="1">
      <c r="B63" s="179"/>
      <c r="C63" s="179"/>
      <c r="D63" s="179"/>
      <c r="E63" s="179"/>
      <c r="F63" s="179"/>
      <c r="G63" s="163"/>
      <c r="H63" s="163"/>
      <c r="I63" s="163"/>
      <c r="J63" s="163"/>
      <c r="K63" s="163"/>
      <c r="L63" s="163"/>
      <c r="M63" s="163"/>
      <c r="N63" s="163"/>
      <c r="O63" s="163"/>
      <c r="P63" s="163"/>
      <c r="Q63" s="163"/>
      <c r="R63" s="163"/>
      <c r="S63" s="163"/>
      <c r="T63" s="163"/>
      <c r="U63" s="163"/>
      <c r="V63" s="163"/>
      <c r="W63" s="163"/>
      <c r="X63" s="163"/>
      <c r="Y63" s="163"/>
      <c r="Z63" s="163"/>
      <c r="AA63" s="163"/>
      <c r="AB63" s="163"/>
      <c r="AC63" s="163"/>
      <c r="AD63" s="179"/>
      <c r="AE63" s="163"/>
      <c r="AF63" s="163"/>
      <c r="AG63" s="163"/>
      <c r="AH63" s="163"/>
      <c r="AI63" s="163"/>
      <c r="AJ63" s="163"/>
      <c r="AK63" s="163"/>
      <c r="AL63" s="163"/>
      <c r="AM63" s="163"/>
      <c r="AN63" s="163"/>
      <c r="AO63" s="163"/>
      <c r="AP63" s="163"/>
      <c r="AQ63" s="163"/>
      <c r="AR63" s="163"/>
      <c r="AS63" s="163"/>
      <c r="AT63" s="179"/>
      <c r="AU63" s="163"/>
      <c r="AV63" s="163"/>
      <c r="AW63" s="163"/>
      <c r="AX63" s="163"/>
      <c r="AY63" s="163"/>
      <c r="AZ63" s="163"/>
      <c r="BA63" s="163"/>
      <c r="BB63" s="179"/>
      <c r="BC63" s="163"/>
      <c r="BD63" s="163"/>
      <c r="BE63" s="163"/>
      <c r="BF63" s="163"/>
      <c r="BG63" s="163"/>
      <c r="BH63" s="163"/>
      <c r="BI63" s="163"/>
      <c r="BJ63" s="163"/>
      <c r="BK63" s="163"/>
      <c r="BL63" s="163"/>
      <c r="BM63" s="163"/>
      <c r="BN63" s="163"/>
      <c r="BO63" s="163"/>
      <c r="BP63" s="163"/>
      <c r="BQ63" s="163"/>
      <c r="BR63" s="176"/>
    </row>
    <row r="64" spans="1:70" s="117" customFormat="1">
      <c r="B64" s="179"/>
      <c r="C64" s="179"/>
      <c r="D64" s="179"/>
      <c r="E64" s="179"/>
      <c r="F64" s="179"/>
      <c r="G64" s="163"/>
      <c r="H64" s="163"/>
      <c r="I64" s="163"/>
      <c r="J64" s="163"/>
      <c r="K64" s="163"/>
      <c r="L64" s="163"/>
      <c r="M64" s="163"/>
      <c r="N64" s="163"/>
      <c r="O64" s="163"/>
      <c r="P64" s="163"/>
      <c r="Q64" s="163"/>
      <c r="R64" s="163"/>
      <c r="S64" s="163"/>
      <c r="T64" s="163"/>
      <c r="U64" s="163"/>
      <c r="V64" s="163"/>
      <c r="W64" s="163"/>
      <c r="X64" s="163"/>
      <c r="Y64" s="163"/>
      <c r="Z64" s="163"/>
      <c r="AA64" s="163"/>
      <c r="AB64" s="163"/>
      <c r="AC64" s="163"/>
      <c r="AD64" s="179"/>
      <c r="AE64" s="163"/>
      <c r="AF64" s="163"/>
      <c r="AG64" s="163"/>
      <c r="AH64" s="163"/>
      <c r="AI64" s="163"/>
      <c r="AJ64" s="163"/>
      <c r="AK64" s="163"/>
      <c r="AL64" s="163"/>
      <c r="AM64" s="163"/>
      <c r="AN64" s="163"/>
      <c r="AO64" s="163"/>
      <c r="AP64" s="163"/>
      <c r="AQ64" s="163"/>
      <c r="AR64" s="163"/>
      <c r="AS64" s="163"/>
      <c r="AT64" s="179"/>
      <c r="AU64" s="163"/>
      <c r="AV64" s="163"/>
      <c r="AW64" s="163"/>
      <c r="AX64" s="163"/>
      <c r="AY64" s="163"/>
      <c r="AZ64" s="163"/>
      <c r="BA64" s="163"/>
      <c r="BB64" s="179"/>
      <c r="BC64" s="163"/>
      <c r="BD64" s="163"/>
      <c r="BE64" s="163"/>
      <c r="BF64" s="163"/>
      <c r="BG64" s="163"/>
      <c r="BH64" s="163"/>
      <c r="BI64" s="163"/>
      <c r="BJ64" s="163"/>
      <c r="BK64" s="163"/>
      <c r="BL64" s="163"/>
      <c r="BM64" s="163"/>
      <c r="BN64" s="163"/>
      <c r="BO64" s="163"/>
      <c r="BP64" s="163"/>
      <c r="BQ64" s="163"/>
      <c r="BR64" s="176"/>
    </row>
    <row r="65" spans="2:70" s="117" customFormat="1">
      <c r="B65" s="179"/>
      <c r="C65" s="179"/>
      <c r="D65" s="179"/>
      <c r="E65" s="179"/>
      <c r="F65" s="179"/>
      <c r="G65" s="163"/>
      <c r="H65" s="163"/>
      <c r="I65" s="163"/>
      <c r="J65" s="163"/>
      <c r="K65" s="163"/>
      <c r="L65" s="163"/>
      <c r="M65" s="163"/>
      <c r="N65" s="163"/>
      <c r="O65" s="163"/>
      <c r="P65" s="163"/>
      <c r="Q65" s="163"/>
      <c r="R65" s="163"/>
      <c r="S65" s="163"/>
      <c r="T65" s="163"/>
      <c r="U65" s="163"/>
      <c r="V65" s="163"/>
      <c r="W65" s="163"/>
      <c r="X65" s="163"/>
      <c r="Y65" s="163"/>
      <c r="Z65" s="163"/>
      <c r="AA65" s="163"/>
      <c r="AB65" s="163"/>
      <c r="AC65" s="163"/>
      <c r="AD65" s="179"/>
      <c r="AE65" s="163"/>
      <c r="AF65" s="163"/>
      <c r="AG65" s="163"/>
      <c r="AH65" s="163"/>
      <c r="AI65" s="163"/>
      <c r="AJ65" s="163"/>
      <c r="AK65" s="163"/>
      <c r="AL65" s="163"/>
      <c r="AM65" s="163"/>
      <c r="AN65" s="163"/>
      <c r="AO65" s="163"/>
      <c r="AP65" s="163"/>
      <c r="AQ65" s="163"/>
      <c r="AR65" s="163"/>
      <c r="AS65" s="163"/>
      <c r="AT65" s="179"/>
      <c r="AU65" s="163"/>
      <c r="AV65" s="163"/>
      <c r="AW65" s="163"/>
      <c r="AX65" s="163"/>
      <c r="AY65" s="163"/>
      <c r="AZ65" s="163"/>
      <c r="BA65" s="163"/>
      <c r="BB65" s="179"/>
      <c r="BC65" s="163"/>
      <c r="BD65" s="163"/>
      <c r="BE65" s="163"/>
      <c r="BF65" s="163"/>
      <c r="BG65" s="163"/>
      <c r="BH65" s="163"/>
      <c r="BI65" s="163"/>
      <c r="BJ65" s="163"/>
      <c r="BK65" s="163"/>
      <c r="BL65" s="163"/>
      <c r="BM65" s="163"/>
      <c r="BN65" s="163"/>
      <c r="BO65" s="163"/>
      <c r="BP65" s="163"/>
      <c r="BQ65" s="163"/>
      <c r="BR65" s="176"/>
    </row>
    <row r="66" spans="2:70" s="117" customFormat="1">
      <c r="B66" s="179"/>
      <c r="C66" s="179"/>
      <c r="D66" s="179"/>
      <c r="E66" s="179"/>
      <c r="F66" s="179"/>
      <c r="G66" s="163"/>
      <c r="H66" s="163"/>
      <c r="I66" s="163"/>
      <c r="J66" s="163"/>
      <c r="K66" s="163"/>
      <c r="L66" s="163"/>
      <c r="M66" s="163"/>
      <c r="N66" s="163"/>
      <c r="O66" s="163"/>
      <c r="P66" s="163"/>
      <c r="Q66" s="163"/>
      <c r="R66" s="163"/>
      <c r="S66" s="163"/>
      <c r="T66" s="163"/>
      <c r="U66" s="163"/>
      <c r="V66" s="163"/>
      <c r="W66" s="163"/>
      <c r="X66" s="163"/>
      <c r="Y66" s="163"/>
      <c r="Z66" s="163"/>
      <c r="AA66" s="163"/>
      <c r="AB66" s="163"/>
      <c r="AC66" s="163"/>
      <c r="AD66" s="179"/>
      <c r="AE66" s="163"/>
      <c r="AF66" s="163"/>
      <c r="AG66" s="163"/>
      <c r="AH66" s="163"/>
      <c r="AI66" s="163"/>
      <c r="AJ66" s="163"/>
      <c r="AK66" s="163"/>
      <c r="AL66" s="163"/>
      <c r="AM66" s="163"/>
      <c r="AN66" s="163"/>
      <c r="AO66" s="163"/>
      <c r="AP66" s="163"/>
      <c r="AQ66" s="163"/>
      <c r="AR66" s="163"/>
      <c r="AS66" s="163"/>
      <c r="AT66" s="179"/>
      <c r="AU66" s="163"/>
      <c r="AV66" s="163"/>
      <c r="AW66" s="163"/>
      <c r="AX66" s="163"/>
      <c r="AY66" s="163"/>
      <c r="AZ66" s="163"/>
      <c r="BA66" s="163"/>
      <c r="BB66" s="179"/>
      <c r="BC66" s="163"/>
      <c r="BD66" s="163"/>
      <c r="BE66" s="163"/>
      <c r="BF66" s="163"/>
      <c r="BG66" s="163"/>
      <c r="BH66" s="163"/>
      <c r="BI66" s="163"/>
      <c r="BJ66" s="163"/>
      <c r="BK66" s="163"/>
      <c r="BL66" s="163"/>
      <c r="BM66" s="163"/>
      <c r="BN66" s="163"/>
      <c r="BO66" s="163"/>
      <c r="BP66" s="163"/>
      <c r="BQ66" s="163"/>
      <c r="BR66" s="176"/>
    </row>
    <row r="67" spans="2:70" s="117" customFormat="1">
      <c r="B67" s="179"/>
      <c r="C67" s="179"/>
      <c r="D67" s="179"/>
      <c r="E67" s="179"/>
      <c r="F67" s="179"/>
      <c r="G67" s="163"/>
      <c r="H67" s="163"/>
      <c r="I67" s="163"/>
      <c r="J67" s="163"/>
      <c r="K67" s="163"/>
      <c r="L67" s="163"/>
      <c r="M67" s="163"/>
      <c r="N67" s="163"/>
      <c r="O67" s="163"/>
      <c r="P67" s="163"/>
      <c r="Q67" s="163"/>
      <c r="R67" s="163"/>
      <c r="S67" s="163"/>
      <c r="T67" s="163"/>
      <c r="U67" s="163"/>
      <c r="V67" s="163"/>
      <c r="W67" s="163"/>
      <c r="X67" s="163"/>
      <c r="Y67" s="163"/>
      <c r="Z67" s="163"/>
      <c r="AA67" s="163"/>
      <c r="AB67" s="163"/>
      <c r="AC67" s="163"/>
      <c r="AD67" s="179"/>
      <c r="AE67" s="163"/>
      <c r="AF67" s="163"/>
      <c r="AG67" s="163"/>
      <c r="AH67" s="163"/>
      <c r="AI67" s="163"/>
      <c r="AJ67" s="163"/>
      <c r="AK67" s="163"/>
      <c r="AL67" s="163"/>
      <c r="AM67" s="163"/>
      <c r="AN67" s="163"/>
      <c r="AO67" s="163"/>
      <c r="AP67" s="163"/>
      <c r="AQ67" s="163"/>
      <c r="AR67" s="163"/>
      <c r="AS67" s="163"/>
      <c r="AT67" s="179"/>
      <c r="AU67" s="163"/>
      <c r="AV67" s="163"/>
      <c r="AW67" s="163"/>
      <c r="AX67" s="163"/>
      <c r="AY67" s="163"/>
      <c r="AZ67" s="163"/>
      <c r="BA67" s="163"/>
      <c r="BB67" s="179"/>
      <c r="BC67" s="163"/>
      <c r="BD67" s="163"/>
      <c r="BE67" s="163"/>
      <c r="BF67" s="163"/>
      <c r="BG67" s="163"/>
      <c r="BH67" s="163"/>
      <c r="BI67" s="163"/>
      <c r="BJ67" s="163"/>
      <c r="BK67" s="163"/>
      <c r="BL67" s="163"/>
      <c r="BM67" s="163"/>
      <c r="BN67" s="163"/>
      <c r="BO67" s="163"/>
      <c r="BP67" s="163"/>
      <c r="BQ67" s="163"/>
      <c r="BR67" s="176"/>
    </row>
    <row r="68" spans="2:70" s="117" customFormat="1">
      <c r="B68" s="179"/>
      <c r="C68" s="179"/>
      <c r="D68" s="179"/>
      <c r="E68" s="179"/>
      <c r="F68" s="179"/>
      <c r="G68" s="163"/>
      <c r="H68" s="163"/>
      <c r="I68" s="163"/>
      <c r="J68" s="163"/>
      <c r="K68" s="163"/>
      <c r="L68" s="163"/>
      <c r="M68" s="163"/>
      <c r="N68" s="163"/>
      <c r="O68" s="163"/>
      <c r="P68" s="163"/>
      <c r="Q68" s="163"/>
      <c r="R68" s="163"/>
      <c r="S68" s="163"/>
      <c r="T68" s="163"/>
      <c r="U68" s="163"/>
      <c r="V68" s="163"/>
      <c r="W68" s="163"/>
      <c r="X68" s="163"/>
      <c r="Y68" s="163"/>
      <c r="Z68" s="163"/>
      <c r="AA68" s="163"/>
      <c r="AB68" s="163"/>
      <c r="AC68" s="163"/>
      <c r="AD68" s="179"/>
      <c r="AE68" s="163"/>
      <c r="AF68" s="163"/>
      <c r="AG68" s="163"/>
      <c r="AH68" s="163"/>
      <c r="AI68" s="163"/>
      <c r="AJ68" s="163"/>
      <c r="AK68" s="163"/>
      <c r="AL68" s="163"/>
      <c r="AM68" s="163"/>
      <c r="AN68" s="163"/>
      <c r="AO68" s="163"/>
      <c r="AP68" s="163"/>
      <c r="AQ68" s="163"/>
      <c r="AR68" s="163"/>
      <c r="AS68" s="163"/>
      <c r="AT68" s="179"/>
      <c r="AU68" s="163"/>
      <c r="AV68" s="163"/>
      <c r="AW68" s="163"/>
      <c r="AX68" s="163"/>
      <c r="AY68" s="163"/>
      <c r="AZ68" s="163"/>
      <c r="BA68" s="163"/>
      <c r="BB68" s="179"/>
      <c r="BC68" s="163"/>
      <c r="BD68" s="163"/>
      <c r="BE68" s="163"/>
      <c r="BF68" s="163"/>
      <c r="BG68" s="163"/>
      <c r="BH68" s="163"/>
      <c r="BI68" s="163"/>
      <c r="BJ68" s="163"/>
      <c r="BK68" s="163"/>
      <c r="BL68" s="163"/>
      <c r="BM68" s="163"/>
      <c r="BN68" s="163"/>
      <c r="BO68" s="163"/>
      <c r="BP68" s="163"/>
      <c r="BQ68" s="163"/>
      <c r="BR68" s="176"/>
    </row>
    <row r="69" spans="2:70" s="117" customFormat="1">
      <c r="B69" s="179"/>
      <c r="C69" s="179"/>
      <c r="D69" s="179"/>
      <c r="E69" s="179"/>
      <c r="F69" s="179"/>
      <c r="G69" s="163"/>
      <c r="H69" s="163"/>
      <c r="I69" s="163"/>
      <c r="J69" s="163"/>
      <c r="K69" s="163"/>
      <c r="L69" s="163"/>
      <c r="M69" s="163"/>
      <c r="N69" s="163"/>
      <c r="O69" s="163"/>
      <c r="P69" s="163"/>
      <c r="Q69" s="163"/>
      <c r="R69" s="163"/>
      <c r="S69" s="163"/>
      <c r="T69" s="163"/>
      <c r="U69" s="163"/>
      <c r="V69" s="163"/>
      <c r="W69" s="163"/>
      <c r="X69" s="163"/>
      <c r="Y69" s="163"/>
      <c r="Z69" s="163"/>
      <c r="AA69" s="163"/>
      <c r="AB69" s="163"/>
      <c r="AC69" s="163"/>
      <c r="AD69" s="179"/>
      <c r="AE69" s="163"/>
      <c r="AF69" s="163"/>
      <c r="AG69" s="163"/>
      <c r="AH69" s="163"/>
      <c r="AI69" s="163"/>
      <c r="AJ69" s="163"/>
      <c r="AK69" s="163"/>
      <c r="AL69" s="163"/>
      <c r="AM69" s="163"/>
      <c r="AN69" s="163"/>
      <c r="AO69" s="163"/>
      <c r="AP69" s="163"/>
      <c r="AQ69" s="163"/>
      <c r="AR69" s="163"/>
      <c r="AS69" s="163"/>
      <c r="AT69" s="179"/>
      <c r="AU69" s="163"/>
      <c r="AV69" s="163"/>
      <c r="AW69" s="163"/>
      <c r="AX69" s="163"/>
      <c r="AY69" s="163"/>
      <c r="AZ69" s="163"/>
      <c r="BA69" s="163"/>
      <c r="BB69" s="179"/>
      <c r="BC69" s="163"/>
      <c r="BD69" s="163"/>
      <c r="BE69" s="163"/>
      <c r="BF69" s="163"/>
      <c r="BG69" s="163"/>
      <c r="BH69" s="163"/>
      <c r="BI69" s="163"/>
      <c r="BJ69" s="163"/>
      <c r="BK69" s="163"/>
      <c r="BL69" s="163"/>
      <c r="BM69" s="163"/>
      <c r="BN69" s="163"/>
      <c r="BO69" s="163"/>
      <c r="BP69" s="163"/>
      <c r="BQ69" s="163"/>
      <c r="BR69" s="176"/>
    </row>
    <row r="70" spans="2:70" s="117" customFormat="1">
      <c r="B70" s="179"/>
      <c r="C70" s="179"/>
      <c r="D70" s="179"/>
      <c r="E70" s="179"/>
      <c r="F70" s="179"/>
      <c r="G70" s="163"/>
      <c r="H70" s="163"/>
      <c r="I70" s="163"/>
      <c r="J70" s="163"/>
      <c r="K70" s="163"/>
      <c r="L70" s="163"/>
      <c r="M70" s="163"/>
      <c r="N70" s="163"/>
      <c r="O70" s="163"/>
      <c r="P70" s="163"/>
      <c r="Q70" s="163"/>
      <c r="R70" s="163"/>
      <c r="S70" s="163"/>
      <c r="T70" s="163"/>
      <c r="U70" s="163"/>
      <c r="V70" s="163"/>
      <c r="W70" s="163"/>
      <c r="X70" s="163"/>
      <c r="Y70" s="163"/>
      <c r="Z70" s="163"/>
      <c r="AA70" s="163"/>
      <c r="AB70" s="163"/>
      <c r="AC70" s="163"/>
      <c r="AD70" s="179"/>
      <c r="AE70" s="163"/>
      <c r="AF70" s="163"/>
      <c r="AG70" s="163"/>
      <c r="AH70" s="163"/>
      <c r="AI70" s="163"/>
      <c r="AJ70" s="163"/>
      <c r="AK70" s="163"/>
      <c r="AL70" s="163"/>
      <c r="AM70" s="163"/>
      <c r="AN70" s="163"/>
      <c r="AO70" s="163"/>
      <c r="AP70" s="163"/>
      <c r="AQ70" s="163"/>
      <c r="AR70" s="163"/>
      <c r="AS70" s="163"/>
      <c r="AT70" s="179"/>
      <c r="AU70" s="163"/>
      <c r="AV70" s="163"/>
      <c r="AW70" s="163"/>
      <c r="AX70" s="163"/>
      <c r="AY70" s="163"/>
      <c r="AZ70" s="163"/>
      <c r="BA70" s="163"/>
      <c r="BB70" s="179"/>
      <c r="BC70" s="163"/>
      <c r="BD70" s="163"/>
      <c r="BE70" s="163"/>
      <c r="BF70" s="163"/>
      <c r="BG70" s="163"/>
      <c r="BH70" s="163"/>
      <c r="BI70" s="163"/>
      <c r="BJ70" s="163"/>
      <c r="BK70" s="163"/>
      <c r="BL70" s="163"/>
      <c r="BM70" s="163"/>
      <c r="BN70" s="163"/>
      <c r="BO70" s="163"/>
      <c r="BP70" s="163"/>
      <c r="BQ70" s="163"/>
      <c r="BR70" s="176"/>
    </row>
    <row r="71" spans="2:70" s="117" customFormat="1">
      <c r="B71" s="179"/>
      <c r="C71" s="179"/>
      <c r="D71" s="179"/>
      <c r="E71" s="179"/>
      <c r="F71" s="179"/>
      <c r="G71" s="163"/>
      <c r="H71" s="163"/>
      <c r="I71" s="163"/>
      <c r="J71" s="163"/>
      <c r="K71" s="163"/>
      <c r="L71" s="163"/>
      <c r="M71" s="163"/>
      <c r="N71" s="163"/>
      <c r="O71" s="163"/>
      <c r="P71" s="163"/>
      <c r="Q71" s="163"/>
      <c r="R71" s="163"/>
      <c r="S71" s="163"/>
      <c r="T71" s="163"/>
      <c r="U71" s="163"/>
      <c r="V71" s="163"/>
      <c r="W71" s="163"/>
      <c r="X71" s="163"/>
      <c r="Y71" s="163"/>
      <c r="Z71" s="163"/>
      <c r="AA71" s="163"/>
      <c r="AB71" s="163"/>
      <c r="AC71" s="163"/>
      <c r="AD71" s="179"/>
      <c r="AE71" s="163"/>
      <c r="AF71" s="163"/>
      <c r="AG71" s="163"/>
      <c r="AH71" s="163"/>
      <c r="AI71" s="163"/>
      <c r="AJ71" s="163"/>
      <c r="AK71" s="163"/>
      <c r="AL71" s="163"/>
      <c r="AM71" s="163"/>
      <c r="AN71" s="163"/>
      <c r="AO71" s="163"/>
      <c r="AP71" s="163"/>
      <c r="AQ71" s="163"/>
      <c r="AR71" s="163"/>
      <c r="AS71" s="163"/>
      <c r="AT71" s="179"/>
      <c r="AU71" s="163"/>
      <c r="AV71" s="163"/>
      <c r="AW71" s="163"/>
      <c r="AX71" s="163"/>
      <c r="AY71" s="163"/>
      <c r="AZ71" s="163"/>
      <c r="BA71" s="163"/>
      <c r="BB71" s="179"/>
      <c r="BC71" s="163"/>
      <c r="BD71" s="163"/>
      <c r="BE71" s="163"/>
      <c r="BF71" s="163"/>
      <c r="BG71" s="163"/>
      <c r="BH71" s="163"/>
      <c r="BI71" s="163"/>
      <c r="BJ71" s="163"/>
      <c r="BK71" s="163"/>
      <c r="BL71" s="163"/>
      <c r="BM71" s="163"/>
      <c r="BN71" s="163"/>
      <c r="BO71" s="163"/>
      <c r="BP71" s="163"/>
      <c r="BQ71" s="163"/>
      <c r="BR71" s="176"/>
    </row>
    <row r="72" spans="2:70" s="117" customFormat="1">
      <c r="B72" s="179"/>
      <c r="C72" s="179"/>
      <c r="D72" s="179"/>
      <c r="E72" s="179"/>
      <c r="F72" s="179"/>
      <c r="G72" s="163"/>
      <c r="H72" s="163"/>
      <c r="I72" s="163"/>
      <c r="J72" s="163"/>
      <c r="K72" s="163"/>
      <c r="L72" s="163"/>
      <c r="M72" s="163"/>
      <c r="N72" s="163"/>
      <c r="O72" s="163"/>
      <c r="P72" s="163"/>
      <c r="Q72" s="163"/>
      <c r="R72" s="163"/>
      <c r="S72" s="163"/>
      <c r="T72" s="163"/>
      <c r="U72" s="163"/>
      <c r="V72" s="163"/>
      <c r="W72" s="163"/>
      <c r="X72" s="163"/>
      <c r="Y72" s="163"/>
      <c r="Z72" s="163"/>
      <c r="AA72" s="163"/>
      <c r="AB72" s="163"/>
      <c r="AC72" s="163"/>
      <c r="AD72" s="179"/>
      <c r="AE72" s="163"/>
      <c r="AF72" s="163"/>
      <c r="AG72" s="163"/>
      <c r="AH72" s="163"/>
      <c r="AI72" s="163"/>
      <c r="AJ72" s="163"/>
      <c r="AK72" s="163"/>
      <c r="AL72" s="163"/>
      <c r="AM72" s="163"/>
      <c r="AN72" s="163"/>
      <c r="AO72" s="163"/>
      <c r="AP72" s="163"/>
      <c r="AQ72" s="163"/>
      <c r="AR72" s="163"/>
      <c r="AS72" s="163"/>
      <c r="AT72" s="179"/>
      <c r="AU72" s="163"/>
      <c r="AV72" s="163"/>
      <c r="AW72" s="163"/>
      <c r="AX72" s="163"/>
      <c r="AY72" s="163"/>
      <c r="AZ72" s="163"/>
      <c r="BA72" s="163"/>
      <c r="BB72" s="179"/>
      <c r="BC72" s="163"/>
      <c r="BD72" s="163"/>
      <c r="BE72" s="163"/>
      <c r="BF72" s="163"/>
      <c r="BG72" s="163"/>
      <c r="BH72" s="163"/>
      <c r="BI72" s="163"/>
      <c r="BJ72" s="163"/>
      <c r="BK72" s="163"/>
      <c r="BL72" s="163"/>
      <c r="BM72" s="163"/>
      <c r="BN72" s="163"/>
      <c r="BO72" s="163"/>
      <c r="BP72" s="163"/>
      <c r="BQ72" s="163"/>
      <c r="BR72" s="176"/>
    </row>
    <row r="73" spans="2:70" s="117" customFormat="1" outlineLevel="1">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176"/>
    </row>
    <row r="74" spans="2:70" s="117" customFormat="1" outlineLevel="1">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76"/>
    </row>
    <row r="75" spans="2:70" s="117" customFormat="1" outlineLevel="1">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76"/>
    </row>
    <row r="76" spans="2:70" s="117" customFormat="1" outlineLevel="1">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76"/>
    </row>
    <row r="77" spans="2:70" s="117" customFormat="1" outlineLevel="1">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76"/>
    </row>
    <row r="78" spans="2:70" s="117" customFormat="1" outlineLevel="1">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76"/>
    </row>
    <row r="79" spans="2:70" s="117" customFormat="1" outlineLevel="1">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76"/>
    </row>
    <row r="80" spans="2:70" s="117" customFormat="1" outlineLevel="1">
      <c r="B80" s="157"/>
      <c r="C80" s="157"/>
      <c r="D80" s="157"/>
      <c r="E80" s="157"/>
      <c r="F80" s="157"/>
      <c r="G80" s="95"/>
      <c r="H80" s="95"/>
      <c r="I80" s="95"/>
      <c r="J80" s="95"/>
      <c r="K80" s="95"/>
      <c r="L80" s="95"/>
      <c r="M80" s="95"/>
      <c r="N80" s="95"/>
      <c r="O80" s="95"/>
      <c r="P80" s="95"/>
      <c r="Q80" s="95"/>
      <c r="R80" s="95"/>
      <c r="S80" s="95"/>
      <c r="T80" s="95"/>
      <c r="U80" s="95"/>
      <c r="V80" s="95"/>
      <c r="W80" s="95"/>
      <c r="X80" s="95"/>
      <c r="Y80" s="95"/>
      <c r="Z80" s="95"/>
      <c r="AA80" s="95"/>
      <c r="AB80" s="95"/>
      <c r="AC80" s="95"/>
      <c r="AD80" s="157"/>
      <c r="AE80" s="95"/>
      <c r="AF80" s="95"/>
      <c r="AG80" s="95"/>
      <c r="AH80" s="95"/>
      <c r="AI80" s="95"/>
      <c r="AJ80" s="95"/>
      <c r="AK80" s="95"/>
      <c r="AL80" s="95"/>
      <c r="AM80" s="95"/>
      <c r="AN80" s="95"/>
      <c r="AO80" s="95"/>
      <c r="AP80" s="95"/>
      <c r="AQ80" s="95"/>
      <c r="AR80" s="95"/>
      <c r="AS80" s="95"/>
      <c r="AT80" s="157"/>
      <c r="AU80" s="95"/>
      <c r="AV80" s="95"/>
      <c r="AW80" s="95"/>
      <c r="AX80" s="95"/>
      <c r="AY80" s="95"/>
      <c r="AZ80" s="95"/>
      <c r="BA80" s="95"/>
      <c r="BB80" s="157"/>
      <c r="BC80" s="95"/>
      <c r="BD80" s="95"/>
      <c r="BE80" s="95"/>
      <c r="BF80" s="95"/>
      <c r="BG80" s="95"/>
      <c r="BH80" s="95"/>
      <c r="BI80" s="95"/>
      <c r="BJ80" s="95"/>
      <c r="BK80" s="95"/>
      <c r="BL80" s="95"/>
      <c r="BM80" s="95"/>
      <c r="BN80" s="95"/>
      <c r="BO80" s="95"/>
      <c r="BP80" s="95"/>
      <c r="BQ80" s="95"/>
      <c r="BR80" s="176"/>
    </row>
    <row r="81" spans="2:70" s="117" customFormat="1" outlineLevel="1">
      <c r="B81" s="95"/>
      <c r="C81" s="95"/>
      <c r="D81" s="95"/>
      <c r="E81" s="95"/>
      <c r="F81" s="95"/>
      <c r="G81" s="159"/>
      <c r="H81" s="159"/>
      <c r="I81" s="159"/>
      <c r="J81" s="159"/>
      <c r="K81" s="159"/>
      <c r="L81" s="159"/>
      <c r="M81" s="159"/>
      <c r="N81" s="159"/>
      <c r="O81" s="159"/>
      <c r="P81" s="159"/>
      <c r="Q81" s="159"/>
      <c r="R81" s="159"/>
      <c r="S81" s="159"/>
      <c r="T81" s="159"/>
      <c r="U81" s="159"/>
      <c r="V81" s="159"/>
      <c r="W81" s="159"/>
      <c r="X81" s="159"/>
      <c r="Y81" s="159"/>
      <c r="Z81" s="159"/>
      <c r="AA81" s="159"/>
      <c r="AB81" s="159"/>
      <c r="AC81" s="159"/>
      <c r="AD81" s="95"/>
      <c r="AE81" s="159"/>
      <c r="AF81" s="159"/>
      <c r="AG81" s="159"/>
      <c r="AH81" s="159"/>
      <c r="AI81" s="159"/>
      <c r="AJ81" s="159"/>
      <c r="AK81" s="159"/>
      <c r="AL81" s="159"/>
      <c r="AM81" s="159"/>
      <c r="AN81" s="159"/>
      <c r="AO81" s="159"/>
      <c r="AP81" s="159"/>
      <c r="AQ81" s="159"/>
      <c r="AR81" s="159"/>
      <c r="AS81" s="159"/>
      <c r="AT81" s="95"/>
      <c r="AU81" s="159"/>
      <c r="AV81" s="159"/>
      <c r="AW81" s="159"/>
      <c r="AX81" s="159"/>
      <c r="AY81" s="159"/>
      <c r="AZ81" s="159"/>
      <c r="BA81" s="159"/>
      <c r="BB81" s="95"/>
      <c r="BC81" s="159"/>
      <c r="BD81" s="159"/>
      <c r="BE81" s="159"/>
      <c r="BF81" s="159"/>
      <c r="BG81" s="159"/>
      <c r="BH81" s="159"/>
      <c r="BI81" s="159"/>
      <c r="BJ81" s="159"/>
      <c r="BK81" s="159"/>
      <c r="BL81" s="159"/>
      <c r="BM81" s="159"/>
      <c r="BN81" s="159"/>
      <c r="BO81" s="159"/>
      <c r="BP81" s="159"/>
      <c r="BQ81" s="159"/>
      <c r="BR81" s="176"/>
    </row>
    <row r="82" spans="2:70" s="117" customFormat="1" outlineLevel="1">
      <c r="B82" s="95"/>
      <c r="C82" s="95"/>
      <c r="D82" s="95"/>
      <c r="E82" s="95"/>
      <c r="F82" s="95"/>
      <c r="G82" s="95"/>
      <c r="H82" s="95"/>
      <c r="I82" s="95"/>
      <c r="AD82" s="95"/>
      <c r="AE82" s="95"/>
      <c r="AF82" s="95"/>
      <c r="AH82" s="95"/>
      <c r="AI82" s="95"/>
      <c r="AJ82" s="95"/>
      <c r="AK82" s="95"/>
      <c r="AL82" s="95"/>
      <c r="AM82" s="95"/>
      <c r="AN82" s="95"/>
      <c r="AO82" s="95"/>
      <c r="AT82" s="95"/>
      <c r="AU82" s="95"/>
      <c r="AV82" s="95"/>
      <c r="BB82" s="95"/>
      <c r="BC82" s="95"/>
      <c r="BD82" s="95"/>
      <c r="BF82" s="95"/>
      <c r="BG82" s="95"/>
      <c r="BH82" s="95"/>
      <c r="BI82" s="95"/>
      <c r="BJ82" s="95"/>
      <c r="BK82" s="95"/>
      <c r="BL82" s="95"/>
      <c r="BM82" s="95"/>
      <c r="BN82" s="95"/>
      <c r="BO82" s="95"/>
      <c r="BP82" s="95"/>
      <c r="BQ82" s="95"/>
      <c r="BR82" s="176"/>
    </row>
    <row r="83" spans="2:70" s="117" customFormat="1">
      <c r="B83" s="179"/>
      <c r="C83" s="179"/>
      <c r="D83" s="179"/>
      <c r="E83" s="179"/>
      <c r="F83" s="179"/>
      <c r="G83" s="163"/>
      <c r="H83" s="163"/>
      <c r="I83" s="163"/>
      <c r="J83" s="163"/>
      <c r="K83" s="163"/>
      <c r="L83" s="163"/>
      <c r="M83" s="163"/>
      <c r="N83" s="163"/>
      <c r="O83" s="163"/>
      <c r="P83" s="163"/>
      <c r="Q83" s="163"/>
      <c r="R83" s="163"/>
      <c r="S83" s="163"/>
      <c r="T83" s="163"/>
      <c r="U83" s="163"/>
      <c r="V83" s="163"/>
      <c r="W83" s="163"/>
      <c r="X83" s="163"/>
      <c r="Y83" s="163"/>
      <c r="Z83" s="163"/>
      <c r="AA83" s="163"/>
      <c r="AB83" s="163"/>
      <c r="AC83" s="163"/>
      <c r="AD83" s="179"/>
      <c r="AE83" s="163"/>
      <c r="AF83" s="163"/>
      <c r="AG83" s="163"/>
      <c r="AH83" s="163"/>
      <c r="AI83" s="163"/>
      <c r="AJ83" s="163"/>
      <c r="AK83" s="163"/>
      <c r="AL83" s="163"/>
      <c r="AM83" s="163"/>
      <c r="AN83" s="163"/>
      <c r="AO83" s="163"/>
      <c r="AP83" s="163"/>
      <c r="AQ83" s="163"/>
      <c r="AR83" s="163"/>
      <c r="AS83" s="163"/>
      <c r="AT83" s="179"/>
      <c r="AU83" s="163"/>
      <c r="AV83" s="163"/>
      <c r="AW83" s="163"/>
      <c r="AX83" s="163"/>
      <c r="AY83" s="163"/>
      <c r="AZ83" s="163"/>
      <c r="BA83" s="163"/>
      <c r="BB83" s="179"/>
      <c r="BC83" s="163"/>
      <c r="BD83" s="163"/>
      <c r="BE83" s="163"/>
      <c r="BF83" s="163"/>
      <c r="BG83" s="163"/>
      <c r="BH83" s="163"/>
      <c r="BI83" s="163"/>
      <c r="BJ83" s="163"/>
      <c r="BK83" s="163"/>
      <c r="BL83" s="163"/>
      <c r="BM83" s="163"/>
      <c r="BN83" s="163"/>
      <c r="BO83" s="163"/>
      <c r="BP83" s="163"/>
      <c r="BQ83" s="163"/>
      <c r="BR83" s="176"/>
    </row>
    <row r="84" spans="2:70" s="117" customFormat="1">
      <c r="B84" s="179"/>
      <c r="C84" s="179"/>
      <c r="D84" s="179"/>
      <c r="E84" s="179"/>
      <c r="F84" s="179"/>
      <c r="G84" s="163"/>
      <c r="H84" s="163"/>
      <c r="I84" s="163"/>
      <c r="J84" s="163"/>
      <c r="K84" s="163"/>
      <c r="L84" s="163"/>
      <c r="M84" s="163"/>
      <c r="N84" s="163"/>
      <c r="O84" s="163"/>
      <c r="P84" s="163"/>
      <c r="Q84" s="163"/>
      <c r="R84" s="163"/>
      <c r="S84" s="163"/>
      <c r="T84" s="163"/>
      <c r="U84" s="163"/>
      <c r="V84" s="163"/>
      <c r="W84" s="163"/>
      <c r="X84" s="163"/>
      <c r="Y84" s="163"/>
      <c r="Z84" s="163"/>
      <c r="AA84" s="163"/>
      <c r="AB84" s="163"/>
      <c r="AC84" s="163"/>
      <c r="AD84" s="179"/>
      <c r="AE84" s="163"/>
      <c r="AF84" s="163"/>
      <c r="AG84" s="163"/>
      <c r="AH84" s="163"/>
      <c r="AI84" s="163"/>
      <c r="AJ84" s="163"/>
      <c r="AK84" s="163"/>
      <c r="AL84" s="163"/>
      <c r="AM84" s="163"/>
      <c r="AN84" s="163"/>
      <c r="AO84" s="163"/>
      <c r="AP84" s="163"/>
      <c r="AQ84" s="163"/>
      <c r="AR84" s="163"/>
      <c r="AS84" s="163"/>
      <c r="AT84" s="179"/>
      <c r="AU84" s="163"/>
      <c r="AV84" s="163"/>
      <c r="AW84" s="163"/>
      <c r="AX84" s="163"/>
      <c r="AY84" s="163"/>
      <c r="AZ84" s="163"/>
      <c r="BA84" s="163"/>
      <c r="BB84" s="179"/>
      <c r="BC84" s="163"/>
      <c r="BD84" s="163"/>
      <c r="BE84" s="163"/>
      <c r="BF84" s="163"/>
      <c r="BG84" s="163"/>
      <c r="BH84" s="163"/>
      <c r="BI84" s="163"/>
      <c r="BJ84" s="163"/>
      <c r="BK84" s="163"/>
      <c r="BL84" s="163"/>
      <c r="BM84" s="163"/>
      <c r="BN84" s="163"/>
      <c r="BO84" s="163"/>
      <c r="BP84" s="163"/>
      <c r="BQ84" s="163"/>
      <c r="BR84" s="176"/>
    </row>
    <row r="85" spans="2:70" s="117" customFormat="1">
      <c r="B85" s="179"/>
      <c r="C85" s="179"/>
      <c r="D85" s="179"/>
      <c r="E85" s="179"/>
      <c r="F85" s="179"/>
      <c r="G85" s="163"/>
      <c r="H85" s="163"/>
      <c r="I85" s="163"/>
      <c r="J85" s="163"/>
      <c r="K85" s="163"/>
      <c r="L85" s="163"/>
      <c r="M85" s="163"/>
      <c r="N85" s="163"/>
      <c r="O85" s="163"/>
      <c r="P85" s="163"/>
      <c r="Q85" s="163"/>
      <c r="R85" s="163"/>
      <c r="S85" s="163"/>
      <c r="T85" s="163"/>
      <c r="U85" s="163"/>
      <c r="V85" s="163"/>
      <c r="W85" s="163"/>
      <c r="X85" s="163"/>
      <c r="Y85" s="163"/>
      <c r="Z85" s="163"/>
      <c r="AA85" s="163"/>
      <c r="AB85" s="163"/>
      <c r="AC85" s="163"/>
      <c r="AD85" s="179"/>
      <c r="AE85" s="163"/>
      <c r="AF85" s="163"/>
      <c r="AG85" s="163"/>
      <c r="AH85" s="163"/>
      <c r="AI85" s="163"/>
      <c r="AJ85" s="163"/>
      <c r="AK85" s="163"/>
      <c r="AL85" s="163"/>
      <c r="AM85" s="163"/>
      <c r="AN85" s="163"/>
      <c r="AO85" s="163"/>
      <c r="AP85" s="163"/>
      <c r="AQ85" s="163"/>
      <c r="AR85" s="163"/>
      <c r="AS85" s="163"/>
      <c r="AT85" s="179"/>
      <c r="AU85" s="163"/>
      <c r="AV85" s="163"/>
      <c r="AW85" s="163"/>
      <c r="AX85" s="163"/>
      <c r="AY85" s="163"/>
      <c r="AZ85" s="163"/>
      <c r="BA85" s="163"/>
      <c r="BB85" s="179"/>
      <c r="BC85" s="163"/>
      <c r="BD85" s="163"/>
      <c r="BE85" s="163"/>
      <c r="BF85" s="163"/>
      <c r="BG85" s="163"/>
      <c r="BH85" s="163"/>
      <c r="BI85" s="163"/>
      <c r="BJ85" s="163"/>
      <c r="BK85" s="163"/>
      <c r="BL85" s="163"/>
      <c r="BM85" s="163"/>
      <c r="BN85" s="163"/>
      <c r="BO85" s="163"/>
      <c r="BP85" s="163"/>
      <c r="BQ85" s="163"/>
      <c r="BR85" s="176"/>
    </row>
    <row r="86" spans="2:70" s="117" customFormat="1" outlineLevel="1">
      <c r="B86" s="179"/>
      <c r="C86" s="179"/>
      <c r="D86" s="179"/>
      <c r="E86" s="179"/>
      <c r="F86" s="179"/>
      <c r="G86" s="163"/>
      <c r="H86" s="163"/>
      <c r="I86" s="163"/>
      <c r="J86" s="163"/>
      <c r="K86" s="163"/>
      <c r="L86" s="163"/>
      <c r="M86" s="163"/>
      <c r="N86" s="163"/>
      <c r="O86" s="163"/>
      <c r="P86" s="163"/>
      <c r="Q86" s="163"/>
      <c r="R86" s="163"/>
      <c r="S86" s="163"/>
      <c r="T86" s="163"/>
      <c r="U86" s="163"/>
      <c r="V86" s="163"/>
      <c r="W86" s="163"/>
      <c r="X86" s="163"/>
      <c r="Y86" s="163"/>
      <c r="Z86" s="163"/>
      <c r="AA86" s="163"/>
      <c r="AB86" s="163"/>
      <c r="AC86" s="163"/>
      <c r="AD86" s="179"/>
      <c r="AE86" s="163"/>
      <c r="AF86" s="163"/>
      <c r="AG86" s="163"/>
      <c r="AH86" s="163"/>
      <c r="AI86" s="163"/>
      <c r="AJ86" s="163"/>
      <c r="AK86" s="163"/>
      <c r="AL86" s="163"/>
      <c r="AM86" s="163"/>
      <c r="AN86" s="163"/>
      <c r="AO86" s="163"/>
      <c r="AP86" s="163"/>
      <c r="AQ86" s="163"/>
      <c r="AR86" s="163"/>
      <c r="AS86" s="163"/>
      <c r="AT86" s="179"/>
      <c r="AU86" s="163"/>
      <c r="AV86" s="163"/>
      <c r="AW86" s="163"/>
      <c r="AX86" s="163"/>
      <c r="AY86" s="163"/>
      <c r="AZ86" s="163"/>
      <c r="BA86" s="163"/>
      <c r="BB86" s="179"/>
      <c r="BC86" s="163"/>
      <c r="BD86" s="163"/>
      <c r="BE86" s="163"/>
      <c r="BF86" s="163"/>
      <c r="BG86" s="163"/>
      <c r="BH86" s="163"/>
      <c r="BI86" s="163"/>
      <c r="BJ86" s="163"/>
      <c r="BK86" s="163"/>
      <c r="BL86" s="163"/>
      <c r="BM86" s="163"/>
      <c r="BN86" s="163"/>
      <c r="BO86" s="163"/>
      <c r="BP86" s="163"/>
      <c r="BQ86" s="163"/>
      <c r="BR86" s="176"/>
    </row>
    <row r="87" spans="2:70" s="117" customFormat="1" outlineLevel="1">
      <c r="B87" s="179"/>
      <c r="C87" s="179"/>
      <c r="D87" s="179"/>
      <c r="E87" s="179"/>
      <c r="F87" s="179"/>
      <c r="G87" s="163"/>
      <c r="H87" s="163"/>
      <c r="I87" s="163"/>
      <c r="J87" s="163"/>
      <c r="K87" s="163"/>
      <c r="L87" s="163"/>
      <c r="M87" s="163"/>
      <c r="N87" s="163"/>
      <c r="O87" s="163"/>
      <c r="P87" s="163"/>
      <c r="Q87" s="163"/>
      <c r="R87" s="163"/>
      <c r="S87" s="163"/>
      <c r="T87" s="163"/>
      <c r="U87" s="163"/>
      <c r="V87" s="163"/>
      <c r="W87" s="163"/>
      <c r="X87" s="163"/>
      <c r="Y87" s="163"/>
      <c r="Z87" s="163"/>
      <c r="AA87" s="163"/>
      <c r="AB87" s="163"/>
      <c r="AC87" s="163"/>
      <c r="AD87" s="179"/>
      <c r="AE87" s="163"/>
      <c r="AF87" s="163"/>
      <c r="AG87" s="163"/>
      <c r="AH87" s="163"/>
      <c r="AI87" s="163"/>
      <c r="AJ87" s="163"/>
      <c r="AK87" s="163"/>
      <c r="AL87" s="163"/>
      <c r="AM87" s="163"/>
      <c r="AN87" s="163"/>
      <c r="AO87" s="163"/>
      <c r="AP87" s="163"/>
      <c r="AQ87" s="163"/>
      <c r="AR87" s="163"/>
      <c r="AS87" s="163"/>
      <c r="AT87" s="179"/>
      <c r="AU87" s="163"/>
      <c r="AV87" s="163"/>
      <c r="AW87" s="163"/>
      <c r="AX87" s="163"/>
      <c r="AY87" s="163"/>
      <c r="AZ87" s="163"/>
      <c r="BA87" s="163"/>
      <c r="BB87" s="179"/>
      <c r="BC87" s="163"/>
      <c r="BD87" s="163"/>
      <c r="BE87" s="163"/>
      <c r="BF87" s="163"/>
      <c r="BG87" s="163"/>
      <c r="BH87" s="163"/>
      <c r="BI87" s="163"/>
      <c r="BJ87" s="163"/>
      <c r="BK87" s="163"/>
      <c r="BL87" s="163"/>
      <c r="BM87" s="163"/>
      <c r="BN87" s="163"/>
      <c r="BO87" s="163"/>
      <c r="BP87" s="163"/>
      <c r="BQ87" s="163"/>
      <c r="BR87" s="176"/>
    </row>
    <row r="88" spans="2:70" s="117" customFormat="1" outlineLevel="1">
      <c r="B88" s="179"/>
      <c r="C88" s="179"/>
      <c r="D88" s="179"/>
      <c r="E88" s="179"/>
      <c r="F88" s="179"/>
      <c r="G88" s="163"/>
      <c r="H88" s="163"/>
      <c r="I88" s="163"/>
      <c r="J88" s="163"/>
      <c r="K88" s="163"/>
      <c r="L88" s="163"/>
      <c r="M88" s="163"/>
      <c r="N88" s="163"/>
      <c r="O88" s="163"/>
      <c r="P88" s="163"/>
      <c r="Q88" s="163"/>
      <c r="R88" s="163"/>
      <c r="S88" s="163"/>
      <c r="T88" s="163"/>
      <c r="U88" s="163"/>
      <c r="V88" s="163"/>
      <c r="W88" s="163"/>
      <c r="X88" s="163"/>
      <c r="Y88" s="163"/>
      <c r="Z88" s="163"/>
      <c r="AA88" s="163"/>
      <c r="AB88" s="163"/>
      <c r="AC88" s="163"/>
      <c r="AD88" s="179"/>
      <c r="AE88" s="163"/>
      <c r="AF88" s="163"/>
      <c r="AG88" s="163"/>
      <c r="AH88" s="163"/>
      <c r="AI88" s="163"/>
      <c r="AJ88" s="163"/>
      <c r="AK88" s="163"/>
      <c r="AL88" s="163"/>
      <c r="AM88" s="163"/>
      <c r="AN88" s="163"/>
      <c r="AO88" s="163"/>
      <c r="AP88" s="163"/>
      <c r="AQ88" s="163"/>
      <c r="AR88" s="163"/>
      <c r="AS88" s="163"/>
      <c r="AT88" s="179"/>
      <c r="AU88" s="163"/>
      <c r="AV88" s="163"/>
      <c r="AW88" s="163"/>
      <c r="AX88" s="163"/>
      <c r="AY88" s="163"/>
      <c r="AZ88" s="163"/>
      <c r="BA88" s="163"/>
      <c r="BB88" s="179"/>
      <c r="BC88" s="163"/>
      <c r="BD88" s="163"/>
      <c r="BE88" s="163"/>
      <c r="BF88" s="163"/>
      <c r="BG88" s="163"/>
      <c r="BH88" s="163"/>
      <c r="BI88" s="163"/>
      <c r="BJ88" s="163"/>
      <c r="BK88" s="163"/>
      <c r="BL88" s="163"/>
      <c r="BM88" s="163"/>
      <c r="BN88" s="163"/>
      <c r="BO88" s="163"/>
      <c r="BP88" s="163"/>
      <c r="BQ88" s="163"/>
      <c r="BR88" s="176"/>
    </row>
    <row r="89" spans="2:70" s="117" customFormat="1" outlineLevel="1">
      <c r="B89" s="179"/>
      <c r="C89" s="179"/>
      <c r="D89" s="179"/>
      <c r="E89" s="179"/>
      <c r="F89" s="179"/>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79"/>
      <c r="AE89" s="163"/>
      <c r="AF89" s="163"/>
      <c r="AG89" s="163"/>
      <c r="AH89" s="163"/>
      <c r="AI89" s="163"/>
      <c r="AJ89" s="163"/>
      <c r="AK89" s="163"/>
      <c r="AL89" s="163"/>
      <c r="AM89" s="163"/>
      <c r="AN89" s="163"/>
      <c r="AO89" s="163"/>
      <c r="AP89" s="163"/>
      <c r="AQ89" s="163"/>
      <c r="AR89" s="163"/>
      <c r="AS89" s="163"/>
      <c r="AT89" s="179"/>
      <c r="AU89" s="163"/>
      <c r="AV89" s="163"/>
      <c r="AW89" s="163"/>
      <c r="AX89" s="163"/>
      <c r="AY89" s="163"/>
      <c r="AZ89" s="163"/>
      <c r="BA89" s="163"/>
      <c r="BB89" s="179"/>
      <c r="BC89" s="163"/>
      <c r="BD89" s="163"/>
      <c r="BE89" s="163"/>
      <c r="BF89" s="163"/>
      <c r="BG89" s="163"/>
      <c r="BH89" s="163"/>
      <c r="BI89" s="163"/>
      <c r="BJ89" s="163"/>
      <c r="BK89" s="163"/>
      <c r="BL89" s="163"/>
      <c r="BM89" s="163"/>
      <c r="BN89" s="163"/>
      <c r="BO89" s="163"/>
      <c r="BP89" s="163"/>
      <c r="BQ89" s="163"/>
      <c r="BR89" s="176"/>
    </row>
    <row r="90" spans="2:70" s="117" customFormat="1" outlineLevel="1">
      <c r="B90" s="179"/>
      <c r="C90" s="179"/>
      <c r="D90" s="179"/>
      <c r="E90" s="179"/>
      <c r="F90" s="179"/>
      <c r="G90" s="163"/>
      <c r="H90" s="163"/>
      <c r="I90" s="163"/>
      <c r="J90" s="163"/>
      <c r="K90" s="163"/>
      <c r="L90" s="163"/>
      <c r="M90" s="163"/>
      <c r="N90" s="163"/>
      <c r="O90" s="163"/>
      <c r="P90" s="163"/>
      <c r="Q90" s="163"/>
      <c r="R90" s="163"/>
      <c r="S90" s="163"/>
      <c r="T90" s="163"/>
      <c r="U90" s="163"/>
      <c r="V90" s="163"/>
      <c r="W90" s="163"/>
      <c r="X90" s="163"/>
      <c r="Y90" s="163"/>
      <c r="Z90" s="163"/>
      <c r="AA90" s="163"/>
      <c r="AB90" s="163"/>
      <c r="AC90" s="163"/>
      <c r="AD90" s="179"/>
      <c r="AE90" s="163"/>
      <c r="AF90" s="163"/>
      <c r="AG90" s="163"/>
      <c r="AH90" s="163"/>
      <c r="AI90" s="163"/>
      <c r="AJ90" s="163"/>
      <c r="AK90" s="163"/>
      <c r="AL90" s="163"/>
      <c r="AM90" s="163"/>
      <c r="AN90" s="163"/>
      <c r="AO90" s="163"/>
      <c r="AP90" s="163"/>
      <c r="AQ90" s="163"/>
      <c r="AR90" s="163"/>
      <c r="AS90" s="163"/>
      <c r="AT90" s="179"/>
      <c r="AU90" s="163"/>
      <c r="AV90" s="163"/>
      <c r="AW90" s="163"/>
      <c r="AX90" s="163"/>
      <c r="AY90" s="163"/>
      <c r="AZ90" s="163"/>
      <c r="BA90" s="163"/>
      <c r="BB90" s="179"/>
      <c r="BC90" s="163"/>
      <c r="BD90" s="163"/>
      <c r="BE90" s="163"/>
      <c r="BF90" s="163"/>
      <c r="BG90" s="163"/>
      <c r="BH90" s="163"/>
      <c r="BI90" s="163"/>
      <c r="BJ90" s="163"/>
      <c r="BK90" s="163"/>
      <c r="BL90" s="163"/>
      <c r="BM90" s="163"/>
      <c r="BN90" s="163"/>
      <c r="BO90" s="163"/>
      <c r="BP90" s="163"/>
      <c r="BQ90" s="163"/>
      <c r="BR90" s="176"/>
    </row>
    <row r="91" spans="2:70" s="117" customFormat="1" outlineLevel="1">
      <c r="B91" s="179"/>
      <c r="C91" s="179"/>
      <c r="D91" s="179"/>
      <c r="E91" s="179"/>
      <c r="F91" s="179"/>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79"/>
      <c r="AE91" s="163"/>
      <c r="AF91" s="163"/>
      <c r="AG91" s="163"/>
      <c r="AH91" s="163"/>
      <c r="AI91" s="163"/>
      <c r="AJ91" s="163"/>
      <c r="AK91" s="163"/>
      <c r="AL91" s="163"/>
      <c r="AM91" s="163"/>
      <c r="AN91" s="163"/>
      <c r="AO91" s="163"/>
      <c r="AP91" s="163"/>
      <c r="AQ91" s="163"/>
      <c r="AR91" s="163"/>
      <c r="AS91" s="163"/>
      <c r="AT91" s="179"/>
      <c r="AU91" s="163"/>
      <c r="AV91" s="163"/>
      <c r="AW91" s="163"/>
      <c r="AX91" s="163"/>
      <c r="AY91" s="163"/>
      <c r="AZ91" s="163"/>
      <c r="BA91" s="163"/>
      <c r="BB91" s="179"/>
      <c r="BC91" s="163"/>
      <c r="BD91" s="163"/>
      <c r="BE91" s="163"/>
      <c r="BF91" s="163"/>
      <c r="BG91" s="163"/>
      <c r="BH91" s="163"/>
      <c r="BI91" s="163"/>
      <c r="BJ91" s="163"/>
      <c r="BK91" s="163"/>
      <c r="BL91" s="163"/>
      <c r="BM91" s="163"/>
      <c r="BN91" s="163"/>
      <c r="BO91" s="163"/>
      <c r="BP91" s="163"/>
      <c r="BQ91" s="163"/>
      <c r="BR91" s="176"/>
    </row>
    <row r="92" spans="2:70" s="117" customFormat="1" outlineLevel="1">
      <c r="B92" s="179"/>
      <c r="C92" s="179"/>
      <c r="D92" s="179"/>
      <c r="E92" s="179"/>
      <c r="F92" s="179"/>
      <c r="G92" s="163"/>
      <c r="H92" s="163"/>
      <c r="I92" s="163"/>
      <c r="J92" s="163"/>
      <c r="K92" s="163"/>
      <c r="L92" s="163"/>
      <c r="M92" s="163"/>
      <c r="N92" s="163"/>
      <c r="O92" s="163"/>
      <c r="P92" s="163"/>
      <c r="Q92" s="163"/>
      <c r="R92" s="163"/>
      <c r="S92" s="163"/>
      <c r="T92" s="163"/>
      <c r="U92" s="163"/>
      <c r="V92" s="163"/>
      <c r="W92" s="163"/>
      <c r="X92" s="163"/>
      <c r="Y92" s="163"/>
      <c r="Z92" s="163"/>
      <c r="AA92" s="163"/>
      <c r="AB92" s="163"/>
      <c r="AC92" s="163"/>
      <c r="AD92" s="179"/>
      <c r="AE92" s="163"/>
      <c r="AF92" s="163"/>
      <c r="AG92" s="163"/>
      <c r="AH92" s="163"/>
      <c r="AI92" s="163"/>
      <c r="AJ92" s="163"/>
      <c r="AK92" s="163"/>
      <c r="AL92" s="163"/>
      <c r="AM92" s="163"/>
      <c r="AN92" s="163"/>
      <c r="AO92" s="163"/>
      <c r="AP92" s="163"/>
      <c r="AQ92" s="163"/>
      <c r="AR92" s="163"/>
      <c r="AS92" s="163"/>
      <c r="AT92" s="179"/>
      <c r="AU92" s="163"/>
      <c r="AV92" s="163"/>
      <c r="AW92" s="163"/>
      <c r="AX92" s="163"/>
      <c r="AY92" s="163"/>
      <c r="AZ92" s="163"/>
      <c r="BA92" s="163"/>
      <c r="BB92" s="179"/>
      <c r="BC92" s="163"/>
      <c r="BD92" s="163"/>
      <c r="BE92" s="163"/>
      <c r="BF92" s="163"/>
      <c r="BG92" s="163"/>
      <c r="BH92" s="163"/>
      <c r="BI92" s="163"/>
      <c r="BJ92" s="163"/>
      <c r="BK92" s="163"/>
      <c r="BL92" s="163"/>
      <c r="BM92" s="163"/>
      <c r="BN92" s="163"/>
      <c r="BO92" s="163"/>
      <c r="BP92" s="163"/>
      <c r="BQ92" s="163"/>
      <c r="BR92" s="176"/>
    </row>
    <row r="93" spans="2:70" s="117" customFormat="1" outlineLevel="1">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176"/>
    </row>
    <row r="94" spans="2:70" s="117" customFormat="1" outlineLevel="1">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76"/>
    </row>
    <row r="95" spans="2:70" s="117" customFormat="1" outlineLevel="1">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76"/>
    </row>
    <row r="96" spans="2:70" s="117" customFormat="1" outlineLevel="1">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76"/>
    </row>
    <row r="97" spans="2:70" s="117" customFormat="1" outlineLevel="1">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76"/>
    </row>
    <row r="98" spans="2:70" s="117" customFormat="1" outlineLevel="1">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76"/>
    </row>
    <row r="99" spans="2:70" s="117" customFormat="1">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76"/>
    </row>
    <row r="100" spans="2:70" s="117" customFormat="1">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6"/>
    </row>
    <row r="101" spans="2:70" s="117" customFormat="1">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6"/>
    </row>
    <row r="102" spans="2:70" s="117" customFormat="1">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6"/>
    </row>
    <row r="103" spans="2:70" s="117" customFormat="1">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6"/>
    </row>
    <row r="104" spans="2:70" s="117" customFormat="1">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6"/>
    </row>
    <row r="105" spans="2:70" s="168" customFormat="1"/>
    <row r="106" spans="2:70" s="168" customFormat="1"/>
    <row r="107" spans="2:70" s="117" customFormat="1">
      <c r="B107" s="173"/>
      <c r="C107" s="173"/>
      <c r="D107" s="173"/>
      <c r="E107" s="173"/>
      <c r="F107" s="173"/>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173"/>
      <c r="AE107" s="95"/>
      <c r="AF107" s="95"/>
      <c r="AG107" s="95"/>
      <c r="AH107" s="95"/>
      <c r="AI107" s="95"/>
      <c r="AJ107" s="95"/>
      <c r="AK107" s="95"/>
      <c r="AL107" s="95"/>
      <c r="AM107" s="95"/>
      <c r="AN107" s="95"/>
      <c r="AO107" s="95"/>
      <c r="AP107" s="95"/>
      <c r="AQ107" s="95"/>
      <c r="AR107" s="95"/>
      <c r="AS107" s="95"/>
      <c r="AT107" s="173"/>
      <c r="AU107" s="95"/>
      <c r="AV107" s="95"/>
      <c r="AW107" s="95"/>
      <c r="AX107" s="95"/>
      <c r="AY107" s="95"/>
      <c r="AZ107" s="95"/>
      <c r="BA107" s="95"/>
      <c r="BB107" s="173"/>
      <c r="BC107" s="95"/>
      <c r="BD107" s="95"/>
      <c r="BE107" s="95"/>
      <c r="BF107" s="95"/>
      <c r="BG107" s="95"/>
      <c r="BH107" s="95"/>
      <c r="BI107" s="95"/>
      <c r="BJ107" s="95"/>
      <c r="BK107" s="95"/>
      <c r="BL107" s="95"/>
      <c r="BM107" s="95"/>
      <c r="BN107" s="95"/>
      <c r="BO107" s="95"/>
      <c r="BP107" s="95"/>
      <c r="BQ107" s="95"/>
      <c r="BR107" s="176"/>
    </row>
    <row r="108" spans="2:70" s="117" customFormat="1">
      <c r="B108" s="95"/>
      <c r="C108" s="95"/>
      <c r="D108" s="95"/>
      <c r="E108" s="95"/>
      <c r="F108" s="95"/>
      <c r="G108" s="177"/>
      <c r="H108" s="177"/>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95"/>
      <c r="AE108" s="177"/>
      <c r="AF108" s="177"/>
      <c r="AG108" s="177"/>
      <c r="AH108" s="177"/>
      <c r="AI108" s="177"/>
      <c r="AJ108" s="177"/>
      <c r="AK108" s="177"/>
      <c r="AL108" s="177"/>
      <c r="AM108" s="177"/>
      <c r="AN108" s="177"/>
      <c r="AO108" s="177"/>
      <c r="AP108" s="177"/>
      <c r="AQ108" s="177"/>
      <c r="AR108" s="177"/>
      <c r="AS108" s="177"/>
      <c r="AT108" s="95"/>
      <c r="AU108" s="177"/>
      <c r="AV108" s="177"/>
      <c r="AW108" s="177"/>
      <c r="AX108" s="177"/>
      <c r="AY108" s="177"/>
      <c r="AZ108" s="177"/>
      <c r="BA108" s="177"/>
      <c r="BB108" s="95"/>
      <c r="BC108" s="177"/>
      <c r="BD108" s="177"/>
      <c r="BE108" s="177"/>
      <c r="BF108" s="177"/>
      <c r="BG108" s="177"/>
      <c r="BH108" s="177"/>
      <c r="BI108" s="177"/>
      <c r="BJ108" s="177"/>
      <c r="BK108" s="177"/>
      <c r="BL108" s="177"/>
      <c r="BM108" s="177"/>
      <c r="BN108" s="177"/>
      <c r="BO108" s="177"/>
      <c r="BP108" s="177"/>
      <c r="BQ108" s="177"/>
      <c r="BR108" s="176"/>
    </row>
    <row r="109" spans="2:70" s="117" customFormat="1">
      <c r="B109" s="95"/>
      <c r="C109" s="95"/>
      <c r="D109" s="95"/>
      <c r="E109" s="95"/>
      <c r="F109" s="95"/>
      <c r="G109" s="95"/>
      <c r="H109" s="95"/>
      <c r="I109" s="95"/>
      <c r="AD109" s="95"/>
      <c r="AE109" s="95"/>
      <c r="AF109" s="95"/>
      <c r="AH109" s="95"/>
      <c r="AI109" s="95"/>
      <c r="AJ109" s="95"/>
      <c r="AK109" s="95"/>
      <c r="AL109" s="95"/>
      <c r="AM109" s="95"/>
      <c r="AN109" s="95"/>
      <c r="AO109" s="95"/>
      <c r="AT109" s="95"/>
      <c r="AU109" s="95"/>
      <c r="AV109" s="95"/>
      <c r="BB109" s="95"/>
      <c r="BC109" s="95"/>
      <c r="BD109" s="95"/>
      <c r="BF109" s="95"/>
      <c r="BG109" s="95"/>
      <c r="BH109" s="95"/>
      <c r="BI109" s="95"/>
      <c r="BJ109" s="95"/>
      <c r="BK109" s="95"/>
      <c r="BL109" s="95"/>
      <c r="BM109" s="95"/>
      <c r="BN109" s="95"/>
      <c r="BO109" s="95"/>
      <c r="BP109" s="95"/>
      <c r="BQ109" s="95"/>
      <c r="BR109" s="176"/>
    </row>
    <row r="110" spans="2:70" s="117" customFormat="1">
      <c r="B110" s="179"/>
      <c r="C110" s="179"/>
      <c r="D110" s="179"/>
      <c r="E110" s="179"/>
      <c r="F110" s="179"/>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79"/>
      <c r="AE110" s="163"/>
      <c r="AF110" s="163"/>
      <c r="AG110" s="163"/>
      <c r="AH110" s="163"/>
      <c r="AI110" s="163"/>
      <c r="AJ110" s="163"/>
      <c r="AK110" s="163"/>
      <c r="AL110" s="163"/>
      <c r="AM110" s="163"/>
      <c r="AN110" s="163"/>
      <c r="AO110" s="163"/>
      <c r="AP110" s="163"/>
      <c r="AQ110" s="163"/>
      <c r="AR110" s="163"/>
      <c r="AS110" s="163"/>
      <c r="AT110" s="179"/>
      <c r="AU110" s="163"/>
      <c r="AV110" s="163"/>
      <c r="AW110" s="163"/>
      <c r="AX110" s="163"/>
      <c r="AY110" s="163"/>
      <c r="AZ110" s="163"/>
      <c r="BA110" s="163"/>
      <c r="BB110" s="179"/>
      <c r="BC110" s="163"/>
      <c r="BD110" s="163"/>
      <c r="BE110" s="163"/>
      <c r="BF110" s="163"/>
      <c r="BG110" s="163"/>
      <c r="BH110" s="163"/>
      <c r="BI110" s="163"/>
      <c r="BJ110" s="163"/>
      <c r="BK110" s="163"/>
      <c r="BL110" s="163"/>
      <c r="BM110" s="163"/>
      <c r="BN110" s="163"/>
      <c r="BO110" s="163"/>
      <c r="BP110" s="163"/>
      <c r="BQ110" s="163"/>
      <c r="BR110" s="176"/>
    </row>
    <row r="111" spans="2:70" s="117" customFormat="1">
      <c r="B111" s="179"/>
      <c r="C111" s="179"/>
      <c r="D111" s="179"/>
      <c r="E111" s="179"/>
      <c r="F111" s="179"/>
      <c r="G111" s="163"/>
      <c r="H111" s="163"/>
      <c r="I111" s="163"/>
      <c r="J111" s="163"/>
      <c r="K111" s="163"/>
      <c r="L111" s="163"/>
      <c r="M111" s="163"/>
      <c r="N111" s="163"/>
      <c r="O111" s="163"/>
      <c r="P111" s="163"/>
      <c r="Q111" s="163"/>
      <c r="R111" s="163"/>
      <c r="S111" s="163"/>
      <c r="T111" s="163"/>
      <c r="U111" s="163"/>
      <c r="V111" s="163"/>
      <c r="W111" s="163"/>
      <c r="X111" s="163"/>
      <c r="Y111" s="163"/>
      <c r="Z111" s="163"/>
      <c r="AA111" s="163"/>
      <c r="AB111" s="163"/>
      <c r="AC111" s="163"/>
      <c r="AD111" s="179"/>
      <c r="AE111" s="163"/>
      <c r="AF111" s="163"/>
      <c r="AG111" s="163"/>
      <c r="AH111" s="163"/>
      <c r="AI111" s="163"/>
      <c r="AJ111" s="163"/>
      <c r="AK111" s="163"/>
      <c r="AL111" s="163"/>
      <c r="AM111" s="163"/>
      <c r="AN111" s="163"/>
      <c r="AO111" s="163"/>
      <c r="AP111" s="163"/>
      <c r="AQ111" s="163"/>
      <c r="AR111" s="163"/>
      <c r="AS111" s="163"/>
      <c r="AT111" s="179"/>
      <c r="AU111" s="163"/>
      <c r="AV111" s="163"/>
      <c r="AW111" s="163"/>
      <c r="AX111" s="163"/>
      <c r="AY111" s="163"/>
      <c r="AZ111" s="163"/>
      <c r="BA111" s="163"/>
      <c r="BB111" s="179"/>
      <c r="BC111" s="163"/>
      <c r="BD111" s="163"/>
      <c r="BE111" s="163"/>
      <c r="BF111" s="163"/>
      <c r="BG111" s="163"/>
      <c r="BH111" s="163"/>
      <c r="BI111" s="163"/>
      <c r="BJ111" s="163"/>
      <c r="BK111" s="163"/>
      <c r="BL111" s="163"/>
      <c r="BM111" s="163"/>
      <c r="BN111" s="163"/>
      <c r="BO111" s="163"/>
      <c r="BP111" s="163"/>
      <c r="BQ111" s="163"/>
      <c r="BR111" s="176"/>
    </row>
    <row r="112" spans="2:70" s="117" customFormat="1">
      <c r="B112" s="179"/>
      <c r="C112" s="179"/>
      <c r="D112" s="179"/>
      <c r="E112" s="179"/>
      <c r="F112" s="179"/>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79"/>
      <c r="AE112" s="163"/>
      <c r="AF112" s="163"/>
      <c r="AG112" s="163"/>
      <c r="AH112" s="163"/>
      <c r="AI112" s="163"/>
      <c r="AJ112" s="163"/>
      <c r="AK112" s="163"/>
      <c r="AL112" s="163"/>
      <c r="AM112" s="163"/>
      <c r="AN112" s="163"/>
      <c r="AO112" s="163"/>
      <c r="AP112" s="163"/>
      <c r="AQ112" s="163"/>
      <c r="AR112" s="163"/>
      <c r="AS112" s="163"/>
      <c r="AT112" s="179"/>
      <c r="AU112" s="163"/>
      <c r="AV112" s="163"/>
      <c r="AW112" s="163"/>
      <c r="AX112" s="163"/>
      <c r="AY112" s="163"/>
      <c r="AZ112" s="163"/>
      <c r="BA112" s="163"/>
      <c r="BB112" s="179"/>
      <c r="BC112" s="163"/>
      <c r="BD112" s="163"/>
      <c r="BE112" s="163"/>
      <c r="BF112" s="163"/>
      <c r="BG112" s="163"/>
      <c r="BH112" s="163"/>
      <c r="BI112" s="163"/>
      <c r="BJ112" s="163"/>
      <c r="BK112" s="163"/>
      <c r="BL112" s="163"/>
      <c r="BM112" s="163"/>
      <c r="BN112" s="163"/>
      <c r="BO112" s="163"/>
      <c r="BP112" s="163"/>
      <c r="BQ112" s="163"/>
      <c r="BR112" s="176"/>
    </row>
    <row r="113" spans="1:70" s="117" customFormat="1">
      <c r="B113" s="179"/>
      <c r="C113" s="179"/>
      <c r="D113" s="179"/>
      <c r="E113" s="179"/>
      <c r="F113" s="179"/>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79"/>
      <c r="AE113" s="163"/>
      <c r="AF113" s="163"/>
      <c r="AG113" s="163"/>
      <c r="AH113" s="163"/>
      <c r="AI113" s="163"/>
      <c r="AJ113" s="163"/>
      <c r="AK113" s="163"/>
      <c r="AL113" s="163"/>
      <c r="AM113" s="163"/>
      <c r="AN113" s="163"/>
      <c r="AO113" s="163"/>
      <c r="AP113" s="163"/>
      <c r="AQ113" s="163"/>
      <c r="AR113" s="163"/>
      <c r="AS113" s="163"/>
      <c r="AT113" s="179"/>
      <c r="AU113" s="163"/>
      <c r="AV113" s="163"/>
      <c r="AW113" s="163"/>
      <c r="AX113" s="163"/>
      <c r="AY113" s="163"/>
      <c r="AZ113" s="163"/>
      <c r="BA113" s="163"/>
      <c r="BB113" s="179"/>
      <c r="BC113" s="163"/>
      <c r="BD113" s="163"/>
      <c r="BE113" s="163"/>
      <c r="BF113" s="163"/>
      <c r="BG113" s="163"/>
      <c r="BH113" s="163"/>
      <c r="BI113" s="163"/>
      <c r="BJ113" s="163"/>
      <c r="BK113" s="163"/>
      <c r="BL113" s="163"/>
      <c r="BM113" s="163"/>
      <c r="BN113" s="163"/>
      <c r="BO113" s="163"/>
      <c r="BP113" s="163"/>
      <c r="BQ113" s="163"/>
      <c r="BR113" s="176"/>
    </row>
    <row r="114" spans="1:70" s="117" customFormat="1">
      <c r="B114" s="179"/>
      <c r="C114" s="179"/>
      <c r="D114" s="179"/>
      <c r="E114" s="179"/>
      <c r="F114" s="179"/>
      <c r="G114" s="163"/>
      <c r="H114" s="163"/>
      <c r="I114" s="163"/>
      <c r="J114" s="163"/>
      <c r="K114" s="163"/>
      <c r="L114" s="163"/>
      <c r="M114" s="163"/>
      <c r="N114" s="163"/>
      <c r="O114" s="163"/>
      <c r="P114" s="163"/>
      <c r="Q114" s="163"/>
      <c r="R114" s="163"/>
      <c r="S114" s="163"/>
      <c r="T114" s="163"/>
      <c r="U114" s="163"/>
      <c r="V114" s="163"/>
      <c r="W114" s="163"/>
      <c r="X114" s="163"/>
      <c r="Y114" s="163"/>
      <c r="Z114" s="163"/>
      <c r="AA114" s="163"/>
      <c r="AB114" s="163"/>
      <c r="AC114" s="163"/>
      <c r="AD114" s="179"/>
      <c r="AE114" s="163"/>
      <c r="AF114" s="163"/>
      <c r="AG114" s="163"/>
      <c r="AH114" s="163"/>
      <c r="AI114" s="163"/>
      <c r="AJ114" s="163"/>
      <c r="AK114" s="163"/>
      <c r="AL114" s="163"/>
      <c r="AM114" s="163"/>
      <c r="AN114" s="163"/>
      <c r="AO114" s="163"/>
      <c r="AP114" s="163"/>
      <c r="AQ114" s="163"/>
      <c r="AR114" s="163"/>
      <c r="AS114" s="163"/>
      <c r="AT114" s="179"/>
      <c r="AU114" s="163"/>
      <c r="AV114" s="163"/>
      <c r="AW114" s="163"/>
      <c r="AX114" s="163"/>
      <c r="AY114" s="163"/>
      <c r="AZ114" s="163"/>
      <c r="BA114" s="163"/>
      <c r="BB114" s="179"/>
      <c r="BC114" s="163"/>
      <c r="BD114" s="163"/>
      <c r="BE114" s="163"/>
      <c r="BF114" s="163"/>
      <c r="BG114" s="163"/>
      <c r="BH114" s="163"/>
      <c r="BI114" s="163"/>
      <c r="BJ114" s="163"/>
      <c r="BK114" s="163"/>
      <c r="BL114" s="163"/>
      <c r="BM114" s="163"/>
      <c r="BN114" s="163"/>
      <c r="BO114" s="163"/>
      <c r="BP114" s="163"/>
      <c r="BQ114" s="163"/>
      <c r="BR114" s="176"/>
    </row>
    <row r="115" spans="1:70" s="117" customFormat="1">
      <c r="B115" s="179"/>
      <c r="C115" s="179"/>
      <c r="D115" s="179"/>
      <c r="E115" s="179"/>
      <c r="F115" s="179"/>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79"/>
      <c r="AE115" s="163"/>
      <c r="AF115" s="163"/>
      <c r="AG115" s="163"/>
      <c r="AH115" s="163"/>
      <c r="AI115" s="163"/>
      <c r="AJ115" s="163"/>
      <c r="AK115" s="163"/>
      <c r="AL115" s="163"/>
      <c r="AM115" s="163"/>
      <c r="AN115" s="163"/>
      <c r="AO115" s="163"/>
      <c r="AP115" s="163"/>
      <c r="AQ115" s="163"/>
      <c r="AR115" s="163"/>
      <c r="AS115" s="163"/>
      <c r="AT115" s="179"/>
      <c r="AU115" s="163"/>
      <c r="AV115" s="163"/>
      <c r="AW115" s="163"/>
      <c r="AX115" s="163"/>
      <c r="AY115" s="163"/>
      <c r="AZ115" s="163"/>
      <c r="BA115" s="163"/>
      <c r="BB115" s="179"/>
      <c r="BC115" s="163"/>
      <c r="BD115" s="163"/>
      <c r="BE115" s="163"/>
      <c r="BF115" s="163"/>
      <c r="BG115" s="163"/>
      <c r="BH115" s="163"/>
      <c r="BI115" s="163"/>
      <c r="BJ115" s="163"/>
      <c r="BK115" s="163"/>
      <c r="BL115" s="163"/>
      <c r="BM115" s="163"/>
      <c r="BN115" s="163"/>
      <c r="BO115" s="163"/>
      <c r="BP115" s="163"/>
      <c r="BQ115" s="163"/>
      <c r="BR115" s="176"/>
    </row>
    <row r="116" spans="1:70" s="117" customFormat="1">
      <c r="B116" s="179"/>
      <c r="C116" s="179"/>
      <c r="D116" s="179"/>
      <c r="E116" s="179"/>
      <c r="F116" s="179"/>
      <c r="G116" s="163"/>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79"/>
      <c r="AE116" s="163"/>
      <c r="AF116" s="163"/>
      <c r="AG116" s="163"/>
      <c r="AH116" s="163"/>
      <c r="AI116" s="163"/>
      <c r="AJ116" s="163"/>
      <c r="AK116" s="163"/>
      <c r="AL116" s="163"/>
      <c r="AM116" s="163"/>
      <c r="AN116" s="163"/>
      <c r="AO116" s="163"/>
      <c r="AP116" s="163"/>
      <c r="AQ116" s="163"/>
      <c r="AR116" s="163"/>
      <c r="AS116" s="163"/>
      <c r="AT116" s="179"/>
      <c r="AU116" s="163"/>
      <c r="AV116" s="163"/>
      <c r="AW116" s="163"/>
      <c r="AX116" s="163"/>
      <c r="AY116" s="163"/>
      <c r="AZ116" s="163"/>
      <c r="BA116" s="163"/>
      <c r="BB116" s="179"/>
      <c r="BC116" s="163"/>
      <c r="BD116" s="163"/>
      <c r="BE116" s="163"/>
      <c r="BF116" s="163"/>
      <c r="BG116" s="163"/>
      <c r="BH116" s="163"/>
      <c r="BI116" s="163"/>
      <c r="BJ116" s="163"/>
      <c r="BK116" s="163"/>
      <c r="BL116" s="163"/>
      <c r="BM116" s="163"/>
      <c r="BN116" s="163"/>
      <c r="BO116" s="163"/>
      <c r="BP116" s="163"/>
      <c r="BQ116" s="163"/>
      <c r="BR116" s="176"/>
    </row>
    <row r="117" spans="1:70" s="117" customFormat="1">
      <c r="B117" s="179"/>
      <c r="C117" s="179"/>
      <c r="D117" s="179"/>
      <c r="E117" s="179"/>
      <c r="F117" s="179"/>
      <c r="G117" s="163"/>
      <c r="H117" s="163"/>
      <c r="I117" s="163"/>
      <c r="J117" s="163"/>
      <c r="K117" s="163"/>
      <c r="L117" s="163"/>
      <c r="M117" s="163"/>
      <c r="N117" s="163"/>
      <c r="O117" s="163"/>
      <c r="P117" s="163"/>
      <c r="Q117" s="163"/>
      <c r="R117" s="163"/>
      <c r="S117" s="163"/>
      <c r="T117" s="163"/>
      <c r="U117" s="163"/>
      <c r="V117" s="163"/>
      <c r="W117" s="163"/>
      <c r="X117" s="163"/>
      <c r="Y117" s="163"/>
      <c r="Z117" s="163"/>
      <c r="AA117" s="163"/>
      <c r="AB117" s="163"/>
      <c r="AC117" s="163"/>
      <c r="AD117" s="179"/>
      <c r="AE117" s="163"/>
      <c r="AF117" s="163"/>
      <c r="AG117" s="163"/>
      <c r="AH117" s="163"/>
      <c r="AI117" s="163"/>
      <c r="AJ117" s="163"/>
      <c r="AK117" s="163"/>
      <c r="AL117" s="163"/>
      <c r="AM117" s="163"/>
      <c r="AN117" s="163"/>
      <c r="AO117" s="163"/>
      <c r="AP117" s="163"/>
      <c r="AQ117" s="163"/>
      <c r="AR117" s="163"/>
      <c r="AS117" s="163"/>
      <c r="AT117" s="179"/>
      <c r="AU117" s="163"/>
      <c r="AV117" s="163"/>
      <c r="AW117" s="163"/>
      <c r="AX117" s="163"/>
      <c r="AY117" s="163"/>
      <c r="AZ117" s="163"/>
      <c r="BA117" s="163"/>
      <c r="BB117" s="179"/>
      <c r="BC117" s="163"/>
      <c r="BD117" s="163"/>
      <c r="BE117" s="163"/>
      <c r="BF117" s="163"/>
      <c r="BG117" s="163"/>
      <c r="BH117" s="163"/>
      <c r="BI117" s="163"/>
      <c r="BJ117" s="163"/>
      <c r="BK117" s="163"/>
      <c r="BL117" s="163"/>
      <c r="BM117" s="163"/>
      <c r="BN117" s="163"/>
      <c r="BO117" s="163"/>
      <c r="BP117" s="163"/>
      <c r="BQ117" s="163"/>
      <c r="BR117" s="176"/>
    </row>
    <row r="118" spans="1:70" s="117" customFormat="1">
      <c r="B118" s="179"/>
      <c r="C118" s="179"/>
      <c r="D118" s="179"/>
      <c r="E118" s="179"/>
      <c r="F118" s="179"/>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79"/>
      <c r="AE118" s="163"/>
      <c r="AF118" s="163"/>
      <c r="AG118" s="163"/>
      <c r="AH118" s="163"/>
      <c r="AI118" s="163"/>
      <c r="AJ118" s="163"/>
      <c r="AK118" s="163"/>
      <c r="AL118" s="163"/>
      <c r="AM118" s="163"/>
      <c r="AN118" s="163"/>
      <c r="AO118" s="163"/>
      <c r="AP118" s="163"/>
      <c r="AQ118" s="163"/>
      <c r="AR118" s="163"/>
      <c r="AS118" s="163"/>
      <c r="AT118" s="179"/>
      <c r="AU118" s="163"/>
      <c r="AV118" s="163"/>
      <c r="AW118" s="163"/>
      <c r="AX118" s="163"/>
      <c r="AY118" s="163"/>
      <c r="AZ118" s="163"/>
      <c r="BA118" s="163"/>
      <c r="BB118" s="179"/>
      <c r="BC118" s="163"/>
      <c r="BD118" s="163"/>
      <c r="BE118" s="163"/>
      <c r="BF118" s="163"/>
      <c r="BG118" s="163"/>
      <c r="BH118" s="163"/>
      <c r="BI118" s="163"/>
      <c r="BJ118" s="163"/>
      <c r="BK118" s="163"/>
      <c r="BL118" s="163"/>
      <c r="BM118" s="163"/>
      <c r="BN118" s="163"/>
      <c r="BO118" s="163"/>
      <c r="BP118" s="163"/>
      <c r="BQ118" s="163"/>
      <c r="BR118" s="176"/>
    </row>
    <row r="119" spans="1:70" s="117" customFormat="1">
      <c r="B119" s="179"/>
      <c r="C119" s="179"/>
      <c r="D119" s="179"/>
      <c r="E119" s="179"/>
      <c r="F119" s="179"/>
      <c r="G119" s="163"/>
      <c r="H119" s="163"/>
      <c r="I119" s="163"/>
      <c r="J119" s="163"/>
      <c r="K119" s="163"/>
      <c r="L119" s="163"/>
      <c r="M119" s="163"/>
      <c r="N119" s="163"/>
      <c r="O119" s="163"/>
      <c r="P119" s="163"/>
      <c r="Q119" s="163"/>
      <c r="R119" s="163"/>
      <c r="S119" s="163"/>
      <c r="T119" s="163"/>
      <c r="U119" s="163"/>
      <c r="V119" s="163"/>
      <c r="W119" s="163"/>
      <c r="X119" s="163"/>
      <c r="Y119" s="163"/>
      <c r="Z119" s="163"/>
      <c r="AA119" s="163"/>
      <c r="AB119" s="163"/>
      <c r="AC119" s="163"/>
      <c r="AD119" s="179"/>
      <c r="AE119" s="163"/>
      <c r="AF119" s="163"/>
      <c r="AG119" s="163"/>
      <c r="AH119" s="163"/>
      <c r="AI119" s="163"/>
      <c r="AJ119" s="163"/>
      <c r="AK119" s="163"/>
      <c r="AL119" s="163"/>
      <c r="AM119" s="163"/>
      <c r="AN119" s="163"/>
      <c r="AO119" s="163"/>
      <c r="AP119" s="163"/>
      <c r="AQ119" s="163"/>
      <c r="AR119" s="163"/>
      <c r="AS119" s="163"/>
      <c r="AT119" s="179"/>
      <c r="AU119" s="163"/>
      <c r="AV119" s="163"/>
      <c r="AW119" s="163"/>
      <c r="AX119" s="163"/>
      <c r="AY119" s="163"/>
      <c r="AZ119" s="163"/>
      <c r="BA119" s="163"/>
      <c r="BB119" s="179"/>
      <c r="BC119" s="163"/>
      <c r="BD119" s="163"/>
      <c r="BE119" s="163"/>
      <c r="BF119" s="163"/>
      <c r="BG119" s="163"/>
      <c r="BH119" s="163"/>
      <c r="BI119" s="163"/>
      <c r="BJ119" s="163"/>
      <c r="BK119" s="163"/>
      <c r="BL119" s="163"/>
      <c r="BM119" s="163"/>
      <c r="BN119" s="163"/>
      <c r="BO119" s="163"/>
      <c r="BP119" s="163"/>
      <c r="BQ119" s="163"/>
      <c r="BR119" s="176"/>
    </row>
    <row r="120" spans="1:70" s="117" customFormat="1" outlineLevel="1">
      <c r="B120" s="179"/>
      <c r="C120" s="179"/>
      <c r="D120" s="179"/>
      <c r="E120" s="179"/>
      <c r="F120" s="179"/>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c r="AD120" s="179"/>
      <c r="AE120" s="182"/>
      <c r="AF120" s="182"/>
      <c r="AG120" s="182"/>
      <c r="AH120" s="182"/>
      <c r="AI120" s="182"/>
      <c r="AJ120" s="182"/>
      <c r="AK120" s="182"/>
      <c r="AL120" s="182"/>
      <c r="AM120" s="182"/>
      <c r="AN120" s="182"/>
      <c r="AO120" s="182"/>
      <c r="AP120" s="182"/>
      <c r="AQ120" s="182"/>
      <c r="AR120" s="182"/>
      <c r="AS120" s="182"/>
      <c r="AT120" s="179"/>
      <c r="AU120" s="182"/>
      <c r="AV120" s="182"/>
      <c r="AW120" s="182"/>
      <c r="AX120" s="182"/>
      <c r="AY120" s="182"/>
      <c r="AZ120" s="182"/>
      <c r="BA120" s="182"/>
      <c r="BB120" s="179"/>
      <c r="BC120" s="182"/>
      <c r="BD120" s="182"/>
      <c r="BE120" s="182"/>
      <c r="BF120" s="182"/>
      <c r="BG120" s="182"/>
      <c r="BH120" s="182"/>
      <c r="BI120" s="182"/>
      <c r="BJ120" s="182"/>
      <c r="BK120" s="182"/>
      <c r="BL120" s="182"/>
      <c r="BM120" s="182"/>
      <c r="BN120" s="182"/>
      <c r="BO120" s="182"/>
      <c r="BP120" s="182"/>
      <c r="BQ120" s="182"/>
      <c r="BR120" s="176"/>
    </row>
    <row r="121" spans="1:70" s="117" customFormat="1" outlineLevel="1">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84"/>
    </row>
    <row r="122" spans="1:70" s="117" customFormat="1" outlineLevel="1">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84"/>
    </row>
    <row r="123" spans="1:70" s="117" customFormat="1" outlineLevel="1">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84"/>
    </row>
    <row r="124" spans="1:70" s="117" customFormat="1" outlineLevel="1">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84"/>
    </row>
    <row r="125" spans="1:70" s="117" customFormat="1" outlineLevel="1">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84"/>
    </row>
    <row r="126" spans="1:70" s="117" customFormat="1" outlineLevel="1">
      <c r="A126" s="9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c r="AA126" s="185"/>
      <c r="AB126" s="185"/>
      <c r="AC126" s="185"/>
      <c r="AD126" s="185"/>
      <c r="AE126" s="185"/>
      <c r="AF126" s="185"/>
      <c r="AG126" s="185"/>
      <c r="AH126" s="185"/>
      <c r="AI126" s="185"/>
      <c r="AJ126" s="185"/>
      <c r="AK126" s="185"/>
      <c r="AL126" s="185"/>
      <c r="AM126" s="185"/>
      <c r="AN126" s="185"/>
      <c r="AO126" s="185"/>
      <c r="AP126" s="185"/>
      <c r="AQ126" s="185"/>
      <c r="AR126" s="185"/>
      <c r="AS126" s="185"/>
      <c r="AT126" s="185"/>
      <c r="AU126" s="185"/>
      <c r="AV126" s="185"/>
      <c r="AW126" s="185"/>
      <c r="AX126" s="185"/>
      <c r="AY126" s="185"/>
      <c r="AZ126" s="185"/>
      <c r="BA126" s="185"/>
      <c r="BB126" s="185"/>
      <c r="BC126" s="185"/>
      <c r="BD126" s="185"/>
      <c r="BE126" s="185"/>
      <c r="BF126" s="185"/>
      <c r="BG126" s="185"/>
      <c r="BH126" s="185"/>
      <c r="BI126" s="185"/>
      <c r="BJ126" s="185"/>
      <c r="BK126" s="185"/>
      <c r="BL126" s="185"/>
      <c r="BM126" s="185"/>
      <c r="BN126" s="185"/>
      <c r="BO126" s="185"/>
      <c r="BP126" s="185"/>
      <c r="BQ126" s="185"/>
      <c r="BR126" s="156"/>
    </row>
    <row r="127" spans="1:70" s="117" customFormat="1" outlineLevel="1">
      <c r="B127" s="157"/>
      <c r="C127" s="157"/>
      <c r="D127" s="157"/>
      <c r="E127" s="157"/>
      <c r="F127" s="157"/>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157"/>
      <c r="AE127" s="95"/>
      <c r="AF127" s="95"/>
      <c r="AG127" s="95"/>
      <c r="AH127" s="95"/>
      <c r="AI127" s="95"/>
      <c r="AJ127" s="95"/>
      <c r="AK127" s="95"/>
      <c r="AL127" s="95"/>
      <c r="AM127" s="95"/>
      <c r="AN127" s="95"/>
      <c r="AO127" s="95"/>
      <c r="AP127" s="95"/>
      <c r="AQ127" s="95"/>
      <c r="AR127" s="95"/>
      <c r="AS127" s="95"/>
      <c r="AT127" s="157"/>
      <c r="AU127" s="95"/>
      <c r="AV127" s="95"/>
      <c r="AW127" s="95"/>
      <c r="AX127" s="95"/>
      <c r="AY127" s="95"/>
      <c r="AZ127" s="95"/>
      <c r="BA127" s="95"/>
      <c r="BB127" s="157"/>
      <c r="BC127" s="95"/>
      <c r="BD127" s="95"/>
      <c r="BE127" s="95"/>
      <c r="BF127" s="95"/>
      <c r="BG127" s="95"/>
      <c r="BH127" s="95"/>
      <c r="BI127" s="95"/>
      <c r="BJ127" s="95"/>
      <c r="BK127" s="95"/>
      <c r="BL127" s="95"/>
      <c r="BM127" s="95"/>
      <c r="BN127" s="95"/>
      <c r="BO127" s="95"/>
      <c r="BP127" s="95"/>
      <c r="BQ127" s="95"/>
      <c r="BR127" s="176"/>
    </row>
    <row r="128" spans="1:70" s="117" customFormat="1" outlineLevel="1">
      <c r="B128" s="95"/>
      <c r="C128" s="95"/>
      <c r="D128" s="95"/>
      <c r="E128" s="95"/>
      <c r="F128" s="95"/>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95"/>
      <c r="AE128" s="159"/>
      <c r="AF128" s="159"/>
      <c r="AG128" s="159"/>
      <c r="AH128" s="159"/>
      <c r="AI128" s="159"/>
      <c r="AJ128" s="159"/>
      <c r="AK128" s="159"/>
      <c r="AL128" s="159"/>
      <c r="AM128" s="159"/>
      <c r="AN128" s="159"/>
      <c r="AO128" s="159"/>
      <c r="AP128" s="159"/>
      <c r="AQ128" s="159"/>
      <c r="AR128" s="159"/>
      <c r="AS128" s="159"/>
      <c r="AT128" s="95"/>
      <c r="AU128" s="159"/>
      <c r="AV128" s="159"/>
      <c r="AW128" s="159"/>
      <c r="AX128" s="159"/>
      <c r="AY128" s="159"/>
      <c r="AZ128" s="159"/>
      <c r="BA128" s="159"/>
      <c r="BB128" s="95"/>
      <c r="BC128" s="159"/>
      <c r="BD128" s="159"/>
      <c r="BE128" s="159"/>
      <c r="BF128" s="159"/>
      <c r="BG128" s="159"/>
      <c r="BH128" s="159"/>
      <c r="BI128" s="159"/>
      <c r="BJ128" s="159"/>
      <c r="BK128" s="159"/>
      <c r="BL128" s="159"/>
      <c r="BM128" s="159"/>
      <c r="BN128" s="159"/>
      <c r="BO128" s="159"/>
      <c r="BP128" s="159"/>
      <c r="BQ128" s="159"/>
      <c r="BR128" s="176"/>
    </row>
    <row r="129" spans="2:70" s="117" customFormat="1" outlineLevel="1">
      <c r="B129" s="95"/>
      <c r="C129" s="95"/>
      <c r="D129" s="95"/>
      <c r="E129" s="95"/>
      <c r="F129" s="95"/>
      <c r="G129" s="95"/>
      <c r="H129" s="95"/>
      <c r="I129" s="95"/>
      <c r="AD129" s="95"/>
      <c r="AE129" s="95"/>
      <c r="AF129" s="95"/>
      <c r="AH129" s="95"/>
      <c r="AI129" s="95"/>
      <c r="AJ129" s="95"/>
      <c r="AK129" s="95"/>
      <c r="AL129" s="95"/>
      <c r="AM129" s="95"/>
      <c r="AN129" s="95"/>
      <c r="AO129" s="95"/>
      <c r="AT129" s="95"/>
      <c r="AU129" s="95"/>
      <c r="AV129" s="95"/>
      <c r="BB129" s="95"/>
      <c r="BC129" s="95"/>
      <c r="BD129" s="95"/>
      <c r="BF129" s="95"/>
      <c r="BG129" s="95"/>
      <c r="BH129" s="95"/>
      <c r="BI129" s="95"/>
      <c r="BJ129" s="95"/>
      <c r="BK129" s="95"/>
      <c r="BL129" s="95"/>
      <c r="BM129" s="95"/>
      <c r="BN129" s="95"/>
      <c r="BO129" s="95"/>
      <c r="BP129" s="95"/>
      <c r="BQ129" s="95"/>
      <c r="BR129" s="176"/>
    </row>
    <row r="130" spans="2:70" s="117" customFormat="1">
      <c r="B130" s="179"/>
      <c r="C130" s="179"/>
      <c r="D130" s="179"/>
      <c r="E130" s="179"/>
      <c r="F130" s="179"/>
      <c r="G130" s="163"/>
      <c r="H130" s="163"/>
      <c r="I130" s="163"/>
      <c r="J130" s="163"/>
      <c r="K130" s="163"/>
      <c r="L130" s="163"/>
      <c r="M130" s="163"/>
      <c r="N130" s="163"/>
      <c r="O130" s="163"/>
      <c r="P130" s="163"/>
      <c r="Q130" s="163"/>
      <c r="R130" s="163"/>
      <c r="S130" s="163"/>
      <c r="T130" s="163"/>
      <c r="U130" s="163"/>
      <c r="V130" s="163"/>
      <c r="W130" s="163"/>
      <c r="X130" s="163"/>
      <c r="Y130" s="163"/>
      <c r="Z130" s="163"/>
      <c r="AA130" s="163"/>
      <c r="AB130" s="163"/>
      <c r="AC130" s="163"/>
      <c r="AD130" s="179"/>
      <c r="AE130" s="163"/>
      <c r="AF130" s="163"/>
      <c r="AG130" s="163"/>
      <c r="AH130" s="163"/>
      <c r="AI130" s="163"/>
      <c r="AJ130" s="163"/>
      <c r="AK130" s="163"/>
      <c r="AL130" s="163"/>
      <c r="AM130" s="163"/>
      <c r="AN130" s="163"/>
      <c r="AO130" s="163"/>
      <c r="AP130" s="163"/>
      <c r="AQ130" s="163"/>
      <c r="AR130" s="163"/>
      <c r="AS130" s="163"/>
      <c r="AT130" s="179"/>
      <c r="AU130" s="163"/>
      <c r="AV130" s="163"/>
      <c r="AW130" s="163"/>
      <c r="AX130" s="163"/>
      <c r="AY130" s="163"/>
      <c r="AZ130" s="163"/>
      <c r="BA130" s="163"/>
      <c r="BB130" s="179"/>
      <c r="BC130" s="163"/>
      <c r="BD130" s="163"/>
      <c r="BE130" s="163"/>
      <c r="BF130" s="163"/>
      <c r="BG130" s="163"/>
      <c r="BH130" s="163"/>
      <c r="BI130" s="163"/>
      <c r="BJ130" s="163"/>
      <c r="BK130" s="163"/>
      <c r="BL130" s="163"/>
      <c r="BM130" s="163"/>
      <c r="BN130" s="163"/>
      <c r="BO130" s="163"/>
      <c r="BP130" s="163"/>
      <c r="BQ130" s="163"/>
      <c r="BR130" s="176"/>
    </row>
    <row r="131" spans="2:70" s="117" customFormat="1">
      <c r="B131" s="179"/>
      <c r="C131" s="179"/>
      <c r="D131" s="179"/>
      <c r="E131" s="179"/>
      <c r="F131" s="179"/>
      <c r="G131" s="163"/>
      <c r="H131" s="163"/>
      <c r="I131" s="163"/>
      <c r="J131" s="163"/>
      <c r="K131" s="163"/>
      <c r="L131" s="163"/>
      <c r="M131" s="163"/>
      <c r="N131" s="163"/>
      <c r="O131" s="163"/>
      <c r="P131" s="163"/>
      <c r="Q131" s="163"/>
      <c r="R131" s="163"/>
      <c r="S131" s="163"/>
      <c r="T131" s="163"/>
      <c r="U131" s="163"/>
      <c r="V131" s="163"/>
      <c r="W131" s="163"/>
      <c r="X131" s="163"/>
      <c r="Y131" s="163"/>
      <c r="Z131" s="163"/>
      <c r="AA131" s="163"/>
      <c r="AB131" s="163"/>
      <c r="AC131" s="163"/>
      <c r="AD131" s="179"/>
      <c r="AE131" s="163"/>
      <c r="AF131" s="163"/>
      <c r="AG131" s="163"/>
      <c r="AH131" s="163"/>
      <c r="AI131" s="163"/>
      <c r="AJ131" s="163"/>
      <c r="AK131" s="163"/>
      <c r="AL131" s="163"/>
      <c r="AM131" s="163"/>
      <c r="AN131" s="163"/>
      <c r="AO131" s="163"/>
      <c r="AP131" s="163"/>
      <c r="AQ131" s="163"/>
      <c r="AR131" s="163"/>
      <c r="AS131" s="163"/>
      <c r="AT131" s="179"/>
      <c r="AU131" s="163"/>
      <c r="AV131" s="163"/>
      <c r="AW131" s="163"/>
      <c r="AX131" s="163"/>
      <c r="AY131" s="163"/>
      <c r="AZ131" s="163"/>
      <c r="BA131" s="163"/>
      <c r="BB131" s="179"/>
      <c r="BC131" s="163"/>
      <c r="BD131" s="163"/>
      <c r="BE131" s="163"/>
      <c r="BF131" s="163"/>
      <c r="BG131" s="163"/>
      <c r="BH131" s="163"/>
      <c r="BI131" s="163"/>
      <c r="BJ131" s="163"/>
      <c r="BK131" s="163"/>
      <c r="BL131" s="163"/>
      <c r="BM131" s="163"/>
      <c r="BN131" s="163"/>
      <c r="BO131" s="163"/>
      <c r="BP131" s="163"/>
      <c r="BQ131" s="163"/>
      <c r="BR131" s="176"/>
    </row>
    <row r="132" spans="2:70" s="117" customFormat="1">
      <c r="B132" s="179"/>
      <c r="C132" s="179"/>
      <c r="D132" s="179"/>
      <c r="E132" s="179"/>
      <c r="F132" s="179"/>
      <c r="G132" s="163"/>
      <c r="H132" s="163"/>
      <c r="I132" s="163"/>
      <c r="J132" s="163"/>
      <c r="K132" s="163"/>
      <c r="L132" s="163"/>
      <c r="M132" s="163"/>
      <c r="N132" s="163"/>
      <c r="O132" s="163"/>
      <c r="P132" s="163"/>
      <c r="Q132" s="163"/>
      <c r="R132" s="163"/>
      <c r="S132" s="163"/>
      <c r="T132" s="163"/>
      <c r="U132" s="163"/>
      <c r="V132" s="163"/>
      <c r="W132" s="163"/>
      <c r="X132" s="163"/>
      <c r="Y132" s="163"/>
      <c r="Z132" s="163"/>
      <c r="AA132" s="163"/>
      <c r="AB132" s="163"/>
      <c r="AC132" s="163"/>
      <c r="AD132" s="179"/>
      <c r="AE132" s="163"/>
      <c r="AF132" s="163"/>
      <c r="AG132" s="163"/>
      <c r="AH132" s="163"/>
      <c r="AI132" s="163"/>
      <c r="AJ132" s="163"/>
      <c r="AK132" s="163"/>
      <c r="AL132" s="163"/>
      <c r="AM132" s="163"/>
      <c r="AN132" s="163"/>
      <c r="AO132" s="163"/>
      <c r="AP132" s="163"/>
      <c r="AQ132" s="163"/>
      <c r="AR132" s="163"/>
      <c r="AS132" s="163"/>
      <c r="AT132" s="179"/>
      <c r="AU132" s="163"/>
      <c r="AV132" s="163"/>
      <c r="AW132" s="163"/>
      <c r="AX132" s="163"/>
      <c r="AY132" s="163"/>
      <c r="AZ132" s="163"/>
      <c r="BA132" s="163"/>
      <c r="BB132" s="179"/>
      <c r="BC132" s="163"/>
      <c r="BD132" s="163"/>
      <c r="BE132" s="163"/>
      <c r="BF132" s="163"/>
      <c r="BG132" s="163"/>
      <c r="BH132" s="163"/>
      <c r="BI132" s="163"/>
      <c r="BJ132" s="163"/>
      <c r="BK132" s="163"/>
      <c r="BL132" s="163"/>
      <c r="BM132" s="163"/>
      <c r="BN132" s="163"/>
      <c r="BO132" s="163"/>
      <c r="BP132" s="163"/>
      <c r="BQ132" s="163"/>
      <c r="BR132" s="176"/>
    </row>
    <row r="133" spans="2:70" s="117" customFormat="1" outlineLevel="1">
      <c r="B133" s="179"/>
      <c r="C133" s="179"/>
      <c r="D133" s="179"/>
      <c r="E133" s="179"/>
      <c r="F133" s="179"/>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c r="AD133" s="179"/>
      <c r="AE133" s="163"/>
      <c r="AF133" s="163"/>
      <c r="AG133" s="163"/>
      <c r="AH133" s="163"/>
      <c r="AI133" s="163"/>
      <c r="AJ133" s="163"/>
      <c r="AK133" s="163"/>
      <c r="AL133" s="163"/>
      <c r="AM133" s="163"/>
      <c r="AN133" s="163"/>
      <c r="AO133" s="163"/>
      <c r="AP133" s="163"/>
      <c r="AQ133" s="163"/>
      <c r="AR133" s="163"/>
      <c r="AS133" s="163"/>
      <c r="AT133" s="179"/>
      <c r="AU133" s="163"/>
      <c r="AV133" s="163"/>
      <c r="AW133" s="163"/>
      <c r="AX133" s="163"/>
      <c r="AY133" s="163"/>
      <c r="AZ133" s="163"/>
      <c r="BA133" s="163"/>
      <c r="BB133" s="179"/>
      <c r="BC133" s="163"/>
      <c r="BD133" s="163"/>
      <c r="BE133" s="163"/>
      <c r="BF133" s="163"/>
      <c r="BG133" s="163"/>
      <c r="BH133" s="163"/>
      <c r="BI133" s="163"/>
      <c r="BJ133" s="163"/>
      <c r="BK133" s="163"/>
      <c r="BL133" s="163"/>
      <c r="BM133" s="163"/>
      <c r="BN133" s="163"/>
      <c r="BO133" s="163"/>
      <c r="BP133" s="163"/>
      <c r="BQ133" s="163"/>
      <c r="BR133" s="176"/>
    </row>
    <row r="134" spans="2:70" s="117" customFormat="1" outlineLevel="1">
      <c r="B134" s="179"/>
      <c r="C134" s="179"/>
      <c r="D134" s="179"/>
      <c r="E134" s="179"/>
      <c r="F134" s="179"/>
      <c r="G134" s="163"/>
      <c r="H134" s="163"/>
      <c r="I134" s="163"/>
      <c r="J134" s="163"/>
      <c r="K134" s="163"/>
      <c r="L134" s="163"/>
      <c r="M134" s="163"/>
      <c r="N134" s="163"/>
      <c r="O134" s="163"/>
      <c r="P134" s="163"/>
      <c r="Q134" s="163"/>
      <c r="R134" s="163"/>
      <c r="S134" s="163"/>
      <c r="T134" s="163"/>
      <c r="U134" s="163"/>
      <c r="V134" s="163"/>
      <c r="W134" s="163"/>
      <c r="X134" s="163"/>
      <c r="Y134" s="163"/>
      <c r="Z134" s="163"/>
      <c r="AA134" s="163"/>
      <c r="AB134" s="163"/>
      <c r="AC134" s="163"/>
      <c r="AD134" s="179"/>
      <c r="AE134" s="163"/>
      <c r="AF134" s="163"/>
      <c r="AG134" s="163"/>
      <c r="AH134" s="163"/>
      <c r="AI134" s="163"/>
      <c r="AJ134" s="163"/>
      <c r="AK134" s="163"/>
      <c r="AL134" s="163"/>
      <c r="AM134" s="163"/>
      <c r="AN134" s="163"/>
      <c r="AO134" s="163"/>
      <c r="AP134" s="163"/>
      <c r="AQ134" s="163"/>
      <c r="AR134" s="163"/>
      <c r="AS134" s="163"/>
      <c r="AT134" s="179"/>
      <c r="AU134" s="163"/>
      <c r="AV134" s="163"/>
      <c r="AW134" s="163"/>
      <c r="AX134" s="163"/>
      <c r="AY134" s="163"/>
      <c r="AZ134" s="163"/>
      <c r="BA134" s="163"/>
      <c r="BB134" s="179"/>
      <c r="BC134" s="163"/>
      <c r="BD134" s="163"/>
      <c r="BE134" s="163"/>
      <c r="BF134" s="163"/>
      <c r="BG134" s="163"/>
      <c r="BH134" s="163"/>
      <c r="BI134" s="163"/>
      <c r="BJ134" s="163"/>
      <c r="BK134" s="163"/>
      <c r="BL134" s="163"/>
      <c r="BM134" s="163"/>
      <c r="BN134" s="163"/>
      <c r="BO134" s="163"/>
      <c r="BP134" s="163"/>
      <c r="BQ134" s="163"/>
      <c r="BR134" s="176"/>
    </row>
    <row r="135" spans="2:70" s="117" customFormat="1" outlineLevel="1">
      <c r="B135" s="179"/>
      <c r="C135" s="179"/>
      <c r="D135" s="179"/>
      <c r="E135" s="179"/>
      <c r="F135" s="179"/>
      <c r="G135" s="163"/>
      <c r="H135" s="163"/>
      <c r="I135" s="163"/>
      <c r="J135" s="163"/>
      <c r="K135" s="163"/>
      <c r="L135" s="163"/>
      <c r="M135" s="163"/>
      <c r="N135" s="163"/>
      <c r="O135" s="163"/>
      <c r="P135" s="163"/>
      <c r="Q135" s="163"/>
      <c r="R135" s="163"/>
      <c r="S135" s="163"/>
      <c r="T135" s="163"/>
      <c r="U135" s="163"/>
      <c r="V135" s="163"/>
      <c r="W135" s="163"/>
      <c r="X135" s="163"/>
      <c r="Y135" s="163"/>
      <c r="Z135" s="163"/>
      <c r="AA135" s="163"/>
      <c r="AB135" s="163"/>
      <c r="AC135" s="163"/>
      <c r="AD135" s="179"/>
      <c r="AE135" s="163"/>
      <c r="AF135" s="163"/>
      <c r="AG135" s="163"/>
      <c r="AH135" s="163"/>
      <c r="AI135" s="163"/>
      <c r="AJ135" s="163"/>
      <c r="AK135" s="163"/>
      <c r="AL135" s="163"/>
      <c r="AM135" s="163"/>
      <c r="AN135" s="163"/>
      <c r="AO135" s="163"/>
      <c r="AP135" s="163"/>
      <c r="AQ135" s="163"/>
      <c r="AR135" s="163"/>
      <c r="AS135" s="163"/>
      <c r="AT135" s="179"/>
      <c r="AU135" s="163"/>
      <c r="AV135" s="163"/>
      <c r="AW135" s="163"/>
      <c r="AX135" s="163"/>
      <c r="AY135" s="163"/>
      <c r="AZ135" s="163"/>
      <c r="BA135" s="163"/>
      <c r="BB135" s="179"/>
      <c r="BC135" s="163"/>
      <c r="BD135" s="163"/>
      <c r="BE135" s="163"/>
      <c r="BF135" s="163"/>
      <c r="BG135" s="163"/>
      <c r="BH135" s="163"/>
      <c r="BI135" s="163"/>
      <c r="BJ135" s="163"/>
      <c r="BK135" s="163"/>
      <c r="BL135" s="163"/>
      <c r="BM135" s="163"/>
      <c r="BN135" s="163"/>
      <c r="BO135" s="163"/>
      <c r="BP135" s="163"/>
      <c r="BQ135" s="163"/>
      <c r="BR135" s="176"/>
    </row>
    <row r="136" spans="2:70" s="117" customFormat="1" outlineLevel="1">
      <c r="B136" s="179"/>
      <c r="C136" s="179"/>
      <c r="D136" s="179"/>
      <c r="E136" s="179"/>
      <c r="F136" s="179"/>
      <c r="G136" s="163"/>
      <c r="H136" s="163"/>
      <c r="I136" s="163"/>
      <c r="J136" s="163"/>
      <c r="K136" s="163"/>
      <c r="L136" s="163"/>
      <c r="M136" s="163"/>
      <c r="N136" s="163"/>
      <c r="O136" s="163"/>
      <c r="P136" s="163"/>
      <c r="Q136" s="163"/>
      <c r="R136" s="163"/>
      <c r="S136" s="163"/>
      <c r="T136" s="163"/>
      <c r="U136" s="163"/>
      <c r="V136" s="163"/>
      <c r="W136" s="163"/>
      <c r="X136" s="163"/>
      <c r="Y136" s="163"/>
      <c r="Z136" s="163"/>
      <c r="AA136" s="163"/>
      <c r="AB136" s="163"/>
      <c r="AC136" s="163"/>
      <c r="AD136" s="179"/>
      <c r="AE136" s="163"/>
      <c r="AF136" s="163"/>
      <c r="AG136" s="163"/>
      <c r="AH136" s="163"/>
      <c r="AI136" s="163"/>
      <c r="AJ136" s="163"/>
      <c r="AK136" s="163"/>
      <c r="AL136" s="163"/>
      <c r="AM136" s="163"/>
      <c r="AN136" s="163"/>
      <c r="AO136" s="163"/>
      <c r="AP136" s="163"/>
      <c r="AQ136" s="163"/>
      <c r="AR136" s="163"/>
      <c r="AS136" s="163"/>
      <c r="AT136" s="179"/>
      <c r="AU136" s="163"/>
      <c r="AV136" s="163"/>
      <c r="AW136" s="163"/>
      <c r="AX136" s="163"/>
      <c r="AY136" s="163"/>
      <c r="AZ136" s="163"/>
      <c r="BA136" s="163"/>
      <c r="BB136" s="179"/>
      <c r="BC136" s="163"/>
      <c r="BD136" s="163"/>
      <c r="BE136" s="163"/>
      <c r="BF136" s="163"/>
      <c r="BG136" s="163"/>
      <c r="BH136" s="163"/>
      <c r="BI136" s="163"/>
      <c r="BJ136" s="163"/>
      <c r="BK136" s="163"/>
      <c r="BL136" s="163"/>
      <c r="BM136" s="163"/>
      <c r="BN136" s="163"/>
      <c r="BO136" s="163"/>
      <c r="BP136" s="163"/>
      <c r="BQ136" s="163"/>
      <c r="BR136" s="176"/>
    </row>
    <row r="137" spans="2:70" s="117" customFormat="1" outlineLevel="1">
      <c r="B137" s="179"/>
      <c r="C137" s="179"/>
      <c r="D137" s="179"/>
      <c r="E137" s="179"/>
      <c r="F137" s="179"/>
      <c r="G137" s="163"/>
      <c r="H137" s="163"/>
      <c r="I137" s="163"/>
      <c r="J137" s="163"/>
      <c r="K137" s="163"/>
      <c r="L137" s="163"/>
      <c r="M137" s="163"/>
      <c r="N137" s="163"/>
      <c r="O137" s="163"/>
      <c r="P137" s="163"/>
      <c r="Q137" s="163"/>
      <c r="R137" s="163"/>
      <c r="S137" s="163"/>
      <c r="T137" s="163"/>
      <c r="U137" s="163"/>
      <c r="V137" s="163"/>
      <c r="W137" s="163"/>
      <c r="X137" s="163"/>
      <c r="Y137" s="163"/>
      <c r="Z137" s="163"/>
      <c r="AA137" s="163"/>
      <c r="AB137" s="163"/>
      <c r="AC137" s="163"/>
      <c r="AD137" s="179"/>
      <c r="AE137" s="163"/>
      <c r="AF137" s="163"/>
      <c r="AG137" s="163"/>
      <c r="AH137" s="163"/>
      <c r="AI137" s="163"/>
      <c r="AJ137" s="163"/>
      <c r="AK137" s="163"/>
      <c r="AL137" s="163"/>
      <c r="AM137" s="163"/>
      <c r="AN137" s="163"/>
      <c r="AO137" s="163"/>
      <c r="AP137" s="163"/>
      <c r="AQ137" s="163"/>
      <c r="AR137" s="163"/>
      <c r="AS137" s="163"/>
      <c r="AT137" s="179"/>
      <c r="AU137" s="163"/>
      <c r="AV137" s="163"/>
      <c r="AW137" s="163"/>
      <c r="AX137" s="163"/>
      <c r="AY137" s="163"/>
      <c r="AZ137" s="163"/>
      <c r="BA137" s="163"/>
      <c r="BB137" s="179"/>
      <c r="BC137" s="163"/>
      <c r="BD137" s="163"/>
      <c r="BE137" s="163"/>
      <c r="BF137" s="163"/>
      <c r="BG137" s="163"/>
      <c r="BH137" s="163"/>
      <c r="BI137" s="163"/>
      <c r="BJ137" s="163"/>
      <c r="BK137" s="163"/>
      <c r="BL137" s="163"/>
      <c r="BM137" s="163"/>
      <c r="BN137" s="163"/>
      <c r="BO137" s="163"/>
      <c r="BP137" s="163"/>
      <c r="BQ137" s="163"/>
      <c r="BR137" s="176"/>
    </row>
    <row r="138" spans="2:70" s="117" customFormat="1" outlineLevel="1">
      <c r="B138" s="179"/>
      <c r="C138" s="179"/>
      <c r="D138" s="179"/>
      <c r="E138" s="179"/>
      <c r="F138" s="179"/>
      <c r="G138" s="163"/>
      <c r="H138" s="163"/>
      <c r="I138" s="163"/>
      <c r="J138" s="163"/>
      <c r="K138" s="163"/>
      <c r="L138" s="163"/>
      <c r="M138" s="163"/>
      <c r="N138" s="163"/>
      <c r="O138" s="163"/>
      <c r="P138" s="163"/>
      <c r="Q138" s="163"/>
      <c r="R138" s="163"/>
      <c r="S138" s="163"/>
      <c r="T138" s="163"/>
      <c r="U138" s="163"/>
      <c r="V138" s="163"/>
      <c r="W138" s="163"/>
      <c r="X138" s="163"/>
      <c r="Y138" s="163"/>
      <c r="Z138" s="163"/>
      <c r="AA138" s="163"/>
      <c r="AB138" s="163"/>
      <c r="AC138" s="163"/>
      <c r="AD138" s="179"/>
      <c r="AE138" s="163"/>
      <c r="AF138" s="163"/>
      <c r="AG138" s="163"/>
      <c r="AH138" s="163"/>
      <c r="AI138" s="163"/>
      <c r="AJ138" s="163"/>
      <c r="AK138" s="163"/>
      <c r="AL138" s="163"/>
      <c r="AM138" s="163"/>
      <c r="AN138" s="163"/>
      <c r="AO138" s="163"/>
      <c r="AP138" s="163"/>
      <c r="AQ138" s="163"/>
      <c r="AR138" s="163"/>
      <c r="AS138" s="163"/>
      <c r="AT138" s="179"/>
      <c r="AU138" s="163"/>
      <c r="AV138" s="163"/>
      <c r="AW138" s="163"/>
      <c r="AX138" s="163"/>
      <c r="AY138" s="163"/>
      <c r="AZ138" s="163"/>
      <c r="BA138" s="163"/>
      <c r="BB138" s="179"/>
      <c r="BC138" s="163"/>
      <c r="BD138" s="163"/>
      <c r="BE138" s="163"/>
      <c r="BF138" s="163"/>
      <c r="BG138" s="163"/>
      <c r="BH138" s="163"/>
      <c r="BI138" s="163"/>
      <c r="BJ138" s="163"/>
      <c r="BK138" s="163"/>
      <c r="BL138" s="163"/>
      <c r="BM138" s="163"/>
      <c r="BN138" s="163"/>
      <c r="BO138" s="163"/>
      <c r="BP138" s="163"/>
      <c r="BQ138" s="163"/>
      <c r="BR138" s="176"/>
    </row>
    <row r="139" spans="2:70" s="117" customFormat="1" outlineLevel="1">
      <c r="B139" s="179"/>
      <c r="C139" s="179"/>
      <c r="D139" s="179"/>
      <c r="E139" s="179"/>
      <c r="F139" s="179"/>
      <c r="G139" s="163"/>
      <c r="H139" s="163"/>
      <c r="I139" s="163"/>
      <c r="J139" s="163"/>
      <c r="K139" s="163"/>
      <c r="L139" s="163"/>
      <c r="M139" s="163"/>
      <c r="N139" s="163"/>
      <c r="O139" s="163"/>
      <c r="P139" s="163"/>
      <c r="Q139" s="163"/>
      <c r="R139" s="163"/>
      <c r="S139" s="163"/>
      <c r="T139" s="163"/>
      <c r="U139" s="163"/>
      <c r="V139" s="163"/>
      <c r="W139" s="163"/>
      <c r="X139" s="163"/>
      <c r="Y139" s="163"/>
      <c r="Z139" s="163"/>
      <c r="AA139" s="163"/>
      <c r="AB139" s="163"/>
      <c r="AC139" s="163"/>
      <c r="AD139" s="179"/>
      <c r="AE139" s="163"/>
      <c r="AF139" s="163"/>
      <c r="AG139" s="163"/>
      <c r="AH139" s="163"/>
      <c r="AI139" s="163"/>
      <c r="AJ139" s="163"/>
      <c r="AK139" s="163"/>
      <c r="AL139" s="163"/>
      <c r="AM139" s="163"/>
      <c r="AN139" s="163"/>
      <c r="AO139" s="163"/>
      <c r="AP139" s="163"/>
      <c r="AQ139" s="163"/>
      <c r="AR139" s="163"/>
      <c r="AS139" s="163"/>
      <c r="AT139" s="179"/>
      <c r="AU139" s="163"/>
      <c r="AV139" s="163"/>
      <c r="AW139" s="163"/>
      <c r="AX139" s="163"/>
      <c r="AY139" s="163"/>
      <c r="AZ139" s="163"/>
      <c r="BA139" s="163"/>
      <c r="BB139" s="179"/>
      <c r="BC139" s="163"/>
      <c r="BD139" s="163"/>
      <c r="BE139" s="163"/>
      <c r="BF139" s="163"/>
      <c r="BG139" s="163"/>
      <c r="BH139" s="163"/>
      <c r="BI139" s="163"/>
      <c r="BJ139" s="163"/>
      <c r="BK139" s="163"/>
      <c r="BL139" s="163"/>
      <c r="BM139" s="163"/>
      <c r="BN139" s="163"/>
      <c r="BO139" s="163"/>
      <c r="BP139" s="163"/>
      <c r="BQ139" s="163"/>
      <c r="BR139" s="176"/>
    </row>
    <row r="140" spans="2:70" s="117" customFormat="1" outlineLevel="1">
      <c r="B140" s="179"/>
      <c r="C140" s="179"/>
      <c r="D140" s="179"/>
      <c r="E140" s="179"/>
      <c r="F140" s="179"/>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c r="AD140" s="179"/>
      <c r="AE140" s="182"/>
      <c r="AF140" s="182"/>
      <c r="AG140" s="182"/>
      <c r="AH140" s="182"/>
      <c r="AI140" s="182"/>
      <c r="AJ140" s="182"/>
      <c r="AK140" s="182"/>
      <c r="AL140" s="182"/>
      <c r="AM140" s="182"/>
      <c r="AN140" s="182"/>
      <c r="AO140" s="182"/>
      <c r="AP140" s="182"/>
      <c r="AQ140" s="182"/>
      <c r="AR140" s="182"/>
      <c r="AS140" s="182"/>
      <c r="AT140" s="179"/>
      <c r="AU140" s="182"/>
      <c r="AV140" s="182"/>
      <c r="AW140" s="182"/>
      <c r="AX140" s="182"/>
      <c r="AY140" s="182"/>
      <c r="AZ140" s="182"/>
      <c r="BA140" s="182"/>
      <c r="BB140" s="179"/>
      <c r="BC140" s="182"/>
      <c r="BD140" s="182"/>
      <c r="BE140" s="182"/>
      <c r="BF140" s="182"/>
      <c r="BG140" s="182"/>
      <c r="BH140" s="182"/>
      <c r="BI140" s="182"/>
      <c r="BJ140" s="182"/>
      <c r="BK140" s="182"/>
      <c r="BL140" s="182"/>
      <c r="BM140" s="182"/>
      <c r="BN140" s="182"/>
      <c r="BO140" s="182"/>
      <c r="BP140" s="182"/>
      <c r="BQ140" s="182"/>
      <c r="BR140" s="176"/>
    </row>
    <row r="141" spans="2:70" s="117" customFormat="1" outlineLevel="1">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84"/>
    </row>
    <row r="142" spans="2:70" s="117" customFormat="1" outlineLevel="1">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84"/>
    </row>
    <row r="143" spans="2:70" s="117" customFormat="1" outlineLevel="1">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84"/>
    </row>
    <row r="144" spans="2:70" s="117" customFormat="1" outlineLevel="1">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84"/>
    </row>
    <row r="145" spans="1:70" s="117" customFormat="1" outlineLevel="1">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84"/>
    </row>
    <row r="146" spans="1:70" s="117" customFormat="1">
      <c r="A146" s="95"/>
      <c r="B146" s="187"/>
      <c r="C146" s="187"/>
      <c r="D146" s="187"/>
      <c r="E146" s="187"/>
      <c r="F146" s="187"/>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c r="AC146" s="116"/>
      <c r="AD146" s="187"/>
      <c r="AE146" s="116"/>
      <c r="AF146" s="116"/>
      <c r="AG146" s="116"/>
      <c r="AH146" s="116"/>
      <c r="AI146" s="116"/>
      <c r="AJ146" s="116"/>
      <c r="AK146" s="116"/>
      <c r="AL146" s="116"/>
      <c r="AM146" s="116"/>
      <c r="AN146" s="116"/>
      <c r="AO146" s="116"/>
      <c r="AP146" s="116"/>
      <c r="AQ146" s="116"/>
      <c r="AR146" s="116"/>
      <c r="AS146" s="116"/>
      <c r="AT146" s="187"/>
      <c r="AU146" s="116"/>
      <c r="AV146" s="116"/>
      <c r="AW146" s="116"/>
      <c r="AX146" s="116"/>
      <c r="AY146" s="116"/>
      <c r="AZ146" s="116"/>
      <c r="BA146" s="116"/>
      <c r="BB146" s="187"/>
      <c r="BC146" s="116"/>
      <c r="BD146" s="116"/>
      <c r="BE146" s="116"/>
      <c r="BF146" s="116"/>
      <c r="BG146" s="116"/>
      <c r="BH146" s="116"/>
      <c r="BI146" s="116"/>
      <c r="BJ146" s="116"/>
      <c r="BK146" s="116"/>
      <c r="BL146" s="116"/>
      <c r="BM146" s="116"/>
      <c r="BN146" s="116"/>
      <c r="BO146" s="116"/>
      <c r="BP146" s="116"/>
      <c r="BQ146" s="116"/>
    </row>
    <row r="147" spans="1:70" s="117" customFormat="1">
      <c r="A147" s="95"/>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row>
    <row r="148" spans="1:70" s="117" customFormat="1">
      <c r="A148" s="95"/>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row>
    <row r="149" spans="1:70" s="117" customFormat="1">
      <c r="A149" s="95"/>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row>
    <row r="150" spans="1:70" s="117" customFormat="1">
      <c r="A150" s="95"/>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row>
    <row r="151" spans="1:70" s="117" customFormat="1">
      <c r="A151" s="95"/>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row>
    <row r="152" spans="1:70" s="168" customFormat="1"/>
    <row r="153" spans="1:70" s="117" customFormat="1">
      <c r="B153" s="188"/>
      <c r="C153" s="188"/>
      <c r="D153" s="188"/>
      <c r="E153" s="188"/>
      <c r="F153" s="188"/>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6"/>
      <c r="AC153" s="116"/>
      <c r="AD153" s="188"/>
      <c r="AE153" s="116"/>
      <c r="AF153" s="116"/>
      <c r="AG153" s="116"/>
      <c r="AH153" s="116"/>
      <c r="AI153" s="116"/>
      <c r="AJ153" s="116"/>
      <c r="AK153" s="116"/>
      <c r="AL153" s="116"/>
      <c r="AM153" s="116"/>
      <c r="AN153" s="116"/>
      <c r="AO153" s="116"/>
      <c r="AP153" s="116"/>
      <c r="AQ153" s="116"/>
      <c r="AR153" s="116"/>
      <c r="AS153" s="116"/>
      <c r="AT153" s="188"/>
      <c r="AU153" s="116"/>
      <c r="AV153" s="116"/>
      <c r="AW153" s="116"/>
      <c r="AX153" s="116"/>
      <c r="AY153" s="116"/>
      <c r="AZ153" s="116"/>
      <c r="BA153" s="116"/>
      <c r="BB153" s="188"/>
      <c r="BC153" s="116"/>
      <c r="BD153" s="116"/>
      <c r="BE153" s="116"/>
      <c r="BF153" s="116"/>
      <c r="BG153" s="116"/>
      <c r="BH153" s="116"/>
      <c r="BI153" s="116"/>
      <c r="BJ153" s="116"/>
      <c r="BK153" s="116"/>
      <c r="BL153" s="116"/>
      <c r="BM153" s="116"/>
      <c r="BN153" s="116"/>
      <c r="BO153" s="116"/>
      <c r="BP153" s="116"/>
      <c r="BQ153" s="116"/>
      <c r="BR153" s="176"/>
    </row>
    <row r="154" spans="1:70" s="117" customFormat="1">
      <c r="B154" s="185"/>
      <c r="C154" s="185"/>
      <c r="D154" s="185"/>
      <c r="E154" s="185"/>
      <c r="F154" s="185"/>
      <c r="G154" s="190"/>
      <c r="H154" s="190"/>
      <c r="I154" s="190"/>
      <c r="J154" s="190"/>
      <c r="K154" s="190"/>
      <c r="L154" s="190"/>
      <c r="M154" s="190"/>
      <c r="N154" s="190"/>
      <c r="O154" s="190"/>
      <c r="P154" s="190"/>
      <c r="Q154" s="190"/>
      <c r="R154" s="190"/>
      <c r="S154" s="190"/>
      <c r="T154" s="190"/>
      <c r="U154" s="190"/>
      <c r="V154" s="190"/>
      <c r="W154" s="190"/>
      <c r="X154" s="190"/>
      <c r="Y154" s="190"/>
      <c r="Z154" s="190"/>
      <c r="AA154" s="190"/>
      <c r="AB154" s="190"/>
      <c r="AC154" s="190"/>
      <c r="AD154" s="185"/>
      <c r="AE154" s="190"/>
      <c r="AF154" s="190"/>
      <c r="AG154" s="190"/>
      <c r="AH154" s="190"/>
      <c r="AI154" s="190"/>
      <c r="AJ154" s="190"/>
      <c r="AK154" s="190"/>
      <c r="AL154" s="190"/>
      <c r="AM154" s="190"/>
      <c r="AN154" s="190"/>
      <c r="AO154" s="190"/>
      <c r="AP154" s="190"/>
      <c r="AQ154" s="190"/>
      <c r="AR154" s="190"/>
      <c r="AS154" s="190"/>
      <c r="AT154" s="185"/>
      <c r="AU154" s="190"/>
      <c r="AV154" s="190"/>
      <c r="AW154" s="190"/>
      <c r="AX154" s="190"/>
      <c r="AY154" s="190"/>
      <c r="AZ154" s="190"/>
      <c r="BA154" s="190"/>
      <c r="BB154" s="185"/>
      <c r="BC154" s="190"/>
      <c r="BD154" s="190"/>
      <c r="BE154" s="190"/>
      <c r="BF154" s="190"/>
      <c r="BG154" s="190"/>
      <c r="BH154" s="190"/>
      <c r="BI154" s="190"/>
      <c r="BJ154" s="190"/>
      <c r="BK154" s="190"/>
      <c r="BL154" s="190"/>
      <c r="BM154" s="190"/>
      <c r="BN154" s="190"/>
      <c r="BO154" s="190"/>
      <c r="BP154" s="190"/>
      <c r="BQ154" s="190"/>
      <c r="BR154" s="176"/>
    </row>
    <row r="155" spans="1:70" s="117" customFormat="1">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c r="AA155" s="192"/>
      <c r="AB155" s="192"/>
      <c r="AC155" s="192"/>
      <c r="AD155" s="192"/>
      <c r="AE155" s="192"/>
      <c r="AF155" s="192"/>
      <c r="AG155" s="192"/>
      <c r="AH155" s="192"/>
      <c r="AI155" s="192"/>
      <c r="AJ155" s="192"/>
      <c r="AK155" s="192"/>
      <c r="AL155" s="192"/>
      <c r="AM155" s="192"/>
      <c r="AN155" s="192"/>
      <c r="AO155" s="192"/>
      <c r="AP155" s="192"/>
      <c r="AQ155" s="192"/>
      <c r="AR155" s="192"/>
      <c r="AS155" s="192"/>
      <c r="AT155" s="192"/>
      <c r="AU155" s="192"/>
      <c r="AV155" s="192"/>
      <c r="AW155" s="192"/>
      <c r="AX155" s="192"/>
      <c r="AY155" s="192"/>
      <c r="AZ155" s="192"/>
      <c r="BA155" s="192"/>
      <c r="BB155" s="192"/>
      <c r="BC155" s="192"/>
      <c r="BD155" s="192"/>
      <c r="BE155" s="192"/>
      <c r="BF155" s="192"/>
      <c r="BG155" s="192"/>
      <c r="BH155" s="192"/>
      <c r="BI155" s="192"/>
      <c r="BJ155" s="192"/>
      <c r="BK155" s="192"/>
      <c r="BL155" s="192"/>
      <c r="BM155" s="192"/>
      <c r="BN155" s="192"/>
      <c r="BO155" s="192"/>
      <c r="BP155" s="192"/>
      <c r="BQ155" s="192"/>
      <c r="BR155" s="156"/>
    </row>
    <row r="156" spans="1:70" s="117" customFormat="1">
      <c r="B156" s="118"/>
      <c r="C156" s="118"/>
      <c r="D156" s="118"/>
      <c r="E156" s="118"/>
      <c r="F156" s="118"/>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c r="AD156" s="118"/>
      <c r="AE156" s="193"/>
      <c r="AF156" s="193"/>
      <c r="AG156" s="193"/>
      <c r="AH156" s="193"/>
      <c r="AI156" s="193"/>
      <c r="AJ156" s="193"/>
      <c r="AK156" s="193"/>
      <c r="AL156" s="193"/>
      <c r="AM156" s="193"/>
      <c r="AN156" s="193"/>
      <c r="AO156" s="193"/>
      <c r="AP156" s="193"/>
      <c r="AQ156" s="193"/>
      <c r="AR156" s="193"/>
      <c r="AS156" s="193"/>
      <c r="AT156" s="118"/>
      <c r="AU156" s="193"/>
      <c r="AV156" s="193"/>
      <c r="AW156" s="193"/>
      <c r="AX156" s="193"/>
      <c r="AY156" s="193"/>
      <c r="AZ156" s="193"/>
      <c r="BA156" s="193"/>
      <c r="BB156" s="118"/>
      <c r="BC156" s="193"/>
      <c r="BD156" s="193"/>
      <c r="BE156" s="193"/>
      <c r="BF156" s="193"/>
      <c r="BG156" s="193"/>
      <c r="BH156" s="193"/>
      <c r="BI156" s="193"/>
      <c r="BJ156" s="193"/>
      <c r="BK156" s="193"/>
      <c r="BL156" s="193"/>
      <c r="BM156" s="193"/>
      <c r="BN156" s="193"/>
      <c r="BO156" s="193"/>
      <c r="BP156" s="193"/>
      <c r="BQ156" s="193"/>
      <c r="BR156" s="156"/>
    </row>
    <row r="157" spans="1:70" s="117" customFormat="1">
      <c r="A157" s="95"/>
      <c r="BR157" s="195"/>
    </row>
    <row r="158" spans="1:70" s="117" customFormat="1"/>
    <row r="159" spans="1:70" s="117" customFormat="1">
      <c r="B159" s="196"/>
      <c r="C159" s="196"/>
      <c r="D159" s="196"/>
      <c r="E159" s="196"/>
      <c r="F159" s="196"/>
      <c r="AD159" s="196"/>
      <c r="AT159" s="196"/>
      <c r="BB159" s="196"/>
    </row>
    <row r="160" spans="1:70" s="117" customFormat="1">
      <c r="G160" s="197"/>
      <c r="H160" s="197"/>
      <c r="I160" s="197"/>
      <c r="J160" s="197"/>
      <c r="K160" s="197"/>
      <c r="L160" s="197"/>
      <c r="M160" s="197"/>
      <c r="N160" s="197"/>
      <c r="O160" s="197"/>
      <c r="P160" s="197"/>
      <c r="Q160" s="197"/>
      <c r="R160" s="197"/>
      <c r="S160" s="197"/>
      <c r="T160" s="197"/>
      <c r="U160" s="197"/>
      <c r="V160" s="197"/>
      <c r="W160" s="197"/>
      <c r="X160" s="197"/>
      <c r="Y160" s="197"/>
      <c r="Z160" s="197"/>
      <c r="AA160" s="197"/>
      <c r="AB160" s="197"/>
      <c r="AC160" s="197"/>
      <c r="AE160" s="197"/>
      <c r="AF160" s="197"/>
      <c r="AG160" s="197"/>
      <c r="AP160" s="197"/>
      <c r="AQ160" s="197"/>
      <c r="AR160" s="197"/>
      <c r="AS160" s="197"/>
      <c r="AU160" s="197"/>
      <c r="AV160" s="197"/>
      <c r="AW160" s="197"/>
      <c r="AX160" s="197"/>
      <c r="AY160" s="197"/>
      <c r="AZ160" s="197"/>
      <c r="BA160" s="197"/>
      <c r="BC160" s="197"/>
      <c r="BD160" s="197"/>
      <c r="BE160" s="197"/>
    </row>
    <row r="161" spans="2:69" s="117" customFormat="1">
      <c r="G161" s="197"/>
      <c r="H161" s="197"/>
      <c r="I161" s="197"/>
      <c r="J161" s="197"/>
      <c r="K161" s="197"/>
      <c r="L161" s="197"/>
      <c r="M161" s="197"/>
      <c r="N161" s="197"/>
      <c r="O161" s="197"/>
      <c r="P161" s="197"/>
      <c r="Q161" s="197"/>
      <c r="R161" s="197"/>
      <c r="S161" s="197"/>
      <c r="T161" s="197"/>
      <c r="U161" s="197"/>
      <c r="V161" s="197"/>
      <c r="W161" s="197"/>
      <c r="X161" s="197"/>
      <c r="Y161" s="197"/>
      <c r="Z161" s="197"/>
      <c r="AA161" s="197"/>
      <c r="AB161" s="197"/>
      <c r="AC161" s="197"/>
      <c r="AE161" s="197"/>
      <c r="AF161" s="197"/>
      <c r="AG161" s="197"/>
      <c r="AP161" s="197"/>
      <c r="AQ161" s="197"/>
      <c r="AR161" s="197"/>
      <c r="AS161" s="197"/>
      <c r="AU161" s="197"/>
      <c r="AV161" s="197"/>
      <c r="AW161" s="197"/>
      <c r="AX161" s="197"/>
      <c r="AY161" s="197"/>
      <c r="AZ161" s="197"/>
      <c r="BA161" s="197"/>
      <c r="BC161" s="197"/>
      <c r="BD161" s="197"/>
      <c r="BE161" s="197"/>
    </row>
    <row r="162" spans="2:69" s="117" customFormat="1">
      <c r="G162" s="197"/>
      <c r="H162" s="197"/>
      <c r="I162" s="197"/>
      <c r="J162" s="197"/>
      <c r="K162" s="197"/>
      <c r="L162" s="197"/>
      <c r="M162" s="197"/>
      <c r="N162" s="197"/>
      <c r="O162" s="197"/>
      <c r="P162" s="197"/>
      <c r="Q162" s="197"/>
      <c r="R162" s="197"/>
      <c r="S162" s="197"/>
      <c r="T162" s="197"/>
      <c r="U162" s="197"/>
      <c r="V162" s="197"/>
      <c r="W162" s="197"/>
      <c r="X162" s="197"/>
      <c r="Y162" s="197"/>
      <c r="Z162" s="197"/>
      <c r="AA162" s="197"/>
      <c r="AB162" s="197"/>
      <c r="AC162" s="197"/>
      <c r="AE162" s="197"/>
      <c r="AF162" s="197"/>
      <c r="AG162" s="197"/>
      <c r="AP162" s="197"/>
      <c r="AQ162" s="197"/>
      <c r="AR162" s="197"/>
      <c r="AS162" s="197"/>
      <c r="AU162" s="197"/>
      <c r="AV162" s="197"/>
      <c r="AW162" s="197"/>
      <c r="AX162" s="197"/>
      <c r="AY162" s="197"/>
      <c r="AZ162" s="197"/>
      <c r="BA162" s="197"/>
      <c r="BC162" s="197"/>
      <c r="BD162" s="197"/>
      <c r="BE162" s="197"/>
    </row>
    <row r="163" spans="2:69" s="117" customFormat="1">
      <c r="G163" s="197"/>
      <c r="H163" s="197"/>
      <c r="I163" s="197"/>
      <c r="J163" s="197"/>
      <c r="K163" s="197"/>
      <c r="L163" s="197"/>
      <c r="M163" s="197"/>
      <c r="N163" s="197"/>
      <c r="O163" s="197"/>
      <c r="P163" s="197"/>
      <c r="Q163" s="197"/>
      <c r="R163" s="197"/>
      <c r="S163" s="197"/>
      <c r="T163" s="197"/>
      <c r="U163" s="197"/>
      <c r="V163" s="197"/>
      <c r="W163" s="197"/>
      <c r="X163" s="197"/>
      <c r="Y163" s="197"/>
      <c r="Z163" s="197"/>
      <c r="AA163" s="197"/>
      <c r="AB163" s="197"/>
      <c r="AC163" s="197"/>
      <c r="AE163" s="197"/>
      <c r="AF163" s="197"/>
      <c r="AG163" s="197"/>
      <c r="AP163" s="197"/>
      <c r="AQ163" s="197"/>
      <c r="AR163" s="197"/>
      <c r="AS163" s="197"/>
      <c r="AU163" s="197"/>
      <c r="AV163" s="197"/>
      <c r="AW163" s="197"/>
      <c r="AX163" s="197"/>
      <c r="AY163" s="197"/>
      <c r="AZ163" s="197"/>
      <c r="BA163" s="197"/>
      <c r="BC163" s="197"/>
      <c r="BD163" s="197"/>
      <c r="BE163" s="197"/>
    </row>
    <row r="164" spans="2:69" s="117" customFormat="1">
      <c r="G164" s="197"/>
      <c r="H164" s="197"/>
      <c r="I164" s="197"/>
      <c r="J164" s="197"/>
      <c r="K164" s="197"/>
      <c r="L164" s="197"/>
      <c r="M164" s="197"/>
      <c r="N164" s="197"/>
      <c r="O164" s="197"/>
      <c r="P164" s="197"/>
      <c r="Q164" s="197"/>
      <c r="R164" s="197"/>
      <c r="S164" s="197"/>
      <c r="T164" s="197"/>
      <c r="U164" s="197"/>
      <c r="V164" s="197"/>
      <c r="W164" s="197"/>
      <c r="X164" s="197"/>
      <c r="Y164" s="197"/>
      <c r="Z164" s="197"/>
      <c r="AA164" s="197"/>
      <c r="AB164" s="197"/>
      <c r="AC164" s="197"/>
      <c r="AE164" s="197"/>
      <c r="AF164" s="197"/>
      <c r="AG164" s="197"/>
      <c r="AP164" s="197"/>
      <c r="AQ164" s="197"/>
      <c r="AR164" s="197"/>
      <c r="AS164" s="197"/>
      <c r="AU164" s="197"/>
      <c r="AV164" s="197"/>
      <c r="AW164" s="197"/>
      <c r="AX164" s="197"/>
      <c r="AY164" s="197"/>
      <c r="AZ164" s="197"/>
      <c r="BA164" s="197"/>
      <c r="BC164" s="197"/>
      <c r="BD164" s="197"/>
      <c r="BE164" s="197"/>
    </row>
    <row r="165" spans="2:69" s="117" customFormat="1">
      <c r="G165" s="197"/>
      <c r="H165" s="197"/>
      <c r="I165" s="197"/>
      <c r="J165" s="197"/>
      <c r="K165" s="197"/>
      <c r="L165" s="197"/>
      <c r="M165" s="197"/>
      <c r="N165" s="197"/>
      <c r="O165" s="197"/>
      <c r="P165" s="197"/>
      <c r="Q165" s="197"/>
      <c r="R165" s="197"/>
      <c r="S165" s="197"/>
      <c r="T165" s="197"/>
      <c r="U165" s="197"/>
      <c r="V165" s="197"/>
      <c r="W165" s="197"/>
      <c r="X165" s="197"/>
      <c r="Y165" s="197"/>
      <c r="Z165" s="197"/>
      <c r="AA165" s="197"/>
      <c r="AB165" s="197"/>
      <c r="AC165" s="197"/>
      <c r="AE165" s="197"/>
      <c r="AF165" s="197"/>
      <c r="AG165" s="197"/>
      <c r="AP165" s="197"/>
      <c r="AQ165" s="197"/>
      <c r="AR165" s="197"/>
      <c r="AS165" s="197"/>
      <c r="AU165" s="197"/>
      <c r="AV165" s="197"/>
      <c r="AW165" s="197"/>
      <c r="AX165" s="197"/>
      <c r="AY165" s="197"/>
      <c r="AZ165" s="197"/>
      <c r="BA165" s="197"/>
      <c r="BC165" s="197"/>
      <c r="BD165" s="197"/>
      <c r="BE165" s="197"/>
    </row>
    <row r="166" spans="2:69" s="117" customFormat="1">
      <c r="B166" s="185"/>
      <c r="C166" s="185"/>
      <c r="D166" s="185"/>
      <c r="E166" s="185"/>
      <c r="F166" s="185"/>
      <c r="AD166" s="185"/>
      <c r="AT166" s="185"/>
      <c r="BB166" s="185"/>
    </row>
    <row r="167" spans="2:69" s="117" customFormat="1">
      <c r="B167" s="185"/>
      <c r="C167" s="185"/>
      <c r="D167" s="185"/>
      <c r="E167" s="185"/>
      <c r="F167" s="185"/>
      <c r="AD167" s="185"/>
      <c r="AT167" s="185"/>
      <c r="BB167" s="185"/>
    </row>
    <row r="168" spans="2:69" s="117" customFormat="1"/>
    <row r="169" spans="2:69" s="117" customFormat="1"/>
    <row r="170" spans="2:69" s="117" customFormat="1"/>
    <row r="171" spans="2:69" s="117" customFormat="1"/>
    <row r="172" spans="2:69" ht="15">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98"/>
      <c r="AM172" s="198"/>
      <c r="AN172" s="198"/>
      <c r="AO172" s="198"/>
      <c r="AP172" s="198"/>
      <c r="AQ172" s="198"/>
      <c r="AR172" s="198"/>
      <c r="AS172" s="198"/>
      <c r="AT172" s="198"/>
      <c r="AU172" s="198"/>
      <c r="AV172" s="198"/>
      <c r="AW172" s="198"/>
      <c r="AX172" s="198"/>
      <c r="AY172" s="198"/>
      <c r="AZ172" s="198"/>
      <c r="BA172" s="198"/>
      <c r="BB172" s="198"/>
      <c r="BC172" s="198"/>
      <c r="BD172" s="198"/>
      <c r="BE172" s="198"/>
      <c r="BF172" s="198"/>
      <c r="BG172" s="198"/>
      <c r="BH172" s="198"/>
      <c r="BI172" s="198"/>
      <c r="BJ172" s="198"/>
      <c r="BK172" s="198"/>
      <c r="BL172" s="198"/>
      <c r="BM172" s="198"/>
      <c r="BN172" s="198"/>
      <c r="BO172" s="198"/>
      <c r="BP172" s="198"/>
      <c r="BQ172" s="198"/>
    </row>
    <row r="173" spans="2:69" ht="15">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98"/>
      <c r="AM173" s="198"/>
      <c r="AN173" s="198"/>
      <c r="AO173" s="198"/>
      <c r="AP173" s="198"/>
      <c r="AQ173" s="198"/>
      <c r="AR173" s="198"/>
      <c r="AS173" s="198"/>
      <c r="AT173" s="198"/>
      <c r="AU173" s="198"/>
      <c r="AV173" s="198"/>
      <c r="AW173" s="198"/>
      <c r="AX173" s="198"/>
      <c r="AY173" s="198"/>
      <c r="AZ173" s="198"/>
      <c r="BA173" s="198"/>
      <c r="BB173" s="198"/>
      <c r="BC173" s="198"/>
      <c r="BD173" s="198"/>
      <c r="BE173" s="198"/>
      <c r="BF173" s="198"/>
      <c r="BG173" s="198"/>
      <c r="BH173" s="198"/>
      <c r="BI173" s="198"/>
      <c r="BJ173" s="198"/>
      <c r="BK173" s="198"/>
      <c r="BL173" s="198"/>
      <c r="BM173" s="198"/>
      <c r="BN173" s="198"/>
      <c r="BO173" s="198"/>
      <c r="BP173" s="198"/>
      <c r="BQ173" s="198"/>
    </row>
    <row r="174" spans="2:69" ht="15">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c r="AE174" s="198"/>
      <c r="AF174" s="198"/>
      <c r="AG174" s="198"/>
      <c r="AH174" s="198"/>
      <c r="AI174" s="198"/>
      <c r="AJ174" s="198"/>
      <c r="AK174" s="198"/>
      <c r="AL174" s="198"/>
      <c r="AM174" s="198"/>
      <c r="AN174" s="198"/>
      <c r="AO174" s="198"/>
      <c r="AP174" s="198"/>
      <c r="AQ174" s="198"/>
      <c r="AR174" s="198"/>
      <c r="AS174" s="198"/>
      <c r="AT174" s="198"/>
      <c r="AU174" s="198"/>
      <c r="AV174" s="198"/>
      <c r="AW174" s="198"/>
      <c r="AX174" s="198"/>
      <c r="AY174" s="198"/>
      <c r="AZ174" s="198"/>
      <c r="BA174" s="198"/>
      <c r="BB174" s="198"/>
      <c r="BC174" s="198"/>
      <c r="BD174" s="198"/>
      <c r="BE174" s="198"/>
      <c r="BF174" s="198"/>
      <c r="BG174" s="198"/>
      <c r="BH174" s="198"/>
      <c r="BI174" s="198"/>
      <c r="BJ174" s="198"/>
      <c r="BK174" s="198"/>
      <c r="BL174" s="198"/>
      <c r="BM174" s="198"/>
      <c r="BN174" s="198"/>
      <c r="BO174" s="198"/>
      <c r="BP174" s="198"/>
      <c r="BQ174" s="198"/>
    </row>
  </sheetData>
  <conditionalFormatting sqref="B4 AH154 G2:J3 B154 AH2:AH4 BN154:BQ154 BN2:BN3 R4 F3:G3 J4 Z4 D154:J154 L154:R154 L4:P4 L2:R3 T2:Z3 T154:Z154 T4:X4 AB154:AC154 AB2:AC4 AJ4:AN4 AJ154:AO154 AJ2:AO3 G4:H4">
    <cfRule type="cellIs" dxfId="84" priority="52" stopIfTrue="1" operator="equal">
      <formula>"input"</formula>
    </cfRule>
  </conditionalFormatting>
  <conditionalFormatting sqref="BR140 BR127:BR129 BR120 BR107:BR109 BR104 BR153:BR154 BR73:BR79 BR60:BR69">
    <cfRule type="cellIs" dxfId="83" priority="53" stopIfTrue="1" operator="equal">
      <formula>"Input"</formula>
    </cfRule>
  </conditionalFormatting>
  <conditionalFormatting sqref="BR70">
    <cfRule type="cellIs" dxfId="82" priority="51" stopIfTrue="1" operator="equal">
      <formula>"Input"</formula>
    </cfRule>
  </conditionalFormatting>
  <conditionalFormatting sqref="BR71">
    <cfRule type="cellIs" dxfId="81" priority="50" stopIfTrue="1" operator="equal">
      <formula>"Input"</formula>
    </cfRule>
  </conditionalFormatting>
  <conditionalFormatting sqref="BR72">
    <cfRule type="cellIs" dxfId="80" priority="49" stopIfTrue="1" operator="equal">
      <formula>"Input"</formula>
    </cfRule>
  </conditionalFormatting>
  <conditionalFormatting sqref="BR110:BR115">
    <cfRule type="cellIs" dxfId="79" priority="48" stopIfTrue="1" operator="equal">
      <formula>"Input"</formula>
    </cfRule>
  </conditionalFormatting>
  <conditionalFormatting sqref="BR116">
    <cfRule type="cellIs" dxfId="78" priority="47" stopIfTrue="1" operator="equal">
      <formula>"Input"</formula>
    </cfRule>
  </conditionalFormatting>
  <conditionalFormatting sqref="BR117">
    <cfRule type="cellIs" dxfId="77" priority="46" stopIfTrue="1" operator="equal">
      <formula>"Input"</formula>
    </cfRule>
  </conditionalFormatting>
  <conditionalFormatting sqref="BR118">
    <cfRule type="cellIs" dxfId="76" priority="45" stopIfTrue="1" operator="equal">
      <formula>"Input"</formula>
    </cfRule>
  </conditionalFormatting>
  <conditionalFormatting sqref="BR119">
    <cfRule type="cellIs" dxfId="75" priority="44" stopIfTrue="1" operator="equal">
      <formula>"Input"</formula>
    </cfRule>
  </conditionalFormatting>
  <conditionalFormatting sqref="BR93:BR103 BR80:BR89">
    <cfRule type="cellIs" dxfId="74" priority="43" stopIfTrue="1" operator="equal">
      <formula>"Input"</formula>
    </cfRule>
  </conditionalFormatting>
  <conditionalFormatting sqref="BR90">
    <cfRule type="cellIs" dxfId="73" priority="42" stopIfTrue="1" operator="equal">
      <formula>"Input"</formula>
    </cfRule>
  </conditionalFormatting>
  <conditionalFormatting sqref="BR91">
    <cfRule type="cellIs" dxfId="72" priority="41" stopIfTrue="1" operator="equal">
      <formula>"Input"</formula>
    </cfRule>
  </conditionalFormatting>
  <conditionalFormatting sqref="BR92">
    <cfRule type="cellIs" dxfId="71" priority="40" stopIfTrue="1" operator="equal">
      <formula>"Input"</formula>
    </cfRule>
  </conditionalFormatting>
  <conditionalFormatting sqref="BR130:BR135">
    <cfRule type="cellIs" dxfId="70" priority="39" stopIfTrue="1" operator="equal">
      <formula>"Input"</formula>
    </cfRule>
  </conditionalFormatting>
  <conditionalFormatting sqref="BR136">
    <cfRule type="cellIs" dxfId="69" priority="38" stopIfTrue="1" operator="equal">
      <formula>"Input"</formula>
    </cfRule>
  </conditionalFormatting>
  <conditionalFormatting sqref="BR137">
    <cfRule type="cellIs" dxfId="68" priority="37" stopIfTrue="1" operator="equal">
      <formula>"Input"</formula>
    </cfRule>
  </conditionalFormatting>
  <conditionalFormatting sqref="BR138">
    <cfRule type="cellIs" dxfId="67" priority="36" stopIfTrue="1" operator="equal">
      <formula>"Input"</formula>
    </cfRule>
  </conditionalFormatting>
  <conditionalFormatting sqref="BR139">
    <cfRule type="cellIs" dxfId="66" priority="35" stopIfTrue="1" operator="equal">
      <formula>"Input"</formula>
    </cfRule>
  </conditionalFormatting>
  <conditionalFormatting sqref="D4:F4">
    <cfRule type="cellIs" dxfId="65" priority="33" stopIfTrue="1" operator="equal">
      <formula>"input"</formula>
    </cfRule>
  </conditionalFormatting>
  <conditionalFormatting sqref="BP2:BQ2">
    <cfRule type="cellIs" dxfId="64" priority="30" stopIfTrue="1" operator="equal">
      <formula>"input"</formula>
    </cfRule>
  </conditionalFormatting>
  <conditionalFormatting sqref="BR2">
    <cfRule type="cellIs" dxfId="63" priority="29" stopIfTrue="1" operator="equal">
      <formula>"input"</formula>
    </cfRule>
  </conditionalFormatting>
  <conditionalFormatting sqref="AE2:AG3 AD154:AG154 AE4:AF4">
    <cfRule type="cellIs" dxfId="62" priority="28" stopIfTrue="1" operator="equal">
      <formula>"input"</formula>
    </cfRule>
  </conditionalFormatting>
  <conditionalFormatting sqref="AD4">
    <cfRule type="cellIs" dxfId="61" priority="27" stopIfTrue="1" operator="equal">
      <formula>"input"</formula>
    </cfRule>
  </conditionalFormatting>
  <conditionalFormatting sqref="BN4">
    <cfRule type="cellIs" dxfId="60" priority="25" stopIfTrue="1" operator="equal">
      <formula>"input"</formula>
    </cfRule>
  </conditionalFormatting>
  <conditionalFormatting sqref="BF154 AX2:AX4 AX154 BF2:BF4 AZ154:BA154 AZ2:BA4 BH4:BL4 BH154:BM154 BH2:BM3">
    <cfRule type="cellIs" dxfId="59" priority="24" stopIfTrue="1" operator="equal">
      <formula>"input"</formula>
    </cfRule>
  </conditionalFormatting>
  <conditionalFormatting sqref="BC2:BE3 BB154:BE154 BC4:BD4">
    <cfRule type="cellIs" dxfId="58" priority="23" stopIfTrue="1" operator="equal">
      <formula>"input"</formula>
    </cfRule>
  </conditionalFormatting>
  <conditionalFormatting sqref="BB4">
    <cfRule type="cellIs" dxfId="57" priority="22" stopIfTrue="1" operator="equal">
      <formula>"input"</formula>
    </cfRule>
  </conditionalFormatting>
  <conditionalFormatting sqref="AP2:AP4 AP154 AR154:AS154 AR2:AS4">
    <cfRule type="cellIs" dxfId="56" priority="20" stopIfTrue="1" operator="equal">
      <formula>"input"</formula>
    </cfRule>
  </conditionalFormatting>
  <conditionalFormatting sqref="AU2:AW3 AT154:AW154 AU4:AV4">
    <cfRule type="cellIs" dxfId="55" priority="19" stopIfTrue="1" operator="equal">
      <formula>"input"</formula>
    </cfRule>
  </conditionalFormatting>
  <conditionalFormatting sqref="AT4">
    <cfRule type="cellIs" dxfId="54" priority="18" stopIfTrue="1" operator="equal">
      <formula>"input"</formula>
    </cfRule>
  </conditionalFormatting>
  <conditionalFormatting sqref="Q4">
    <cfRule type="cellIs" dxfId="53" priority="17" stopIfTrue="1" operator="equal">
      <formula>"input"</formula>
    </cfRule>
  </conditionalFormatting>
  <conditionalFormatting sqref="AG4">
    <cfRule type="cellIs" dxfId="52" priority="16" stopIfTrue="1" operator="equal">
      <formula>"input"</formula>
    </cfRule>
  </conditionalFormatting>
  <conditionalFormatting sqref="AW4">
    <cfRule type="cellIs" dxfId="51" priority="15" stopIfTrue="1" operator="equal">
      <formula>"input"</formula>
    </cfRule>
  </conditionalFormatting>
  <conditionalFormatting sqref="BM4">
    <cfRule type="cellIs" dxfId="50" priority="14" stopIfTrue="1" operator="equal">
      <formula>"input"</formula>
    </cfRule>
  </conditionalFormatting>
  <conditionalFormatting sqref="I4">
    <cfRule type="cellIs" dxfId="49" priority="13" stopIfTrue="1" operator="equal">
      <formula>"input"</formula>
    </cfRule>
  </conditionalFormatting>
  <conditionalFormatting sqref="Y4">
    <cfRule type="cellIs" dxfId="48" priority="12" stopIfTrue="1" operator="equal">
      <formula>"input"</formula>
    </cfRule>
  </conditionalFormatting>
  <conditionalFormatting sqref="AO4">
    <cfRule type="cellIs" dxfId="47" priority="11" stopIfTrue="1" operator="equal">
      <formula>"input"</formula>
    </cfRule>
  </conditionalFormatting>
  <conditionalFormatting sqref="BE4">
    <cfRule type="cellIs" dxfId="46" priority="10" stopIfTrue="1" operator="equal">
      <formula>"input"</formula>
    </cfRule>
  </conditionalFormatting>
  <conditionalFormatting sqref="C154">
    <cfRule type="cellIs" dxfId="45" priority="9" stopIfTrue="1" operator="equal">
      <formula>"input"</formula>
    </cfRule>
  </conditionalFormatting>
  <conditionalFormatting sqref="C4">
    <cfRule type="cellIs" dxfId="44" priority="8" stopIfTrue="1" operator="equal">
      <formula>"input"</formula>
    </cfRule>
  </conditionalFormatting>
  <conditionalFormatting sqref="K154 K2:K4">
    <cfRule type="cellIs" dxfId="43" priority="7" stopIfTrue="1" operator="equal">
      <formula>"input"</formula>
    </cfRule>
  </conditionalFormatting>
  <conditionalFormatting sqref="S154 S2:S4">
    <cfRule type="cellIs" dxfId="42" priority="6" stopIfTrue="1" operator="equal">
      <formula>"input"</formula>
    </cfRule>
  </conditionalFormatting>
  <conditionalFormatting sqref="AA154 AA2:AA4">
    <cfRule type="cellIs" dxfId="41" priority="5" stopIfTrue="1" operator="equal">
      <formula>"input"</formula>
    </cfRule>
  </conditionalFormatting>
  <conditionalFormatting sqref="AI154 AI2:AI4">
    <cfRule type="cellIs" dxfId="40" priority="4" stopIfTrue="1" operator="equal">
      <formula>"input"</formula>
    </cfRule>
  </conditionalFormatting>
  <conditionalFormatting sqref="AQ154 AQ2:AQ4">
    <cfRule type="cellIs" dxfId="39" priority="3" stopIfTrue="1" operator="equal">
      <formula>"input"</formula>
    </cfRule>
  </conditionalFormatting>
  <conditionalFormatting sqref="AY154 AY2:AY4">
    <cfRule type="cellIs" dxfId="38" priority="2" stopIfTrue="1" operator="equal">
      <formula>"input"</formula>
    </cfRule>
  </conditionalFormatting>
  <conditionalFormatting sqref="BG154 BG2:BG4">
    <cfRule type="cellIs" dxfId="37" priority="1" stopIfTrue="1" operator="equal">
      <formula>"input"</formula>
    </cfRule>
  </conditionalFormatting>
  <printOptions horizontalCentered="1"/>
  <pageMargins left="0.7" right="0.7" top="0.75" bottom="0.75" header="0.3" footer="0.3"/>
  <pageSetup scale="88" fitToWidth="0" fitToHeight="0" orientation="landscape" r:id="rId1"/>
  <headerFooter alignWithMargins="0"/>
  <rowBreaks count="2" manualBreakCount="2">
    <brk id="58" max="15" man="1"/>
    <brk id="105" max="15" man="1"/>
  </rowBreaks>
  <colBreaks count="7" manualBreakCount="7">
    <brk id="9" max="31" man="1"/>
    <brk id="17" max="31" man="1"/>
    <brk id="25" max="31" man="1"/>
    <brk id="33" max="31" man="1"/>
    <brk id="41" max="31" man="1"/>
    <brk id="49" max="31" man="1"/>
    <brk id="57" max="31" man="1"/>
  </colBreaks>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2"/>
  <sheetViews>
    <sheetView showGridLines="0" view="pageBreakPreview" zoomScale="85" zoomScaleNormal="100" zoomScaleSheetLayoutView="85" workbookViewId="0">
      <selection activeCell="D21" sqref="D21"/>
    </sheetView>
  </sheetViews>
  <sheetFormatPr defaultColWidth="8" defaultRowHeight="12.75" outlineLevelRow="1"/>
  <cols>
    <col min="1" max="1" width="1.5703125" style="200" customWidth="1"/>
    <col min="2" max="2" width="39.7109375" style="200" customWidth="1"/>
    <col min="3" max="3" width="2.5703125" style="200" customWidth="1"/>
    <col min="4" max="7" width="10.28515625" style="200" customWidth="1"/>
    <col min="8" max="8" width="2.5703125" style="200" customWidth="1"/>
    <col min="9" max="12" width="10.28515625" style="200" customWidth="1"/>
    <col min="13" max="13" width="1.5703125" style="200" customWidth="1"/>
    <col min="14" max="15" width="10.5703125" style="200" customWidth="1"/>
    <col min="16" max="16" width="12.42578125" style="200" bestFit="1" customWidth="1"/>
    <col min="17" max="17" width="10.5703125" style="200" customWidth="1"/>
    <col min="18" max="19" width="8" style="200"/>
    <col min="20" max="20" width="9.140625" style="200" bestFit="1" customWidth="1"/>
    <col min="21" max="21" width="10.85546875" style="200" bestFit="1" customWidth="1"/>
    <col min="22" max="16384" width="8" style="200"/>
  </cols>
  <sheetData>
    <row r="1" spans="1:32" s="78" customFormat="1" ht="17.649999999999999" customHeight="1" thickBot="1">
      <c r="A1" s="77"/>
      <c r="B1" s="79"/>
      <c r="C1" s="79"/>
      <c r="D1" s="79"/>
      <c r="E1" s="79"/>
      <c r="F1" s="79"/>
      <c r="H1" s="79"/>
      <c r="I1" s="79"/>
      <c r="J1" s="79"/>
      <c r="K1" s="79"/>
      <c r="N1" s="717"/>
      <c r="O1" s="717"/>
      <c r="P1" s="717"/>
      <c r="Q1" s="172"/>
      <c r="R1" s="172"/>
    </row>
    <row r="2" spans="1:32" s="81" customFormat="1" ht="16.5" thickTop="1">
      <c r="A2" s="505"/>
      <c r="B2" s="82" t="str">
        <f>Outline!B2</f>
        <v>Satellite Healthcare WB Santa Cruz Valuation</v>
      </c>
      <c r="C2" s="83"/>
      <c r="D2" s="82"/>
      <c r="E2" s="83"/>
      <c r="F2" s="83"/>
      <c r="G2" s="506"/>
      <c r="H2" s="83"/>
      <c r="I2" s="82"/>
      <c r="J2" s="83"/>
      <c r="K2" s="83"/>
      <c r="L2" s="506"/>
      <c r="N2" s="97"/>
      <c r="O2" s="1051" t="s">
        <v>132</v>
      </c>
      <c r="P2" s="1052"/>
      <c r="Q2" s="1053">
        <f>'E1'!$AX$2</f>
        <v>43465</v>
      </c>
      <c r="R2" s="97"/>
    </row>
    <row r="3" spans="1:32" s="81" customFormat="1" ht="15.75">
      <c r="A3" s="507"/>
      <c r="B3" s="89" t="str">
        <f>Outline!C44</f>
        <v>Workpaper 5</v>
      </c>
      <c r="C3" s="86"/>
      <c r="D3" s="89"/>
      <c r="E3" s="86"/>
      <c r="F3" s="86"/>
      <c r="G3" s="90"/>
      <c r="H3" s="86"/>
      <c r="I3" s="89"/>
      <c r="J3" s="86"/>
      <c r="K3" s="86"/>
      <c r="L3" s="90"/>
      <c r="N3" s="97"/>
      <c r="O3" s="785" t="s">
        <v>134</v>
      </c>
      <c r="P3" s="97"/>
      <c r="Q3" s="475" t="s">
        <v>351</v>
      </c>
      <c r="R3" s="97"/>
    </row>
    <row r="4" spans="1:32" s="81" customFormat="1" ht="16.5" thickBot="1">
      <c r="A4" s="505"/>
      <c r="B4" s="91" t="s">
        <v>447</v>
      </c>
      <c r="C4" s="92"/>
      <c r="D4" s="91"/>
      <c r="E4" s="92"/>
      <c r="F4" s="92"/>
      <c r="G4" s="94"/>
      <c r="H4" s="92"/>
      <c r="I4" s="91"/>
      <c r="J4" s="92"/>
      <c r="K4" s="92"/>
      <c r="L4" s="94" t="str">
        <f>'Trends for Comparables_Forecast'!AO4</f>
        <v>Values in $ Millions</v>
      </c>
      <c r="N4" s="97"/>
      <c r="O4" s="474" t="s">
        <v>136</v>
      </c>
      <c r="P4" s="97"/>
      <c r="Q4" s="475" t="s">
        <v>137</v>
      </c>
      <c r="R4" s="97"/>
    </row>
    <row r="5" spans="1:32" s="81" customFormat="1" ht="16.5" thickTop="1">
      <c r="A5" s="509"/>
      <c r="B5" s="97"/>
      <c r="C5" s="97"/>
      <c r="D5" s="97"/>
      <c r="E5" s="97"/>
      <c r="F5" s="97"/>
      <c r="G5" s="97"/>
      <c r="H5" s="97"/>
      <c r="I5" s="97"/>
      <c r="J5" s="97"/>
      <c r="K5" s="97"/>
      <c r="L5" s="97"/>
      <c r="M5" s="97"/>
      <c r="N5" s="97"/>
      <c r="O5" s="474" t="s">
        <v>139</v>
      </c>
      <c r="P5" s="97"/>
      <c r="Q5" s="475" t="s">
        <v>140</v>
      </c>
      <c r="R5" s="97"/>
      <c r="S5" s="97"/>
      <c r="T5" s="97"/>
      <c r="U5" s="97"/>
      <c r="V5" s="97"/>
      <c r="W5" s="97"/>
      <c r="X5" s="97"/>
      <c r="Y5" s="97"/>
      <c r="Z5" s="97"/>
      <c r="AA5" s="97"/>
      <c r="AB5" s="97"/>
      <c r="AC5" s="97"/>
      <c r="AD5" s="97"/>
      <c r="AE5" s="97"/>
      <c r="AF5" s="97"/>
    </row>
    <row r="6" spans="1:32" s="97" customFormat="1">
      <c r="A6" s="509"/>
      <c r="G6" s="95"/>
      <c r="L6" s="95"/>
      <c r="M6" s="95"/>
      <c r="O6" s="1049"/>
      <c r="P6" s="787"/>
      <c r="Q6" s="1050" t="s">
        <v>440</v>
      </c>
    </row>
    <row r="7" spans="1:32" s="101" customFormat="1">
      <c r="A7" s="100"/>
      <c r="C7" s="106"/>
      <c r="D7" s="102" t="s">
        <v>428</v>
      </c>
      <c r="E7" s="104"/>
      <c r="F7" s="104"/>
      <c r="G7" s="105"/>
      <c r="H7" s="106"/>
      <c r="I7" s="102" t="s">
        <v>457</v>
      </c>
      <c r="J7" s="104"/>
      <c r="K7" s="104"/>
      <c r="L7" s="105"/>
      <c r="M7" s="100"/>
      <c r="O7" s="95"/>
      <c r="P7" s="95"/>
      <c r="Q7" s="95"/>
      <c r="R7" s="95"/>
    </row>
    <row r="8" spans="1:32" s="111" customFormat="1" ht="30">
      <c r="B8" s="112" t="s">
        <v>436</v>
      </c>
      <c r="C8" s="114"/>
      <c r="D8" s="732" t="s">
        <v>103</v>
      </c>
      <c r="E8" s="732" t="s">
        <v>437</v>
      </c>
      <c r="F8" s="732" t="s">
        <v>438</v>
      </c>
      <c r="G8" s="732" t="s">
        <v>427</v>
      </c>
      <c r="H8" s="114"/>
      <c r="I8" s="732" t="s">
        <v>103</v>
      </c>
      <c r="J8" s="732" t="s">
        <v>437</v>
      </c>
      <c r="K8" s="732" t="s">
        <v>438</v>
      </c>
      <c r="L8" s="732" t="s">
        <v>427</v>
      </c>
      <c r="M8" s="113"/>
      <c r="N8" s="113"/>
      <c r="O8" s="113"/>
      <c r="P8" s="113"/>
      <c r="Q8" s="113"/>
    </row>
    <row r="9" spans="1:32" s="117" customFormat="1">
      <c r="A9" s="116"/>
      <c r="B9" s="95"/>
      <c r="C9" s="97"/>
      <c r="D9" s="95"/>
      <c r="E9" s="95"/>
      <c r="G9" s="119"/>
      <c r="H9" s="97"/>
      <c r="I9" s="95"/>
      <c r="J9" s="95"/>
      <c r="L9" s="119"/>
      <c r="M9" s="119"/>
      <c r="O9" s="95"/>
      <c r="P9" s="95"/>
      <c r="Q9" s="95"/>
      <c r="S9" s="117" t="s">
        <v>71</v>
      </c>
      <c r="T9" s="117" t="s">
        <v>439</v>
      </c>
      <c r="U9" s="117" t="s">
        <v>74</v>
      </c>
    </row>
    <row r="10" spans="1:32" s="117" customFormat="1">
      <c r="A10" s="116"/>
      <c r="B10" s="776" t="str">
        <f>'F1'!D9</f>
        <v>DaVita Dialysis Property in Texas</v>
      </c>
      <c r="C10" s="735"/>
      <c r="D10" s="751" t="str">
        <f>IF(_xll.ciqfunctions.udf.CIQ($T10, "IQ_EBIT_1YR_ANN_GROWTH", IQ_LTM, $U10, $Q$6, $Q$3)=0,"n/a",_xll.ciqfunctions.udf.CIQ($T10, "IQ_EBIT_1YR_ANN_GROWTH", IQ_LTM, $U10, $Q$6, $Q$3)/100)</f>
        <v>n/a</v>
      </c>
      <c r="E10" s="751" t="str">
        <f>IF(_xll.ciqfunctions.udf.CIQ($T10, "IQ_EBIT_1YR_ANN_GROWTH", IQ_LTM-1, $U10, $Q$6, $Q$3)=0,"n/a",_xll.ciqfunctions.udf.CIQ($T10, "IQ_EBIT_1YR_ANN_GROWTH", IQ_LTM-1, $U10, $Q$6, $Q$3)/100)</f>
        <v>n/a</v>
      </c>
      <c r="F10" s="751" t="str">
        <f>IF(_xll.ciqfunctions.udf.CIQ($T10, "IQ_EBIT_1YR_ANN_GROWTH", IQ_LTM-2, $U10, $Q$6, $Q$3)=0,"n/a",_xll.ciqfunctions.udf.CIQ($T10, "IQ_EBIT_1YR_ANN_GROWTH", IQ_LTM-2, $U10, $Q$6, $Q$3)/100)</f>
        <v>n/a</v>
      </c>
      <c r="G10" s="751" t="str">
        <f>IFERROR(AVERAGE(D10:F10),"NM")</f>
        <v>NM</v>
      </c>
      <c r="H10" s="735"/>
      <c r="I10" s="751" t="str">
        <f>IF(_xll.ciqfunctions.udf.CIQ($T10, "IQ_EBIT_MARGIN", IQ_LTM, $U10, $Q$6, $Q$3)=0, "n/a", _xll.ciqfunctions.udf.CIQ($T10, "IQ_EBIT_MARGIN", IQ_LTM, $U10, $Q$6, $Q$3)/100)</f>
        <v>n/a</v>
      </c>
      <c r="J10" s="751" t="str">
        <f>IF(_xll.ciqfunctions.udf.CIQ($T10, "IQ_EBIT_MARGIN", IQ_LTM-1, $U10, $Q$6, $Q$3)=0, "n/a", _xll.ciqfunctions.udf.CIQ($T10, "IQ_EBIT_MARGIN", IQ_LTM-1, $U10, $Q$6, $Q$3)/100)</f>
        <v>n/a</v>
      </c>
      <c r="K10" s="751" t="str">
        <f>IF(_xll.ciqfunctions.udf.CIQ($T10, "IQ_EBIT_MARGIN", IQ_LTM-2, $U10, $Q$6, $Q$3)=0, "n/a", _xll.ciqfunctions.udf.CIQ($T10, "IQ_EBIT_MARGIN", IQ_LTM-2, $U10, $Q$6, $Q$3)/100)</f>
        <v>n/a</v>
      </c>
      <c r="L10" s="751" t="str">
        <f>IFERROR(AVERAGE(I10:K10),"NM")</f>
        <v>NM</v>
      </c>
      <c r="M10" s="133"/>
      <c r="O10" s="214"/>
      <c r="P10" s="214"/>
      <c r="Q10" s="214"/>
      <c r="S10" s="208" t="str">
        <f>'F1'!B9</f>
        <v>IQTR605577236</v>
      </c>
      <c r="T10" s="733" t="str">
        <f>_xll.ciqfunctions.udf.CIQ(S10, "IQ_TR_TARGET_ID")</f>
        <v>IQ605577203</v>
      </c>
      <c r="U10" s="777">
        <f>'F1'!E9</f>
        <v>43465</v>
      </c>
    </row>
    <row r="11" spans="1:32" s="117" customFormat="1">
      <c r="B11" s="776" t="str">
        <f>'F1'!D10</f>
        <v>One Dialysis Center in United States</v>
      </c>
      <c r="C11" s="735"/>
      <c r="D11" s="751" t="str">
        <f>IF(_xll.ciqfunctions.udf.CIQ($T11, "IQ_EBIT_1YR_ANN_GROWTH", IQ_LTM, $U11, $Q$6, $Q$3)=0,"n/a",_xll.ciqfunctions.udf.CIQ($T11, "IQ_EBIT_1YR_ANN_GROWTH", IQ_LTM, $U11, $Q$6, $Q$3)/100)</f>
        <v>n/a</v>
      </c>
      <c r="E11" s="751" t="str">
        <f>IF(_xll.ciqfunctions.udf.CIQ($T11, "IQ_EBIT_1YR_ANN_GROWTH", IQ_LTM-1, $U11, $Q$6, $Q$3)=0,"n/a",_xll.ciqfunctions.udf.CIQ($T11, "IQ_EBIT_1YR_ANN_GROWTH", IQ_LTM-1, $U11, $Q$6, $Q$3)/100)</f>
        <v>n/a</v>
      </c>
      <c r="F11" s="751" t="str">
        <f>IF(_xll.ciqfunctions.udf.CIQ($T11, "IQ_EBIT_1YR_ANN_GROWTH", IQ_LTM-2, $U11, $Q$6, $Q$3)=0,"n/a",_xll.ciqfunctions.udf.CIQ($T11, "IQ_EBIT_1YR_ANN_GROWTH", IQ_LTM-2, $U11, $Q$6, $Q$3)/100)</f>
        <v>n/a</v>
      </c>
      <c r="G11" s="751" t="str">
        <f>IFERROR(AVERAGE(D11:F11),"NM")</f>
        <v>NM</v>
      </c>
      <c r="H11" s="735"/>
      <c r="I11" s="751" t="str">
        <f>IF(_xll.ciqfunctions.udf.CIQ($T11, "IQ_EBIT_MARGIN", IQ_LTM, $U11, $Q$6, $Q$3)=0, "n/a", _xll.ciqfunctions.udf.CIQ($T11, "IQ_EBIT_MARGIN", IQ_LTM, $U11, $Q$6, $Q$3)/100)</f>
        <v>n/a</v>
      </c>
      <c r="J11" s="751" t="str">
        <f>IF(_xll.ciqfunctions.udf.CIQ($T11, "IQ_EBIT_MARGIN", IQ_LTM-1, $U11, $Q$6, $Q$3)=0, "n/a", _xll.ciqfunctions.udf.CIQ($T11, "IQ_EBIT_MARGIN", IQ_LTM-1, $U11, $Q$6, $Q$3)/100)</f>
        <v>n/a</v>
      </c>
      <c r="K11" s="751" t="str">
        <f>IF(_xll.ciqfunctions.udf.CIQ($T11, "IQ_EBIT_MARGIN", IQ_LTM-2, $U11, $Q$6, $Q$3)=0, "n/a", _xll.ciqfunctions.udf.CIQ($T11, "IQ_EBIT_MARGIN", IQ_LTM-2, $U11, $Q$6, $Q$3)/100)</f>
        <v>n/a</v>
      </c>
      <c r="L11" s="751" t="str">
        <f>IFERROR(AVERAGE(I11:K11),"NM")</f>
        <v>NM</v>
      </c>
      <c r="M11" s="133"/>
      <c r="O11" s="214"/>
      <c r="P11" s="214"/>
      <c r="Q11" s="214"/>
      <c r="S11" s="208" t="str">
        <f>'F1'!B10</f>
        <v>IQTR562093470</v>
      </c>
      <c r="T11" s="733" t="str">
        <f>_xll.ciqfunctions.udf.CIQ(S11, "IQ_TR_TARGET_ID")</f>
        <v>IQ562093458</v>
      </c>
      <c r="U11" s="777">
        <f>'F1'!E10</f>
        <v>43190</v>
      </c>
    </row>
    <row r="12" spans="1:32" s="117" customFormat="1">
      <c r="B12" s="776" t="str">
        <f>'F1'!D11</f>
        <v>Renal Ventures Management, LLC</v>
      </c>
      <c r="C12" s="735"/>
      <c r="D12" s="751" t="str">
        <f>IF(_xll.ciqfunctions.udf.CIQ($T12, "IQ_EBIT_1YR_ANN_GROWTH", IQ_LTM, $U12, $Q$6, $Q$3)=0,"n/a",_xll.ciqfunctions.udf.CIQ($T12, "IQ_EBIT_1YR_ANN_GROWTH", IQ_LTM, $U12, $Q$6, $Q$3)/100)</f>
        <v>n/a</v>
      </c>
      <c r="E12" s="751" t="str">
        <f>IF(_xll.ciqfunctions.udf.CIQ($T12, "IQ_EBIT_1YR_ANN_GROWTH", IQ_LTM-1, $U12, $Q$6, $Q$3)=0,"n/a",_xll.ciqfunctions.udf.CIQ($T12, "IQ_EBIT_1YR_ANN_GROWTH", IQ_LTM-1, $U12, $Q$6, $Q$3)/100)</f>
        <v>n/a</v>
      </c>
      <c r="F12" s="751" t="str">
        <f>IF(_xll.ciqfunctions.udf.CIQ($T12, "IQ_EBIT_1YR_ANN_GROWTH", IQ_LTM-2, $U12, $Q$6, $Q$3)=0,"n/a",_xll.ciqfunctions.udf.CIQ($T12, "IQ_EBIT_1YR_ANN_GROWTH", IQ_LTM-2, $U12, $Q$6, $Q$3)/100)</f>
        <v>n/a</v>
      </c>
      <c r="G12" s="751" t="str">
        <f>IFERROR(AVERAGE(D12:F12),"NM")</f>
        <v>NM</v>
      </c>
      <c r="H12" s="735"/>
      <c r="I12" s="751" t="str">
        <f>IF(_xll.ciqfunctions.udf.CIQ($T12, "IQ_EBIT_MARGIN", IQ_LTM, $U12, $Q$6, $Q$3)=0, "n/a", _xll.ciqfunctions.udf.CIQ($T12, "IQ_EBIT_MARGIN", IQ_LTM, $U12, $Q$6, $Q$3)/100)</f>
        <v>n/a</v>
      </c>
      <c r="J12" s="751" t="str">
        <f>IF(_xll.ciqfunctions.udf.CIQ($T12, "IQ_EBIT_MARGIN", IQ_LTM-1, $U12, $Q$6, $Q$3)=0, "n/a", _xll.ciqfunctions.udf.CIQ($T12, "IQ_EBIT_MARGIN", IQ_LTM-1, $U12, $Q$6, $Q$3)/100)</f>
        <v>n/a</v>
      </c>
      <c r="K12" s="751" t="str">
        <f>IF(_xll.ciqfunctions.udf.CIQ($T12, "IQ_EBIT_MARGIN", IQ_LTM-2, $U12, $Q$6, $Q$3)=0, "n/a", _xll.ciqfunctions.udf.CIQ($T12, "IQ_EBIT_MARGIN", IQ_LTM-2, $U12, $Q$6, $Q$3)/100)</f>
        <v>n/a</v>
      </c>
      <c r="L12" s="751" t="str">
        <f>IFERROR(AVERAGE(I12:K12),"NM")</f>
        <v>NM</v>
      </c>
      <c r="M12" s="133"/>
      <c r="O12" s="214"/>
      <c r="P12" s="214"/>
      <c r="Q12" s="214"/>
      <c r="S12" s="208" t="str">
        <f>'F1'!B11</f>
        <v>IQTR309873521</v>
      </c>
      <c r="T12" s="733" t="str">
        <f>_xll.ciqfunctions.udf.CIQ(S12, "IQ_TR_TARGET_ID")</f>
        <v>IQ50094825</v>
      </c>
      <c r="U12" s="777">
        <f>'F1'!E11</f>
        <v>42856</v>
      </c>
    </row>
    <row r="13" spans="1:32" s="117" customFormat="1" ht="25.5">
      <c r="B13" s="776" t="str">
        <f>'F1'!D12</f>
        <v>Majority stakes in Clarion Dialysis Center And Oil City Dialysis Center LLC</v>
      </c>
      <c r="C13" s="735"/>
      <c r="D13" s="751" t="str">
        <f>IF(_xll.ciqfunctions.udf.CIQ($T13, "IQ_EBIT_1YR_ANN_GROWTH", IQ_LTM, $U13, $Q$6, $Q$3)=0,"n/a",_xll.ciqfunctions.udf.CIQ($T13, "IQ_EBIT_1YR_ANN_GROWTH", IQ_LTM, $U13, $Q$6, $Q$3)/100)</f>
        <v>n/a</v>
      </c>
      <c r="E13" s="751" t="str">
        <f>IF(_xll.ciqfunctions.udf.CIQ($T13, "IQ_EBIT_1YR_ANN_GROWTH", IQ_LTM-1, $U13, $Q$6, $Q$3)=0,"n/a",_xll.ciqfunctions.udf.CIQ($T13, "IQ_EBIT_1YR_ANN_GROWTH", IQ_LTM-1, $U13, $Q$6, $Q$3)/100)</f>
        <v>n/a</v>
      </c>
      <c r="F13" s="751" t="str">
        <f>IF(_xll.ciqfunctions.udf.CIQ($T13, "IQ_EBIT_1YR_ANN_GROWTH", IQ_LTM-2, $U13, $Q$6, $Q$3)=0,"n/a",_xll.ciqfunctions.udf.CIQ($T13, "IQ_EBIT_1YR_ANN_GROWTH", IQ_LTM-2, $U13, $Q$6, $Q$3)/100)</f>
        <v>n/a</v>
      </c>
      <c r="G13" s="751" t="str">
        <f t="shared" ref="G13:G19" si="0">IFERROR(AVERAGE(D13:F13),"NM")</f>
        <v>NM</v>
      </c>
      <c r="H13" s="735"/>
      <c r="I13" s="751" t="str">
        <f>IF(_xll.ciqfunctions.udf.CIQ($T13, "IQ_EBIT_MARGIN", IQ_LTM, $U13, $Q$6, $Q$3)=0, "n/a", _xll.ciqfunctions.udf.CIQ($T13, "IQ_EBIT_MARGIN", IQ_LTM, $U13, $Q$6, $Q$3)/100)</f>
        <v>n/a</v>
      </c>
      <c r="J13" s="751" t="str">
        <f>IF(_xll.ciqfunctions.udf.CIQ($T13, "IQ_EBIT_MARGIN", IQ_LTM-1, $U13, $Q$6, $Q$3)=0, "n/a", _xll.ciqfunctions.udf.CIQ($T13, "IQ_EBIT_MARGIN", IQ_LTM-1, $U13, $Q$6, $Q$3)/100)</f>
        <v>n/a</v>
      </c>
      <c r="K13" s="751" t="str">
        <f>IF(_xll.ciqfunctions.udf.CIQ($T13, "IQ_EBIT_MARGIN", IQ_LTM-2, $U13, $Q$6, $Q$3)=0, "n/a", _xll.ciqfunctions.udf.CIQ($T13, "IQ_EBIT_MARGIN", IQ_LTM-2, $U13, $Q$6, $Q$3)/100)</f>
        <v>n/a</v>
      </c>
      <c r="L13" s="751" t="str">
        <f t="shared" ref="L13:L19" si="1">IFERROR(AVERAGE(I13:K13),"NM")</f>
        <v>NM</v>
      </c>
      <c r="M13" s="133"/>
      <c r="O13" s="214"/>
      <c r="P13" s="214"/>
      <c r="Q13" s="214"/>
      <c r="S13" s="208" t="str">
        <f>'F1'!B12</f>
        <v>IQTR404776897</v>
      </c>
      <c r="T13" s="733" t="str">
        <f>_xll.ciqfunctions.udf.CIQ(S13, "IQ_TR_TARGET_ID")</f>
        <v>IQ404776819</v>
      </c>
      <c r="U13" s="777">
        <f>'F1'!E12</f>
        <v>42628</v>
      </c>
      <c r="V13" s="621"/>
      <c r="W13" s="621"/>
    </row>
    <row r="14" spans="1:32" s="117" customFormat="1">
      <c r="B14" s="776" t="str">
        <f>'F1'!D13</f>
        <v>Dialysis Newco, Inc.</v>
      </c>
      <c r="C14" s="735"/>
      <c r="D14" s="751" t="str">
        <f>IF(_xll.ciqfunctions.udf.CIQ($T14, "IQ_EBIT_1YR_ANN_GROWTH", IQ_LTM, $U14, $Q$6, $Q$3)=0,"n/a",_xll.ciqfunctions.udf.CIQ($T14, "IQ_EBIT_1YR_ANN_GROWTH", IQ_LTM, $U14, $Q$6, $Q$3)/100)</f>
        <v>n/a</v>
      </c>
      <c r="E14" s="751" t="str">
        <f>IF(_xll.ciqfunctions.udf.CIQ($T14, "IQ_EBIT_1YR_ANN_GROWTH", IQ_LTM-1, $U14, $Q$6, $Q$3)=0,"n/a",_xll.ciqfunctions.udf.CIQ($T14, "IQ_EBIT_1YR_ANN_GROWTH", IQ_LTM-1, $U14, $Q$6, $Q$3)/100)</f>
        <v>n/a</v>
      </c>
      <c r="F14" s="751" t="str">
        <f>IF(_xll.ciqfunctions.udf.CIQ($T14, "IQ_EBIT_1YR_ANN_GROWTH", IQ_LTM-2, $U14, $Q$6, $Q$3)=0,"n/a",_xll.ciqfunctions.udf.CIQ($T14, "IQ_EBIT_1YR_ANN_GROWTH", IQ_LTM-2, $U14, $Q$6, $Q$3)/100)</f>
        <v>n/a</v>
      </c>
      <c r="G14" s="751" t="str">
        <f t="shared" si="0"/>
        <v>NM</v>
      </c>
      <c r="H14" s="735"/>
      <c r="I14" s="751" t="str">
        <f>IF(_xll.ciqfunctions.udf.CIQ($T14, "IQ_EBIT_MARGIN", IQ_LTM, $U14, $Q$6, $Q$3)=0, "n/a", _xll.ciqfunctions.udf.CIQ($T14, "IQ_EBIT_MARGIN", IQ_LTM, $U14, $Q$6, $Q$3)/100)</f>
        <v>n/a</v>
      </c>
      <c r="J14" s="751" t="str">
        <f>IF(_xll.ciqfunctions.udf.CIQ($T14, "IQ_EBIT_MARGIN", IQ_LTM-1, $U14, $Q$6, $Q$3)=0, "n/a", _xll.ciqfunctions.udf.CIQ($T14, "IQ_EBIT_MARGIN", IQ_LTM-1, $U14, $Q$6, $Q$3)/100)</f>
        <v>n/a</v>
      </c>
      <c r="K14" s="751" t="str">
        <f>IF(_xll.ciqfunctions.udf.CIQ($T14, "IQ_EBIT_MARGIN", IQ_LTM-2, $U14, $Q$6, $Q$3)=0, "n/a", _xll.ciqfunctions.udf.CIQ($T14, "IQ_EBIT_MARGIN", IQ_LTM-2, $U14, $Q$6, $Q$3)/100)</f>
        <v>n/a</v>
      </c>
      <c r="L14" s="751" t="str">
        <f t="shared" si="1"/>
        <v>NM</v>
      </c>
      <c r="M14" s="133"/>
      <c r="O14" s="214"/>
      <c r="P14" s="214"/>
      <c r="Q14" s="214"/>
      <c r="S14" s="208" t="str">
        <f>'F1'!B13</f>
        <v>IQTR309895463</v>
      </c>
      <c r="T14" s="733" t="str">
        <f>_xll.ciqfunctions.udf.CIQ(S14, "IQ_TR_TARGET_ID")</f>
        <v>IQ141271868</v>
      </c>
      <c r="U14" s="777">
        <f>'F1'!E13</f>
        <v>42369</v>
      </c>
      <c r="V14" s="621"/>
      <c r="W14" s="621"/>
    </row>
    <row r="15" spans="1:32" s="117" customFormat="1">
      <c r="B15" s="776" t="str">
        <f>'F1'!D14</f>
        <v>Comprehensive Dialysis Center of WNY Inc.</v>
      </c>
      <c r="C15" s="735"/>
      <c r="D15" s="751" t="str">
        <f>IF(_xll.ciqfunctions.udf.CIQ($T15, "IQ_EBIT_1YR_ANN_GROWTH", IQ_LTM, $U15, $Q$6, $Q$3)=0,"n/a",_xll.ciqfunctions.udf.CIQ($T15, "IQ_EBIT_1YR_ANN_GROWTH", IQ_LTM, $U15, $Q$6, $Q$3)/100)</f>
        <v>n/a</v>
      </c>
      <c r="E15" s="751" t="str">
        <f>IF(_xll.ciqfunctions.udf.CIQ($T15, "IQ_EBIT_1YR_ANN_GROWTH", IQ_LTM-1, $U15, $Q$6, $Q$3)=0,"n/a",_xll.ciqfunctions.udf.CIQ($T15, "IQ_EBIT_1YR_ANN_GROWTH", IQ_LTM-1, $U15, $Q$6, $Q$3)/100)</f>
        <v>n/a</v>
      </c>
      <c r="F15" s="751" t="str">
        <f>IF(_xll.ciqfunctions.udf.CIQ($T15, "IQ_EBIT_1YR_ANN_GROWTH", IQ_LTM-2, $U15, $Q$6, $Q$3)=0,"n/a",_xll.ciqfunctions.udf.CIQ($T15, "IQ_EBIT_1YR_ANN_GROWTH", IQ_LTM-2, $U15, $Q$6, $Q$3)/100)</f>
        <v>n/a</v>
      </c>
      <c r="G15" s="751" t="str">
        <f t="shared" si="0"/>
        <v>NM</v>
      </c>
      <c r="H15" s="735"/>
      <c r="I15" s="751" t="str">
        <f>IF(_xll.ciqfunctions.udf.CIQ($T15, "IQ_EBIT_MARGIN", IQ_LTM, $U15, $Q$6, $Q$3)=0, "n/a", _xll.ciqfunctions.udf.CIQ($T15, "IQ_EBIT_MARGIN", IQ_LTM, $U15, $Q$6, $Q$3)/100)</f>
        <v>n/a</v>
      </c>
      <c r="J15" s="751" t="str">
        <f>IF(_xll.ciqfunctions.udf.CIQ($T15, "IQ_EBIT_MARGIN", IQ_LTM-1, $U15, $Q$6, $Q$3)=0, "n/a", _xll.ciqfunctions.udf.CIQ($T15, "IQ_EBIT_MARGIN", IQ_LTM-1, $U15, $Q$6, $Q$3)/100)</f>
        <v>n/a</v>
      </c>
      <c r="K15" s="751" t="str">
        <f>IF(_xll.ciqfunctions.udf.CIQ($T15, "IQ_EBIT_MARGIN", IQ_LTM-2, $U15, $Q$6, $Q$3)=0, "n/a", _xll.ciqfunctions.udf.CIQ($T15, "IQ_EBIT_MARGIN", IQ_LTM-2, $U15, $Q$6, $Q$3)/100)</f>
        <v>n/a</v>
      </c>
      <c r="L15" s="751" t="str">
        <f t="shared" si="1"/>
        <v>NM</v>
      </c>
      <c r="M15" s="133"/>
      <c r="O15" s="214"/>
      <c r="P15" s="214"/>
      <c r="Q15" s="214"/>
      <c r="S15" s="208" t="str">
        <f>'F1'!B14</f>
        <v>IQTR287234522</v>
      </c>
      <c r="T15" s="733" t="str">
        <f>_xll.ciqfunctions.udf.CIQ(S15, "IQ_TR_TARGET_ID")</f>
        <v>IQ287233304</v>
      </c>
      <c r="U15" s="777">
        <f>'F1'!E14</f>
        <v>42264</v>
      </c>
      <c r="V15" s="621"/>
      <c r="W15" s="621"/>
    </row>
    <row r="16" spans="1:32" s="117" customFormat="1">
      <c r="B16" s="776" t="str">
        <f>'F1'!D19</f>
        <v>Liberty Dialysis, LLC</v>
      </c>
      <c r="C16" s="735"/>
      <c r="D16" s="751" t="str">
        <f>IF(_xll.ciqfunctions.udf.CIQ($T16, "IQ_EBIT_1YR_ANN_GROWTH", IQ_LTM, $U16, $Q$6, $Q$3)=0,"n/a",_xll.ciqfunctions.udf.CIQ($T16, "IQ_EBIT_1YR_ANN_GROWTH", IQ_LTM, $U16, $Q$6, $Q$3)/100)</f>
        <v>n/a</v>
      </c>
      <c r="E16" s="751" t="str">
        <f>IF(_xll.ciqfunctions.udf.CIQ($T16, "IQ_EBIT_1YR_ANN_GROWTH", IQ_LTM-1, $U16, $Q$6, $Q$3)=0,"n/a",_xll.ciqfunctions.udf.CIQ($T16, "IQ_EBIT_1YR_ANN_GROWTH", IQ_LTM-1, $U16, $Q$6, $Q$3)/100)</f>
        <v>n/a</v>
      </c>
      <c r="F16" s="751" t="str">
        <f>IF(_xll.ciqfunctions.udf.CIQ($T16, "IQ_EBIT_1YR_ANN_GROWTH", IQ_LTM-2, $U16, $Q$6, $Q$3)=0,"n/a",_xll.ciqfunctions.udf.CIQ($T16, "IQ_EBIT_1YR_ANN_GROWTH", IQ_LTM-2, $U16, $Q$6, $Q$3)/100)</f>
        <v>n/a</v>
      </c>
      <c r="G16" s="751" t="str">
        <f t="shared" si="0"/>
        <v>NM</v>
      </c>
      <c r="H16" s="735"/>
      <c r="I16" s="751" t="str">
        <f>IF(_xll.ciqfunctions.udf.CIQ($T16, "IQ_EBIT_MARGIN", IQ_LTM, $U16, $Q$6, $Q$3)=0, "n/a", _xll.ciqfunctions.udf.CIQ($T16, "IQ_EBIT_MARGIN", IQ_LTM, $U16, $Q$6, $Q$3)/100)</f>
        <v>n/a</v>
      </c>
      <c r="J16" s="751" t="str">
        <f>IF(_xll.ciqfunctions.udf.CIQ($T16, "IQ_EBIT_MARGIN", IQ_LTM-1, $U16, $Q$6, $Q$3)=0, "n/a", _xll.ciqfunctions.udf.CIQ($T16, "IQ_EBIT_MARGIN", IQ_LTM-1, $U16, $Q$6, $Q$3)/100)</f>
        <v>n/a</v>
      </c>
      <c r="K16" s="751" t="str">
        <f>IF(_xll.ciqfunctions.udf.CIQ($T16, "IQ_EBIT_MARGIN", IQ_LTM-2, $U16, $Q$6, $Q$3)=0, "n/a", _xll.ciqfunctions.udf.CIQ($T16, "IQ_EBIT_MARGIN", IQ_LTM-2, $U16, $Q$6, $Q$3)/100)</f>
        <v>n/a</v>
      </c>
      <c r="L16" s="751" t="str">
        <f t="shared" si="1"/>
        <v>NM</v>
      </c>
      <c r="M16" s="133"/>
      <c r="O16" s="214"/>
      <c r="P16" s="214"/>
      <c r="Q16" s="214"/>
      <c r="S16" s="208" t="str">
        <f>'F1'!B19</f>
        <v>IQTR138691695</v>
      </c>
      <c r="T16" s="733" t="str">
        <f>_xll.ciqfunctions.udf.CIQ(S16, "IQ_TR_TARGET_ID")</f>
        <v>IQ4935956</v>
      </c>
      <c r="U16" s="777">
        <f>'F1'!E19</f>
        <v>40967</v>
      </c>
      <c r="V16" s="621"/>
      <c r="W16" s="621"/>
    </row>
    <row r="17" spans="1:23" s="117" customFormat="1" ht="25.5">
      <c r="B17" s="776" t="str">
        <f>'F1'!D20</f>
        <v>DaVita Inc., 30 Dialysis Clinics (nka:Dialysis Newco, Inc.)</v>
      </c>
      <c r="C17" s="735"/>
      <c r="D17" s="751" t="str">
        <f>IF(_xll.ciqfunctions.udf.CIQ($T17, "IQ_EBIT_1YR_ANN_GROWTH", IQ_LTM, $U17, $Q$6, $Q$3)=0,"n/a",_xll.ciqfunctions.udf.CIQ($T17, "IQ_EBIT_1YR_ANN_GROWTH", IQ_LTM, $U17, $Q$6, $Q$3)/100)</f>
        <v>n/a</v>
      </c>
      <c r="E17" s="751" t="str">
        <f>IF(_xll.ciqfunctions.udf.CIQ($T17, "IQ_EBIT_1YR_ANN_GROWTH", IQ_LTM-1, $U17, $Q$6, $Q$3)=0,"n/a",_xll.ciqfunctions.udf.CIQ($T17, "IQ_EBIT_1YR_ANN_GROWTH", IQ_LTM-1, $U17, $Q$6, $Q$3)/100)</f>
        <v>n/a</v>
      </c>
      <c r="F17" s="751" t="str">
        <f>IF(_xll.ciqfunctions.udf.CIQ($T17, "IQ_EBIT_1YR_ANN_GROWTH", IQ_LTM-2, $U17, $Q$6, $Q$3)=0,"n/a",_xll.ciqfunctions.udf.CIQ($T17, "IQ_EBIT_1YR_ANN_GROWTH", IQ_LTM-2, $U17, $Q$6, $Q$3)/100)</f>
        <v>n/a</v>
      </c>
      <c r="G17" s="751" t="str">
        <f t="shared" si="0"/>
        <v>NM</v>
      </c>
      <c r="H17" s="735"/>
      <c r="I17" s="751" t="str">
        <f>IF(_xll.ciqfunctions.udf.CIQ($T17, "IQ_EBIT_MARGIN", IQ_LTM, $U17, $Q$6, $Q$3)=0, "n/a", _xll.ciqfunctions.udf.CIQ($T17, "IQ_EBIT_MARGIN", IQ_LTM, $U17, $Q$6, $Q$3)/100)</f>
        <v>n/a</v>
      </c>
      <c r="J17" s="751" t="str">
        <f>IF(_xll.ciqfunctions.udf.CIQ($T17, "IQ_EBIT_MARGIN", IQ_LTM-1, $U17, $Q$6, $Q$3)=0, "n/a", _xll.ciqfunctions.udf.CIQ($T17, "IQ_EBIT_MARGIN", IQ_LTM-1, $U17, $Q$6, $Q$3)/100)</f>
        <v>n/a</v>
      </c>
      <c r="K17" s="751" t="str">
        <f>IF(_xll.ciqfunctions.udf.CIQ($T17, "IQ_EBIT_MARGIN", IQ_LTM-2, $U17, $Q$6, $Q$3)=0, "n/a", _xll.ciqfunctions.udf.CIQ($T17, "IQ_EBIT_MARGIN", IQ_LTM-2, $U17, $Q$6, $Q$3)/100)</f>
        <v>n/a</v>
      </c>
      <c r="L17" s="751" t="str">
        <f t="shared" si="1"/>
        <v>NM</v>
      </c>
      <c r="M17" s="133"/>
      <c r="O17" s="214"/>
      <c r="P17" s="214"/>
      <c r="Q17" s="214"/>
      <c r="S17" s="208" t="str">
        <f>'F1'!B20</f>
        <v>IQTR141272616</v>
      </c>
      <c r="T17" s="733" t="str">
        <f>_xll.ciqfunctions.udf.CIQ(S17, "IQ_TR_TARGET_ID")</f>
        <v>IQ141271868</v>
      </c>
      <c r="U17" s="777">
        <f>'F1'!E20</f>
        <v>40847</v>
      </c>
      <c r="V17" s="621"/>
      <c r="W17" s="621"/>
    </row>
    <row r="18" spans="1:23" s="117" customFormat="1">
      <c r="B18" s="776" t="str">
        <f>'F1'!D21</f>
        <v>ISD Renal, Inc.</v>
      </c>
      <c r="C18" s="735"/>
      <c r="D18" s="751" t="str">
        <f>IF(_xll.ciqfunctions.udf.CIQ($T18, "IQ_EBIT_1YR_ANN_GROWTH", IQ_LTM, $U18, $Q$6, $Q$3)=0,"n/a",_xll.ciqfunctions.udf.CIQ($T18, "IQ_EBIT_1YR_ANN_GROWTH", IQ_LTM, $U18, $Q$6, $Q$3)/100)</f>
        <v>n/a</v>
      </c>
      <c r="E18" s="751" t="str">
        <f>IF(_xll.ciqfunctions.udf.CIQ($T18, "IQ_EBIT_1YR_ANN_GROWTH", IQ_LTM-1, $U18, $Q$6, $Q$3)=0,"n/a",_xll.ciqfunctions.udf.CIQ($T18, "IQ_EBIT_1YR_ANN_GROWTH", IQ_LTM-1, $U18, $Q$6, $Q$3)/100)</f>
        <v>n/a</v>
      </c>
      <c r="F18" s="751" t="str">
        <f>IF(_xll.ciqfunctions.udf.CIQ($T18, "IQ_EBIT_1YR_ANN_GROWTH", IQ_LTM-2, $U18, $Q$6, $Q$3)=0,"n/a",_xll.ciqfunctions.udf.CIQ($T18, "IQ_EBIT_1YR_ANN_GROWTH", IQ_LTM-2, $U18, $Q$6, $Q$3)/100)</f>
        <v>n/a</v>
      </c>
      <c r="G18" s="751" t="str">
        <f t="shared" si="0"/>
        <v>NM</v>
      </c>
      <c r="H18" s="735"/>
      <c r="I18" s="751" t="str">
        <f>IF(_xll.ciqfunctions.udf.CIQ($T18, "IQ_EBIT_MARGIN", IQ_LTM, $U18, $Q$6, $Q$3)=0, "n/a", _xll.ciqfunctions.udf.CIQ($T18, "IQ_EBIT_MARGIN", IQ_LTM, $U18, $Q$6, $Q$3)/100)</f>
        <v>n/a</v>
      </c>
      <c r="J18" s="751" t="str">
        <f>IF(_xll.ciqfunctions.udf.CIQ($T18, "IQ_EBIT_MARGIN", IQ_LTM-1, $U18, $Q$6, $Q$3)=0, "n/a", _xll.ciqfunctions.udf.CIQ($T18, "IQ_EBIT_MARGIN", IQ_LTM-1, $U18, $Q$6, $Q$3)/100)</f>
        <v>n/a</v>
      </c>
      <c r="K18" s="751" t="str">
        <f>IF(_xll.ciqfunctions.udf.CIQ($T18, "IQ_EBIT_MARGIN", IQ_LTM-2, $U18, $Q$6, $Q$3)=0, "n/a", _xll.ciqfunctions.udf.CIQ($T18, "IQ_EBIT_MARGIN", IQ_LTM-2, $U18, $Q$6, $Q$3)/100)</f>
        <v>n/a</v>
      </c>
      <c r="L18" s="751" t="str">
        <f t="shared" si="1"/>
        <v>NM</v>
      </c>
      <c r="M18" s="133"/>
      <c r="O18" s="214"/>
      <c r="P18" s="214"/>
      <c r="Q18" s="214"/>
      <c r="S18" s="208" t="str">
        <f>'F1'!B21</f>
        <v>IQTR119130745</v>
      </c>
      <c r="T18" s="733" t="str">
        <f>_xll.ciqfunctions.udf.CIQ(S18, "IQ_TR_TARGET_ID")</f>
        <v>IQ26997833</v>
      </c>
      <c r="U18" s="777">
        <f>'F1'!E21</f>
        <v>40788</v>
      </c>
      <c r="V18" s="621"/>
      <c r="W18" s="621"/>
    </row>
    <row r="19" spans="1:23" s="117" customFormat="1">
      <c r="B19" s="776" t="str">
        <f>'F1'!D24</f>
        <v>Dialysis Corporation of America, Inc.</v>
      </c>
      <c r="C19" s="735"/>
      <c r="D19" s="751">
        <f>IF(_xll.ciqfunctions.udf.CIQ($T19, "IQ_EBIT_1YR_ANN_GROWTH", IQ_LTM, $U19, $Q$6, $Q$3)=0,"n/a",_xll.ciqfunctions.udf.CIQ($T19, "IQ_EBIT_1YR_ANN_GROWTH", IQ_LTM, $U19, $Q$6, $Q$3)/100)</f>
        <v>0.15467500000000001</v>
      </c>
      <c r="E19" s="751">
        <f>IF(_xll.ciqfunctions.udf.CIQ($T19, "IQ_EBIT_1YR_ANN_GROWTH", IQ_LTM-1, $U19, $Q$6, $Q$3)=0,"n/a",_xll.ciqfunctions.udf.CIQ($T19, "IQ_EBIT_1YR_ANN_GROWTH", IQ_LTM-1, $U19, $Q$6, $Q$3)/100)</f>
        <v>9.3169000000000002E-2</v>
      </c>
      <c r="F19" s="751">
        <f>IF(_xll.ciqfunctions.udf.CIQ($T19, "IQ_EBIT_1YR_ANN_GROWTH", IQ_LTM-2, $U19, $Q$6, $Q$3)=0,"n/a",_xll.ciqfunctions.udf.CIQ($T19, "IQ_EBIT_1YR_ANN_GROWTH", IQ_LTM-2, $U19, $Q$6, $Q$3)/100)</f>
        <v>0.19423200000000002</v>
      </c>
      <c r="G19" s="751">
        <f t="shared" si="0"/>
        <v>0.14735866666666667</v>
      </c>
      <c r="H19" s="735"/>
      <c r="I19" s="751">
        <f>IF(_xll.ciqfunctions.udf.CIQ($T19, "IQ_EBIT_MARGIN", IQ_LTM, $U19, $Q$6, $Q$3)=0, "n/a", _xll.ciqfunctions.udf.CIQ($T19, "IQ_EBIT_MARGIN", IQ_LTM, $U19, $Q$6, $Q$3)/100)</f>
        <v>6.7500000000000004E-2</v>
      </c>
      <c r="J19" s="751">
        <f>IF(_xll.ciqfunctions.udf.CIQ($T19, "IQ_EBIT_MARGIN", IQ_LTM-1, $U19, $Q$6, $Q$3)=0, "n/a", _xll.ciqfunctions.udf.CIQ($T19, "IQ_EBIT_MARGIN", IQ_LTM-1, $U19, $Q$6, $Q$3)/100)</f>
        <v>7.034E-2</v>
      </c>
      <c r="K19" s="751">
        <f>IF(_xll.ciqfunctions.udf.CIQ($T19, "IQ_EBIT_MARGIN", IQ_LTM-2, $U19, $Q$6, $Q$3)=0, "n/a", _xll.ciqfunctions.udf.CIQ($T19, "IQ_EBIT_MARGIN", IQ_LTM-2, $U19, $Q$6, $Q$3)/100)</f>
        <v>7.0914000000000005E-2</v>
      </c>
      <c r="L19" s="751">
        <f t="shared" si="1"/>
        <v>6.958466666666667E-2</v>
      </c>
      <c r="M19" s="133"/>
      <c r="O19" s="214"/>
      <c r="P19" s="214"/>
      <c r="Q19" s="214"/>
      <c r="S19" s="208" t="str">
        <f>'F1'!B24</f>
        <v>IQTR100774562</v>
      </c>
      <c r="T19" s="733" t="str">
        <f>_xll.ciqfunctions.udf.CIQ(S19, "IQ_TR_TARGET_ID")</f>
        <v>IQ384331</v>
      </c>
      <c r="U19" s="777">
        <f>'F1'!E24</f>
        <v>40330</v>
      </c>
      <c r="V19" s="621"/>
      <c r="W19" s="621"/>
    </row>
    <row r="20" spans="1:23" s="117" customFormat="1">
      <c r="B20" s="130"/>
      <c r="C20" s="739"/>
      <c r="D20" s="738"/>
      <c r="E20" s="739"/>
      <c r="F20" s="739"/>
      <c r="G20" s="740"/>
      <c r="H20" s="739"/>
      <c r="I20" s="738"/>
      <c r="J20" s="739"/>
      <c r="K20" s="739"/>
      <c r="L20" s="740"/>
      <c r="M20" s="218"/>
      <c r="O20" s="214"/>
      <c r="P20" s="214"/>
      <c r="Q20" s="214"/>
      <c r="R20" s="214"/>
    </row>
    <row r="21" spans="1:23" s="117" customFormat="1">
      <c r="B21" s="134" t="s">
        <v>81</v>
      </c>
      <c r="C21" s="789"/>
      <c r="D21" s="790">
        <f>IF(IF(ISERROR(MIN(D10:D19)),"n/a",MIN(D10:D19))&lt;=0,"n/a",MIN(D10:D19))</f>
        <v>0.15467500000000001</v>
      </c>
      <c r="E21" s="790">
        <f>IF(IF(ISERROR(MIN(E10:E19)),"n/a",MIN(E10:E19))&lt;=0,"n/a",MIN(E10:E19))</f>
        <v>9.3169000000000002E-2</v>
      </c>
      <c r="F21" s="790">
        <f>IF(IF(ISERROR(MIN(F10:F19)),"n/a",MIN(F10:F19))&lt;=0,"n/a",MIN(F10:F19))</f>
        <v>0.19423200000000002</v>
      </c>
      <c r="G21" s="790">
        <f>IF(IF(ISERROR(MIN(G10:G19)),"n/a",MIN(G10:G19))&lt;=0,"n/a",MIN(G10:G19))</f>
        <v>0.14735866666666667</v>
      </c>
      <c r="H21" s="789"/>
      <c r="I21" s="790">
        <f>IF(IF(ISERROR(MIN(I10:I19)),"n/a",MIN(I10:I19))&lt;=0,"n/a",MIN(I10:I19))</f>
        <v>6.7500000000000004E-2</v>
      </c>
      <c r="J21" s="790">
        <f>IF(IF(ISERROR(MIN(J10:J19)),"n/a",MIN(J10:J19))&lt;=0,"n/a",MIN(J10:J19))</f>
        <v>7.034E-2</v>
      </c>
      <c r="K21" s="790">
        <f>IF(IF(ISERROR(MIN(K10:K19)),"n/a",MIN(K10:K19))&lt;=0,"n/a",MIN(K10:K19))</f>
        <v>7.0914000000000005E-2</v>
      </c>
      <c r="L21" s="791">
        <f>IF(IF(ISERROR(MIN(L10:L19)),"n/a",MIN(L10:L19))&lt;=0,"n/a",MIN(L10:L19))</f>
        <v>6.958466666666667E-2</v>
      </c>
      <c r="M21" s="149"/>
      <c r="O21" s="214"/>
      <c r="P21" s="214"/>
      <c r="Q21" s="214"/>
      <c r="R21" s="214"/>
    </row>
    <row r="22" spans="1:23" s="117" customFormat="1">
      <c r="B22" s="729" t="s">
        <v>82</v>
      </c>
      <c r="C22" s="745"/>
      <c r="D22" s="756">
        <f>IF(IF(ISERROR(MAX(D10:D19)),"n/a",MAX(D10:D19))&lt;=0,"n/a",MAX(D10:D19))</f>
        <v>0.15467500000000001</v>
      </c>
      <c r="E22" s="756">
        <f>IF(IF(ISERROR(MAX(E10:E19)),"n/a",MAX(E10:E19))&lt;=0,"n/a",MAX(E10:E19))</f>
        <v>9.3169000000000002E-2</v>
      </c>
      <c r="F22" s="756">
        <f>IF(IF(ISERROR(MAX(F10:F19)),"n/a",MAX(F10:F19))&lt;=0,"n/a",MAX(F10:F19))</f>
        <v>0.19423200000000002</v>
      </c>
      <c r="G22" s="756">
        <f>IF(IF(ISERROR(MAX(G10:G19)),"n/a",MAX(G10:G19))&lt;=0,"n/a",MAX(G10:G19))</f>
        <v>0.14735866666666667</v>
      </c>
      <c r="H22" s="745"/>
      <c r="I22" s="756">
        <f>IF(IF(ISERROR(MAX(I10:I19)),"n/a",MAX(I10:I19))&lt;=0,"n/a",MAX(I10:I19))</f>
        <v>6.7500000000000004E-2</v>
      </c>
      <c r="J22" s="756">
        <f>IF(IF(ISERROR(MAX(J10:J19)),"n/a",MAX(J10:J19))&lt;=0,"n/a",MAX(J10:J19))</f>
        <v>7.034E-2</v>
      </c>
      <c r="K22" s="756">
        <f>IF(IF(ISERROR(MAX(K10:K19)),"n/a",MAX(K10:K19))&lt;=0,"n/a",MAX(K10:K19))</f>
        <v>7.0914000000000005E-2</v>
      </c>
      <c r="L22" s="779">
        <f>IF(IF(ISERROR(MAX(L10:L19)),"n/a",MAX(L10:L19))&lt;=0,"n/a",MAX(L10:L19))</f>
        <v>6.958466666666667E-2</v>
      </c>
      <c r="M22" s="149"/>
      <c r="O22" s="214"/>
      <c r="P22" s="214"/>
      <c r="Q22" s="214"/>
      <c r="R22" s="214"/>
    </row>
    <row r="23" spans="1:23" s="117" customFormat="1">
      <c r="A23" s="95"/>
      <c r="B23" s="729" t="s">
        <v>83</v>
      </c>
      <c r="C23" s="745"/>
      <c r="D23" s="756">
        <f>IF(ISERROR(MEDIAN(D10:D19)),"n/a",MEDIAN(D10:D19))</f>
        <v>0.15467500000000001</v>
      </c>
      <c r="E23" s="756">
        <f>IF(ISERROR(MEDIAN(E10:E19)),"n/a",MEDIAN(E10:E19))</f>
        <v>9.3169000000000002E-2</v>
      </c>
      <c r="F23" s="756">
        <f>IF(ISERROR(MEDIAN(F10:F19)),"n/a",MEDIAN(F10:F19))</f>
        <v>0.19423200000000002</v>
      </c>
      <c r="G23" s="756">
        <f>IF(ISERROR(MEDIAN(G10:G19)),"n/a",MEDIAN(G10:G19))</f>
        <v>0.14735866666666667</v>
      </c>
      <c r="H23" s="745"/>
      <c r="I23" s="756">
        <f>IF(ISERROR(MEDIAN(I10:I19)),"n/a",MEDIAN(I10:I19))</f>
        <v>6.7500000000000004E-2</v>
      </c>
      <c r="J23" s="756">
        <f>IF(ISERROR(MEDIAN(J10:J19)),"n/a",MEDIAN(J10:J19))</f>
        <v>7.034E-2</v>
      </c>
      <c r="K23" s="756">
        <f>IF(ISERROR(MEDIAN(K10:K19)),"n/a",MEDIAN(K10:K19))</f>
        <v>7.0914000000000005E-2</v>
      </c>
      <c r="L23" s="779">
        <f>IF(ISERROR(MEDIAN(L10:L19)),"n/a",MEDIAN(L10:L19))</f>
        <v>6.958466666666667E-2</v>
      </c>
      <c r="M23" s="149"/>
      <c r="O23" s="214"/>
      <c r="P23" s="214"/>
      <c r="Q23" s="214"/>
      <c r="R23" s="214"/>
    </row>
    <row r="24" spans="1:23" s="117" customFormat="1">
      <c r="A24" s="95"/>
      <c r="B24" s="729" t="s">
        <v>84</v>
      </c>
      <c r="C24" s="745"/>
      <c r="D24" s="756">
        <f>IF(ISERROR(AVERAGE(D10:D19)),"n/a",AVERAGE(D10:D19))</f>
        <v>0.15467500000000001</v>
      </c>
      <c r="E24" s="756">
        <f>IF(ISERROR(AVERAGE(E10:E19)),"n/a",AVERAGE(E10:E19))</f>
        <v>9.3169000000000002E-2</v>
      </c>
      <c r="F24" s="756">
        <f>IF(ISERROR(AVERAGE(F10:F19)),"n/a",AVERAGE(F10:F19))</f>
        <v>0.19423200000000002</v>
      </c>
      <c r="G24" s="756">
        <f>IF(ISERROR(AVERAGE(G10:G19)),"n/a",AVERAGE(G10:G19))</f>
        <v>0.14735866666666667</v>
      </c>
      <c r="H24" s="745"/>
      <c r="I24" s="756">
        <f>IF(ISERROR(AVERAGE(I10:I19)),"n/a",AVERAGE(I10:I19))</f>
        <v>6.7500000000000004E-2</v>
      </c>
      <c r="J24" s="756">
        <f>IF(ISERROR(AVERAGE(J10:J19)),"n/a",AVERAGE(J10:J19))</f>
        <v>7.034E-2</v>
      </c>
      <c r="K24" s="756">
        <f>IF(ISERROR(AVERAGE(K10:K19)),"n/a",AVERAGE(K10:K19))</f>
        <v>7.0914000000000005E-2</v>
      </c>
      <c r="L24" s="779">
        <f>IF(ISERROR(AVERAGE(L10:L19)),"n/a",AVERAGE(L10:L19))</f>
        <v>6.958466666666667E-2</v>
      </c>
      <c r="M24" s="149"/>
      <c r="O24" s="214"/>
      <c r="P24" s="214"/>
      <c r="Q24" s="214"/>
      <c r="R24" s="214"/>
    </row>
    <row r="25" spans="1:23" s="117" customFormat="1">
      <c r="A25" s="95"/>
      <c r="B25" s="729" t="s">
        <v>337</v>
      </c>
      <c r="C25" s="745"/>
      <c r="D25" s="756">
        <f>IFERROR(QUARTILE(D10:D19,1),"n/a")</f>
        <v>0.15467500000000001</v>
      </c>
      <c r="E25" s="756">
        <f>IFERROR(QUARTILE(E10:E19,1),"n/a")</f>
        <v>9.3169000000000002E-2</v>
      </c>
      <c r="F25" s="756">
        <f>IFERROR(QUARTILE(F10:F19,1),"n/a")</f>
        <v>0.19423200000000002</v>
      </c>
      <c r="G25" s="756">
        <f>IFERROR(QUARTILE(G10:G19,1),"n/a")</f>
        <v>0.14735866666666667</v>
      </c>
      <c r="H25" s="745"/>
      <c r="I25" s="756">
        <f>IFERROR(QUARTILE(I10:I19,1),"n/a")</f>
        <v>6.7500000000000004E-2</v>
      </c>
      <c r="J25" s="756">
        <f>IFERROR(QUARTILE(J10:J19,1),"n/a")</f>
        <v>7.034E-2</v>
      </c>
      <c r="K25" s="756">
        <f>IFERROR(QUARTILE(K10:K19,1),"n/a")</f>
        <v>7.0914000000000005E-2</v>
      </c>
      <c r="L25" s="779">
        <f>IFERROR(QUARTILE(L10:L19,1),"n/a")</f>
        <v>6.958466666666667E-2</v>
      </c>
      <c r="M25" s="149"/>
      <c r="O25" s="214"/>
      <c r="P25" s="214"/>
      <c r="Q25" s="214"/>
      <c r="R25" s="214"/>
    </row>
    <row r="26" spans="1:23" s="117" customFormat="1">
      <c r="A26" s="95"/>
      <c r="B26" s="734" t="s">
        <v>422</v>
      </c>
      <c r="C26" s="749"/>
      <c r="D26" s="757">
        <f>IFERROR(QUARTILE(D10:D19,3),"n/a")</f>
        <v>0.15467500000000001</v>
      </c>
      <c r="E26" s="757">
        <f>IFERROR(QUARTILE(E10:E19,3),"n/a")</f>
        <v>9.3169000000000002E-2</v>
      </c>
      <c r="F26" s="757">
        <f>IFERROR(QUARTILE(F10:F19,3),"n/a")</f>
        <v>0.19423200000000002</v>
      </c>
      <c r="G26" s="757">
        <f>IFERROR(QUARTILE(G10:G19,3),"n/a")</f>
        <v>0.14735866666666667</v>
      </c>
      <c r="H26" s="749"/>
      <c r="I26" s="757">
        <f>IFERROR(QUARTILE(I10:I19,3),"n/a")</f>
        <v>6.7500000000000004E-2</v>
      </c>
      <c r="J26" s="757">
        <f>IFERROR(QUARTILE(J10:J19,3),"n/a")</f>
        <v>7.034E-2</v>
      </c>
      <c r="K26" s="757">
        <f>IFERROR(QUARTILE(K10:K19,3),"n/a")</f>
        <v>7.0914000000000005E-2</v>
      </c>
      <c r="L26" s="780">
        <f>IFERROR(QUARTILE(L10:L19,3),"n/a")</f>
        <v>6.958466666666667E-2</v>
      </c>
      <c r="M26" s="149"/>
      <c r="O26" s="214"/>
      <c r="P26" s="214"/>
      <c r="Q26" s="214"/>
      <c r="R26" s="214"/>
    </row>
    <row r="27" spans="1:23" s="117" customFormat="1">
      <c r="A27" s="95"/>
      <c r="B27" s="528"/>
      <c r="C27" s="223"/>
      <c r="D27" s="141"/>
      <c r="E27" s="223"/>
      <c r="F27" s="223"/>
      <c r="G27" s="149"/>
      <c r="H27" s="223"/>
      <c r="I27" s="141"/>
      <c r="J27" s="223"/>
      <c r="K27" s="223"/>
      <c r="L27" s="149"/>
      <c r="M27" s="149"/>
      <c r="O27" s="214"/>
      <c r="P27" s="214"/>
      <c r="Q27" s="214"/>
      <c r="R27" s="214"/>
    </row>
    <row r="28" spans="1:23" s="117" customFormat="1">
      <c r="A28" s="95"/>
      <c r="B28" s="155"/>
      <c r="C28" s="116"/>
      <c r="D28" s="116"/>
      <c r="E28" s="116"/>
      <c r="F28" s="116"/>
      <c r="G28" s="156"/>
      <c r="H28" s="116"/>
      <c r="I28" s="116"/>
      <c r="J28" s="116"/>
      <c r="K28" s="116"/>
      <c r="L28" s="156"/>
      <c r="O28" s="95"/>
      <c r="P28" s="95"/>
      <c r="Q28" s="95"/>
    </row>
    <row r="29" spans="1:23" s="117" customFormat="1">
      <c r="A29" s="95"/>
      <c r="B29" s="792" t="str">
        <f>Outline!$M$2&amp;" (1)"</f>
        <v>WB Santa Cruz (1)</v>
      </c>
      <c r="C29" s="793"/>
      <c r="D29" s="758">
        <f>IF('C3'!J50&lt;0,"NM",'C3'!K50/'C3'!J50-1)</f>
        <v>-0.86450585071954233</v>
      </c>
      <c r="E29" s="758">
        <f>IF('C3'!I50&lt;0,"NM",'C3'!J50/'C3'!I50-1)</f>
        <v>-0.72889337100311602</v>
      </c>
      <c r="F29" s="758">
        <f>IF('C3'!H50&lt;0,"NM",'C3'!I50/'C3'!H50-1)</f>
        <v>0.59117452686086369</v>
      </c>
      <c r="G29" s="943">
        <f>IFERROR(AVERAGE(D29:F29),"NM")</f>
        <v>-0.33407489828726483</v>
      </c>
      <c r="H29" s="793"/>
      <c r="I29" s="758">
        <f>'C3'!K50/'C3'!K10</f>
        <v>5.505875060600479E-3</v>
      </c>
      <c r="J29" s="758">
        <f>'C3'!J50/'C3'!J10</f>
        <v>4.4891015608170347E-2</v>
      </c>
      <c r="K29" s="758">
        <f>'C3'!I50/'C3'!I10</f>
        <v>0.15882495297496016</v>
      </c>
      <c r="L29" s="794">
        <f>AVERAGE(I29:K29)</f>
        <v>6.9740614547910321E-2</v>
      </c>
      <c r="O29" s="95"/>
      <c r="P29" s="95"/>
      <c r="Q29" s="95"/>
    </row>
    <row r="30" spans="1:23" s="117" customFormat="1">
      <c r="A30" s="95"/>
      <c r="B30" s="155"/>
      <c r="C30" s="116"/>
      <c r="D30" s="116"/>
      <c r="E30" s="116"/>
      <c r="F30" s="116"/>
      <c r="G30" s="156"/>
      <c r="H30" s="116"/>
      <c r="I30" s="116"/>
      <c r="J30" s="116"/>
      <c r="K30" s="116"/>
      <c r="L30" s="156"/>
      <c r="O30" s="95"/>
      <c r="P30" s="95"/>
      <c r="Q30" s="95"/>
    </row>
    <row r="31" spans="1:23" s="117" customFormat="1">
      <c r="A31" s="95"/>
      <c r="B31" s="781" t="s">
        <v>500</v>
      </c>
      <c r="C31" s="95"/>
      <c r="D31" s="157"/>
      <c r="E31" s="95"/>
      <c r="F31" s="95"/>
      <c r="G31" s="195"/>
      <c r="H31" s="95"/>
      <c r="I31" s="157"/>
      <c r="J31" s="95"/>
      <c r="K31" s="95"/>
      <c r="L31" s="195"/>
      <c r="N31" s="95"/>
      <c r="O31" s="95"/>
      <c r="P31" s="95"/>
    </row>
    <row r="32" spans="1:23" s="117" customFormat="1">
      <c r="A32" s="95"/>
      <c r="B32" s="95"/>
      <c r="C32" s="782"/>
      <c r="D32" s="95"/>
      <c r="E32" s="782"/>
      <c r="F32" s="782"/>
      <c r="G32" s="181"/>
      <c r="H32" s="782"/>
      <c r="I32" s="95"/>
      <c r="J32" s="782"/>
      <c r="K32" s="782"/>
      <c r="L32" s="181"/>
      <c r="M32" s="160"/>
      <c r="N32" s="159"/>
      <c r="O32" s="159"/>
      <c r="P32" s="159"/>
    </row>
    <row r="33" spans="1:16" s="117" customFormat="1">
      <c r="A33" s="116"/>
      <c r="B33" s="95"/>
      <c r="D33" s="95"/>
      <c r="E33" s="95"/>
      <c r="F33" s="95"/>
      <c r="G33" s="760"/>
      <c r="I33" s="95"/>
      <c r="J33" s="95"/>
      <c r="K33" s="95"/>
      <c r="L33" s="760"/>
      <c r="N33" s="95"/>
      <c r="O33" s="95"/>
      <c r="P33" s="95"/>
    </row>
    <row r="34" spans="1:16" s="117" customFormat="1">
      <c r="B34" s="131"/>
      <c r="C34" s="163"/>
      <c r="D34" s="131"/>
      <c r="E34" s="163"/>
      <c r="F34" s="163"/>
      <c r="G34" s="760"/>
      <c r="H34" s="163"/>
      <c r="I34" s="131"/>
      <c r="J34" s="163"/>
      <c r="K34" s="163"/>
      <c r="L34" s="760"/>
      <c r="M34" s="215"/>
      <c r="N34" s="163"/>
      <c r="O34" s="163"/>
      <c r="P34" s="163"/>
    </row>
    <row r="35" spans="1:16" s="117" customFormat="1">
      <c r="B35" s="131"/>
      <c r="C35" s="163"/>
      <c r="D35" s="131"/>
      <c r="E35" s="163"/>
      <c r="F35" s="163"/>
      <c r="G35" s="163"/>
      <c r="H35" s="163"/>
      <c r="I35" s="131"/>
      <c r="J35" s="163"/>
      <c r="K35" s="163"/>
      <c r="L35" s="163"/>
      <c r="N35" s="163"/>
      <c r="O35" s="163"/>
      <c r="P35" s="163"/>
    </row>
    <row r="36" spans="1:16" s="117" customFormat="1">
      <c r="B36" s="131"/>
      <c r="C36" s="163"/>
      <c r="D36" s="131"/>
      <c r="E36" s="163"/>
      <c r="F36" s="163"/>
      <c r="G36" s="164"/>
      <c r="H36" s="163"/>
      <c r="I36" s="131"/>
      <c r="J36" s="163"/>
      <c r="K36" s="163"/>
      <c r="L36" s="164"/>
      <c r="N36" s="163"/>
      <c r="O36" s="163"/>
      <c r="P36" s="163"/>
    </row>
    <row r="37" spans="1:16" s="117" customFormat="1">
      <c r="B37" s="131"/>
      <c r="C37" s="163"/>
      <c r="D37" s="131"/>
      <c r="E37" s="163"/>
      <c r="F37" s="163"/>
      <c r="G37" s="164"/>
      <c r="H37" s="163"/>
      <c r="I37" s="131"/>
      <c r="J37" s="163"/>
      <c r="K37" s="163"/>
      <c r="L37" s="164"/>
      <c r="N37" s="163"/>
      <c r="O37" s="163"/>
      <c r="P37" s="163"/>
    </row>
    <row r="38" spans="1:16" s="117" customFormat="1">
      <c r="B38" s="131"/>
      <c r="C38" s="163"/>
      <c r="D38" s="131"/>
      <c r="E38" s="163"/>
      <c r="F38" s="163"/>
      <c r="G38" s="164"/>
      <c r="H38" s="163"/>
      <c r="I38" s="131"/>
      <c r="J38" s="163"/>
      <c r="K38" s="163"/>
      <c r="L38" s="164"/>
      <c r="N38" s="163"/>
      <c r="O38" s="163"/>
      <c r="P38" s="163"/>
    </row>
    <row r="39" spans="1:16" s="117" customFormat="1">
      <c r="B39" s="131"/>
      <c r="C39" s="163"/>
      <c r="D39" s="131"/>
      <c r="E39" s="163"/>
      <c r="F39" s="163"/>
      <c r="G39" s="164"/>
      <c r="H39" s="163"/>
      <c r="I39" s="131"/>
      <c r="J39" s="163"/>
      <c r="K39" s="163"/>
      <c r="L39" s="164"/>
      <c r="N39" s="163"/>
      <c r="O39" s="163"/>
      <c r="P39" s="163"/>
    </row>
    <row r="40" spans="1:16" s="117" customFormat="1">
      <c r="B40" s="131"/>
      <c r="C40" s="163"/>
      <c r="D40" s="131"/>
      <c r="E40" s="163"/>
      <c r="F40" s="163"/>
      <c r="G40" s="164"/>
      <c r="H40" s="163"/>
      <c r="I40" s="131"/>
      <c r="J40" s="163"/>
      <c r="K40" s="163"/>
      <c r="L40" s="164"/>
      <c r="N40" s="163"/>
      <c r="O40" s="163"/>
      <c r="P40" s="163"/>
    </row>
    <row r="41" spans="1:16" s="117" customFormat="1">
      <c r="B41" s="131"/>
      <c r="C41" s="163"/>
      <c r="D41" s="131"/>
      <c r="E41" s="163"/>
      <c r="F41" s="163"/>
      <c r="G41" s="164"/>
      <c r="H41" s="163"/>
      <c r="I41" s="131"/>
      <c r="J41" s="163"/>
      <c r="K41" s="163"/>
      <c r="L41" s="164"/>
      <c r="N41" s="163"/>
      <c r="O41" s="163"/>
      <c r="P41" s="163"/>
    </row>
    <row r="42" spans="1:16" s="117" customFormat="1">
      <c r="B42" s="131"/>
      <c r="C42" s="163"/>
      <c r="D42" s="131"/>
      <c r="E42" s="163"/>
      <c r="F42" s="163"/>
      <c r="G42" s="164"/>
      <c r="H42" s="163"/>
      <c r="I42" s="131"/>
      <c r="J42" s="163"/>
      <c r="K42" s="163"/>
      <c r="L42" s="164"/>
      <c r="N42" s="163"/>
      <c r="O42" s="163"/>
      <c r="P42" s="163"/>
    </row>
    <row r="43" spans="1:16" s="117" customFormat="1">
      <c r="B43" s="131"/>
      <c r="C43" s="163"/>
      <c r="D43" s="131"/>
      <c r="E43" s="163"/>
      <c r="F43" s="163"/>
      <c r="G43" s="164"/>
      <c r="H43" s="163"/>
      <c r="I43" s="131"/>
      <c r="J43" s="163"/>
      <c r="K43" s="163"/>
      <c r="L43" s="164"/>
      <c r="N43" s="163"/>
      <c r="O43" s="163"/>
      <c r="P43" s="163"/>
    </row>
    <row r="44" spans="1:16" s="117" customFormat="1">
      <c r="B44" s="131"/>
      <c r="C44" s="132"/>
      <c r="D44" s="131"/>
      <c r="E44" s="132"/>
      <c r="F44" s="132"/>
      <c r="G44" s="165"/>
      <c r="H44" s="132"/>
      <c r="I44" s="131"/>
      <c r="J44" s="132"/>
      <c r="K44" s="132"/>
      <c r="L44" s="165"/>
      <c r="N44" s="132"/>
      <c r="O44" s="132"/>
      <c r="P44" s="132"/>
    </row>
    <row r="45" spans="1:16" s="117" customFormat="1">
      <c r="B45" s="166"/>
      <c r="C45" s="166"/>
      <c r="D45" s="166"/>
      <c r="E45" s="166"/>
      <c r="F45" s="166"/>
      <c r="G45" s="167"/>
      <c r="H45" s="166"/>
      <c r="I45" s="166"/>
      <c r="J45" s="166"/>
      <c r="K45" s="166"/>
      <c r="L45" s="167"/>
      <c r="N45" s="166"/>
      <c r="O45" s="166"/>
      <c r="P45" s="166"/>
    </row>
    <row r="46" spans="1:16" s="117" customFormat="1">
      <c r="A46" s="95"/>
      <c r="B46" s="166"/>
      <c r="C46" s="166"/>
      <c r="D46" s="166"/>
      <c r="E46" s="166"/>
      <c r="F46" s="166"/>
      <c r="G46" s="167"/>
      <c r="H46" s="166"/>
      <c r="I46" s="166"/>
      <c r="J46" s="166"/>
      <c r="K46" s="166"/>
      <c r="L46" s="167"/>
      <c r="N46" s="166"/>
      <c r="O46" s="166"/>
      <c r="P46" s="166"/>
    </row>
    <row r="47" spans="1:16" s="117" customFormat="1">
      <c r="A47" s="95"/>
      <c r="B47" s="166"/>
      <c r="C47" s="166"/>
      <c r="D47" s="166"/>
      <c r="E47" s="166"/>
      <c r="F47" s="166"/>
      <c r="G47" s="167"/>
      <c r="H47" s="166"/>
      <c r="I47" s="166"/>
      <c r="J47" s="166"/>
      <c r="K47" s="166"/>
      <c r="L47" s="167"/>
      <c r="N47" s="166"/>
      <c r="O47" s="166"/>
      <c r="P47" s="166"/>
    </row>
    <row r="48" spans="1:16" s="117" customFormat="1">
      <c r="A48" s="95"/>
      <c r="B48" s="166"/>
      <c r="C48" s="166"/>
      <c r="D48" s="166"/>
      <c r="E48" s="166"/>
      <c r="F48" s="166"/>
      <c r="G48" s="167"/>
      <c r="H48" s="166"/>
      <c r="I48" s="166"/>
      <c r="J48" s="166"/>
      <c r="K48" s="166"/>
      <c r="L48" s="167"/>
      <c r="N48" s="166"/>
      <c r="O48" s="166"/>
      <c r="P48" s="166"/>
    </row>
    <row r="49" spans="1:17" s="117" customFormat="1">
      <c r="A49" s="95"/>
      <c r="B49" s="166"/>
      <c r="C49" s="166"/>
      <c r="D49" s="166"/>
      <c r="E49" s="166"/>
      <c r="F49" s="166"/>
      <c r="G49" s="167"/>
      <c r="H49" s="166"/>
      <c r="I49" s="166"/>
      <c r="J49" s="166"/>
      <c r="K49" s="166"/>
      <c r="L49" s="167"/>
      <c r="N49" s="166"/>
      <c r="O49" s="166"/>
      <c r="P49" s="166"/>
    </row>
    <row r="50" spans="1:17" s="525" customFormat="1"/>
    <row r="51" spans="1:17" s="525" customFormat="1">
      <c r="B51" s="170"/>
      <c r="C51" s="170"/>
      <c r="D51" s="170"/>
      <c r="E51" s="170"/>
      <c r="F51" s="170"/>
      <c r="G51" s="171"/>
      <c r="H51" s="170"/>
      <c r="I51" s="170"/>
      <c r="J51" s="170"/>
      <c r="K51" s="170"/>
      <c r="L51" s="171"/>
      <c r="N51" s="170"/>
      <c r="O51" s="170"/>
      <c r="P51" s="170"/>
    </row>
    <row r="52" spans="1:17" s="525" customFormat="1">
      <c r="B52" s="170"/>
      <c r="C52" s="170"/>
      <c r="D52" s="170"/>
      <c r="E52" s="170"/>
      <c r="F52" s="170"/>
      <c r="G52" s="171"/>
      <c r="H52" s="170"/>
      <c r="I52" s="170"/>
      <c r="J52" s="170"/>
      <c r="K52" s="170"/>
      <c r="L52" s="171"/>
      <c r="N52" s="170"/>
      <c r="O52" s="170"/>
      <c r="P52" s="170"/>
    </row>
    <row r="53" spans="1:17" s="525" customFormat="1">
      <c r="B53" s="170"/>
      <c r="C53" s="170"/>
      <c r="D53" s="170"/>
      <c r="E53" s="170"/>
      <c r="F53" s="170"/>
      <c r="G53" s="171"/>
      <c r="H53" s="170"/>
      <c r="I53" s="170"/>
      <c r="J53" s="170"/>
      <c r="K53" s="170"/>
      <c r="L53" s="171"/>
      <c r="N53" s="170"/>
      <c r="O53" s="170"/>
      <c r="P53" s="170"/>
    </row>
    <row r="54" spans="1:17" s="525" customFormat="1">
      <c r="B54" s="170"/>
      <c r="C54" s="170"/>
      <c r="D54" s="170"/>
      <c r="E54" s="170"/>
      <c r="F54" s="170"/>
      <c r="G54" s="171"/>
      <c r="H54" s="170"/>
      <c r="I54" s="170"/>
      <c r="J54" s="170"/>
      <c r="K54" s="170"/>
      <c r="L54" s="171"/>
      <c r="N54" s="170"/>
      <c r="O54" s="170"/>
      <c r="P54" s="170"/>
    </row>
    <row r="55" spans="1:17" s="525" customFormat="1">
      <c r="B55" s="170"/>
      <c r="C55" s="170"/>
      <c r="D55" s="170"/>
      <c r="E55" s="170"/>
      <c r="F55" s="170"/>
      <c r="G55" s="171"/>
      <c r="H55" s="170"/>
      <c r="I55" s="170"/>
      <c r="J55" s="170"/>
      <c r="K55" s="170"/>
      <c r="L55" s="171"/>
      <c r="N55" s="170"/>
      <c r="O55" s="170"/>
      <c r="P55" s="170"/>
    </row>
    <row r="56" spans="1:17" s="117" customFormat="1">
      <c r="A56" s="95"/>
      <c r="B56" s="116"/>
      <c r="C56" s="172"/>
      <c r="D56" s="116"/>
      <c r="E56" s="172"/>
      <c r="F56" s="172"/>
      <c r="G56" s="156"/>
      <c r="H56" s="172"/>
      <c r="I56" s="116"/>
      <c r="J56" s="172"/>
      <c r="K56" s="172"/>
      <c r="L56" s="156"/>
      <c r="N56" s="116"/>
      <c r="O56" s="116"/>
      <c r="P56" s="116"/>
    </row>
    <row r="57" spans="1:17" s="117" customFormat="1">
      <c r="A57" s="95"/>
      <c r="B57" s="116"/>
      <c r="C57" s="172"/>
      <c r="D57" s="116"/>
      <c r="E57" s="172"/>
      <c r="F57" s="172"/>
      <c r="G57" s="156"/>
      <c r="H57" s="172"/>
      <c r="I57" s="116"/>
      <c r="J57" s="172"/>
      <c r="K57" s="172"/>
      <c r="L57" s="156"/>
      <c r="N57" s="116"/>
      <c r="O57" s="116"/>
      <c r="P57" s="116"/>
    </row>
    <row r="58" spans="1:17" s="117" customFormat="1">
      <c r="B58" s="173"/>
      <c r="C58" s="95"/>
      <c r="D58" s="173"/>
      <c r="E58" s="95"/>
      <c r="F58" s="95"/>
      <c r="G58" s="175"/>
      <c r="H58" s="95"/>
      <c r="I58" s="173"/>
      <c r="J58" s="95"/>
      <c r="K58" s="95"/>
      <c r="L58" s="175"/>
      <c r="M58" s="176"/>
      <c r="N58" s="95"/>
      <c r="O58" s="95"/>
      <c r="P58" s="95"/>
      <c r="Q58" s="176"/>
    </row>
    <row r="59" spans="1:17" s="117" customFormat="1">
      <c r="B59" s="95"/>
      <c r="C59" s="177"/>
      <c r="D59" s="95"/>
      <c r="E59" s="177"/>
      <c r="F59" s="177"/>
      <c r="G59" s="178"/>
      <c r="H59" s="177"/>
      <c r="I59" s="95"/>
      <c r="J59" s="177"/>
      <c r="K59" s="177"/>
      <c r="L59" s="178"/>
      <c r="M59" s="176"/>
      <c r="N59" s="177"/>
      <c r="O59" s="177"/>
      <c r="P59" s="177"/>
      <c r="Q59" s="176"/>
    </row>
    <row r="60" spans="1:17" s="117" customFormat="1">
      <c r="B60" s="95"/>
      <c r="D60" s="95"/>
      <c r="E60" s="95"/>
      <c r="F60" s="95"/>
      <c r="G60" s="162"/>
      <c r="I60" s="95"/>
      <c r="J60" s="95"/>
      <c r="K60" s="95"/>
      <c r="L60" s="162"/>
      <c r="M60" s="176"/>
      <c r="N60" s="95"/>
      <c r="O60" s="95"/>
      <c r="P60" s="95"/>
      <c r="Q60" s="176"/>
    </row>
    <row r="61" spans="1:17" s="117" customFormat="1">
      <c r="B61" s="179"/>
      <c r="C61" s="163"/>
      <c r="D61" s="179"/>
      <c r="E61" s="163"/>
      <c r="F61" s="163"/>
      <c r="G61" s="164"/>
      <c r="H61" s="163"/>
      <c r="I61" s="179"/>
      <c r="J61" s="163"/>
      <c r="K61" s="163"/>
      <c r="L61" s="164"/>
      <c r="M61" s="176"/>
      <c r="N61" s="163"/>
      <c r="O61" s="163"/>
      <c r="P61" s="163"/>
      <c r="Q61" s="176"/>
    </row>
    <row r="62" spans="1:17" s="117" customFormat="1">
      <c r="B62" s="179"/>
      <c r="C62" s="163"/>
      <c r="D62" s="179"/>
      <c r="E62" s="163"/>
      <c r="F62" s="163"/>
      <c r="G62" s="164"/>
      <c r="H62" s="163"/>
      <c r="I62" s="179"/>
      <c r="J62" s="163"/>
      <c r="K62" s="163"/>
      <c r="L62" s="164"/>
      <c r="M62" s="176"/>
      <c r="N62" s="163"/>
      <c r="O62" s="163"/>
      <c r="P62" s="163"/>
      <c r="Q62" s="176"/>
    </row>
    <row r="63" spans="1:17" s="117" customFormat="1">
      <c r="B63" s="179"/>
      <c r="C63" s="163"/>
      <c r="D63" s="179"/>
      <c r="E63" s="163"/>
      <c r="F63" s="163"/>
      <c r="G63" s="164"/>
      <c r="H63" s="163"/>
      <c r="I63" s="179"/>
      <c r="J63" s="163"/>
      <c r="K63" s="163"/>
      <c r="L63" s="164"/>
      <c r="M63" s="176"/>
      <c r="N63" s="163"/>
      <c r="O63" s="163"/>
      <c r="P63" s="163"/>
      <c r="Q63" s="176"/>
    </row>
    <row r="64" spans="1:17" s="117" customFormat="1">
      <c r="B64" s="179"/>
      <c r="C64" s="163"/>
      <c r="D64" s="179"/>
      <c r="E64" s="163"/>
      <c r="F64" s="163"/>
      <c r="G64" s="164"/>
      <c r="H64" s="163"/>
      <c r="I64" s="179"/>
      <c r="J64" s="163"/>
      <c r="K64" s="163"/>
      <c r="L64" s="164"/>
      <c r="M64" s="176"/>
      <c r="N64" s="163"/>
      <c r="O64" s="163"/>
      <c r="P64" s="163"/>
      <c r="Q64" s="176"/>
    </row>
    <row r="65" spans="2:17" s="117" customFormat="1">
      <c r="B65" s="179"/>
      <c r="C65" s="163"/>
      <c r="D65" s="179"/>
      <c r="E65" s="163"/>
      <c r="F65" s="163"/>
      <c r="G65" s="164"/>
      <c r="H65" s="163"/>
      <c r="I65" s="179"/>
      <c r="J65" s="163"/>
      <c r="K65" s="163"/>
      <c r="L65" s="164"/>
      <c r="M65" s="176"/>
      <c r="N65" s="163"/>
      <c r="O65" s="163"/>
      <c r="P65" s="163"/>
      <c r="Q65" s="176"/>
    </row>
    <row r="66" spans="2:17" s="117" customFormat="1">
      <c r="B66" s="179"/>
      <c r="C66" s="163"/>
      <c r="D66" s="179"/>
      <c r="E66" s="163"/>
      <c r="F66" s="163"/>
      <c r="G66" s="164"/>
      <c r="H66" s="163"/>
      <c r="I66" s="179"/>
      <c r="J66" s="163"/>
      <c r="K66" s="163"/>
      <c r="L66" s="164"/>
      <c r="M66" s="176"/>
      <c r="N66" s="163"/>
      <c r="O66" s="163"/>
      <c r="P66" s="163"/>
      <c r="Q66" s="176"/>
    </row>
    <row r="67" spans="2:17" s="117" customFormat="1">
      <c r="B67" s="179"/>
      <c r="C67" s="163"/>
      <c r="D67" s="179"/>
      <c r="E67" s="163"/>
      <c r="F67" s="163"/>
      <c r="G67" s="164"/>
      <c r="H67" s="163"/>
      <c r="I67" s="179"/>
      <c r="J67" s="163"/>
      <c r="K67" s="163"/>
      <c r="L67" s="164"/>
      <c r="M67" s="176"/>
      <c r="N67" s="163"/>
      <c r="O67" s="163"/>
      <c r="P67" s="163"/>
      <c r="Q67" s="176"/>
    </row>
    <row r="68" spans="2:17" s="117" customFormat="1">
      <c r="B68" s="179"/>
      <c r="C68" s="163"/>
      <c r="D68" s="179"/>
      <c r="E68" s="163"/>
      <c r="F68" s="163"/>
      <c r="G68" s="164"/>
      <c r="H68" s="163"/>
      <c r="I68" s="179"/>
      <c r="J68" s="163"/>
      <c r="K68" s="163"/>
      <c r="L68" s="164"/>
      <c r="M68" s="176"/>
      <c r="N68" s="163"/>
      <c r="O68" s="163"/>
      <c r="P68" s="163"/>
      <c r="Q68" s="176"/>
    </row>
    <row r="69" spans="2:17" s="117" customFormat="1">
      <c r="B69" s="179"/>
      <c r="C69" s="163"/>
      <c r="D69" s="179"/>
      <c r="E69" s="163"/>
      <c r="F69" s="163"/>
      <c r="G69" s="164"/>
      <c r="H69" s="163"/>
      <c r="I69" s="179"/>
      <c r="J69" s="163"/>
      <c r="K69" s="163"/>
      <c r="L69" s="164"/>
      <c r="M69" s="176"/>
      <c r="N69" s="163"/>
      <c r="O69" s="163"/>
      <c r="P69" s="163"/>
      <c r="Q69" s="176"/>
    </row>
    <row r="70" spans="2:17" s="117" customFormat="1">
      <c r="B70" s="179"/>
      <c r="C70" s="163"/>
      <c r="D70" s="179"/>
      <c r="E70" s="163"/>
      <c r="F70" s="163"/>
      <c r="G70" s="164"/>
      <c r="H70" s="163"/>
      <c r="I70" s="179"/>
      <c r="J70" s="163"/>
      <c r="K70" s="163"/>
      <c r="L70" s="164"/>
      <c r="M70" s="176"/>
      <c r="N70" s="163"/>
      <c r="O70" s="163"/>
      <c r="P70" s="163"/>
      <c r="Q70" s="176"/>
    </row>
    <row r="71" spans="2:17" s="117" customFormat="1" outlineLevel="1">
      <c r="B71" s="95"/>
      <c r="C71" s="95"/>
      <c r="D71" s="95"/>
      <c r="E71" s="95"/>
      <c r="F71" s="95"/>
      <c r="G71" s="180"/>
      <c r="H71" s="95"/>
      <c r="I71" s="95"/>
      <c r="J71" s="95"/>
      <c r="K71" s="95"/>
      <c r="L71" s="180"/>
      <c r="M71" s="176"/>
      <c r="N71" s="95"/>
      <c r="O71" s="95"/>
      <c r="P71" s="95"/>
      <c r="Q71" s="176"/>
    </row>
    <row r="72" spans="2:17" s="117" customFormat="1" outlineLevel="1">
      <c r="B72" s="166"/>
      <c r="C72" s="166"/>
      <c r="D72" s="166"/>
      <c r="E72" s="166"/>
      <c r="F72" s="166"/>
      <c r="G72" s="167"/>
      <c r="H72" s="166"/>
      <c r="I72" s="166"/>
      <c r="J72" s="166"/>
      <c r="K72" s="166"/>
      <c r="L72" s="167"/>
      <c r="M72" s="176"/>
      <c r="N72" s="166"/>
      <c r="O72" s="166"/>
      <c r="P72" s="166"/>
      <c r="Q72" s="176"/>
    </row>
    <row r="73" spans="2:17" s="117" customFormat="1" outlineLevel="1">
      <c r="B73" s="166"/>
      <c r="C73" s="166"/>
      <c r="D73" s="166"/>
      <c r="E73" s="166"/>
      <c r="F73" s="166"/>
      <c r="G73" s="167"/>
      <c r="H73" s="166"/>
      <c r="I73" s="166"/>
      <c r="J73" s="166"/>
      <c r="K73" s="166"/>
      <c r="L73" s="167"/>
      <c r="M73" s="176"/>
      <c r="N73" s="166"/>
      <c r="O73" s="166"/>
      <c r="P73" s="166"/>
      <c r="Q73" s="176"/>
    </row>
    <row r="74" spans="2:17" s="117" customFormat="1" outlineLevel="1">
      <c r="B74" s="166"/>
      <c r="C74" s="166"/>
      <c r="D74" s="166"/>
      <c r="E74" s="166"/>
      <c r="F74" s="166"/>
      <c r="G74" s="167"/>
      <c r="H74" s="166"/>
      <c r="I74" s="166"/>
      <c r="J74" s="166"/>
      <c r="K74" s="166"/>
      <c r="L74" s="167"/>
      <c r="M74" s="176"/>
      <c r="N74" s="166"/>
      <c r="O74" s="166"/>
      <c r="P74" s="166"/>
      <c r="Q74" s="176"/>
    </row>
    <row r="75" spans="2:17" s="117" customFormat="1" outlineLevel="1">
      <c r="B75" s="166"/>
      <c r="C75" s="166"/>
      <c r="D75" s="166"/>
      <c r="E75" s="166"/>
      <c r="F75" s="166"/>
      <c r="G75" s="167"/>
      <c r="H75" s="166"/>
      <c r="I75" s="166"/>
      <c r="J75" s="166"/>
      <c r="K75" s="166"/>
      <c r="L75" s="167"/>
      <c r="M75" s="176"/>
      <c r="N75" s="166"/>
      <c r="O75" s="166"/>
      <c r="P75" s="166"/>
      <c r="Q75" s="176"/>
    </row>
    <row r="76" spans="2:17" s="117" customFormat="1" outlineLevel="1">
      <c r="B76" s="166"/>
      <c r="C76" s="166"/>
      <c r="D76" s="166"/>
      <c r="E76" s="166"/>
      <c r="F76" s="166"/>
      <c r="G76" s="167"/>
      <c r="H76" s="166"/>
      <c r="I76" s="166"/>
      <c r="J76" s="166"/>
      <c r="K76" s="166"/>
      <c r="L76" s="167"/>
      <c r="M76" s="176"/>
      <c r="N76" s="166"/>
      <c r="O76" s="166"/>
      <c r="P76" s="166"/>
      <c r="Q76" s="176"/>
    </row>
    <row r="77" spans="2:17" s="117" customFormat="1" outlineLevel="1">
      <c r="B77" s="116"/>
      <c r="C77" s="116"/>
      <c r="D77" s="116"/>
      <c r="E77" s="116"/>
      <c r="F77" s="116"/>
      <c r="G77" s="156"/>
      <c r="H77" s="116"/>
      <c r="I77" s="116"/>
      <c r="J77" s="116"/>
      <c r="K77" s="116"/>
      <c r="L77" s="156"/>
      <c r="M77" s="176"/>
      <c r="N77" s="116"/>
      <c r="O77" s="116"/>
      <c r="P77" s="116"/>
      <c r="Q77" s="176"/>
    </row>
    <row r="78" spans="2:17" s="117" customFormat="1" outlineLevel="1">
      <c r="B78" s="157"/>
      <c r="C78" s="95"/>
      <c r="D78" s="157"/>
      <c r="E78" s="95"/>
      <c r="F78" s="95"/>
      <c r="G78" s="158"/>
      <c r="H78" s="95"/>
      <c r="I78" s="157"/>
      <c r="J78" s="95"/>
      <c r="K78" s="95"/>
      <c r="L78" s="158"/>
      <c r="M78" s="176"/>
      <c r="N78" s="95"/>
      <c r="O78" s="95"/>
      <c r="P78" s="95"/>
      <c r="Q78" s="176"/>
    </row>
    <row r="79" spans="2:17" s="117" customFormat="1" outlineLevel="1">
      <c r="B79" s="95"/>
      <c r="C79" s="159"/>
      <c r="D79" s="95"/>
      <c r="E79" s="159"/>
      <c r="F79" s="159"/>
      <c r="G79" s="161"/>
      <c r="H79" s="159"/>
      <c r="I79" s="95"/>
      <c r="J79" s="159"/>
      <c r="K79" s="159"/>
      <c r="L79" s="161"/>
      <c r="M79" s="176"/>
      <c r="N79" s="159"/>
      <c r="O79" s="159"/>
      <c r="P79" s="159"/>
      <c r="Q79" s="176"/>
    </row>
    <row r="80" spans="2:17" s="117" customFormat="1" outlineLevel="1">
      <c r="B80" s="95"/>
      <c r="D80" s="95"/>
      <c r="E80" s="95"/>
      <c r="F80" s="95"/>
      <c r="G80" s="162"/>
      <c r="I80" s="95"/>
      <c r="J80" s="95"/>
      <c r="K80" s="95"/>
      <c r="L80" s="162"/>
      <c r="M80" s="176"/>
      <c r="N80" s="95"/>
      <c r="O80" s="95"/>
      <c r="P80" s="95"/>
      <c r="Q80" s="176"/>
    </row>
    <row r="81" spans="2:17" s="117" customFormat="1">
      <c r="B81" s="179"/>
      <c r="C81" s="163"/>
      <c r="D81" s="179"/>
      <c r="E81" s="163"/>
      <c r="F81" s="163"/>
      <c r="G81" s="164"/>
      <c r="H81" s="163"/>
      <c r="I81" s="179"/>
      <c r="J81" s="163"/>
      <c r="K81" s="163"/>
      <c r="L81" s="164"/>
      <c r="M81" s="176"/>
      <c r="N81" s="163"/>
      <c r="O81" s="163"/>
      <c r="P81" s="163"/>
      <c r="Q81" s="176"/>
    </row>
    <row r="82" spans="2:17" s="117" customFormat="1">
      <c r="B82" s="179"/>
      <c r="C82" s="163"/>
      <c r="D82" s="179"/>
      <c r="E82" s="163"/>
      <c r="F82" s="163"/>
      <c r="G82" s="164"/>
      <c r="H82" s="163"/>
      <c r="I82" s="179"/>
      <c r="J82" s="163"/>
      <c r="K82" s="163"/>
      <c r="L82" s="164"/>
      <c r="M82" s="176"/>
      <c r="N82" s="163"/>
      <c r="O82" s="163"/>
      <c r="P82" s="163"/>
      <c r="Q82" s="176"/>
    </row>
    <row r="83" spans="2:17" s="117" customFormat="1">
      <c r="B83" s="179"/>
      <c r="C83" s="163"/>
      <c r="D83" s="179"/>
      <c r="E83" s="163"/>
      <c r="F83" s="163"/>
      <c r="G83" s="164"/>
      <c r="H83" s="163"/>
      <c r="I83" s="179"/>
      <c r="J83" s="163"/>
      <c r="K83" s="163"/>
      <c r="L83" s="164"/>
      <c r="M83" s="176"/>
      <c r="N83" s="163"/>
      <c r="O83" s="163"/>
      <c r="P83" s="163"/>
      <c r="Q83" s="176"/>
    </row>
    <row r="84" spans="2:17" s="117" customFormat="1" outlineLevel="1">
      <c r="B84" s="179"/>
      <c r="C84" s="163"/>
      <c r="D84" s="179"/>
      <c r="E84" s="163"/>
      <c r="F84" s="163"/>
      <c r="G84" s="164"/>
      <c r="H84" s="163"/>
      <c r="I84" s="179"/>
      <c r="J84" s="163"/>
      <c r="K84" s="163"/>
      <c r="L84" s="164"/>
      <c r="M84" s="176"/>
      <c r="N84" s="163"/>
      <c r="O84" s="163"/>
      <c r="P84" s="163"/>
      <c r="Q84" s="176"/>
    </row>
    <row r="85" spans="2:17" s="117" customFormat="1" outlineLevel="1">
      <c r="B85" s="179"/>
      <c r="C85" s="163"/>
      <c r="D85" s="179"/>
      <c r="E85" s="163"/>
      <c r="F85" s="163"/>
      <c r="G85" s="164"/>
      <c r="H85" s="163"/>
      <c r="I85" s="179"/>
      <c r="J85" s="163"/>
      <c r="K85" s="163"/>
      <c r="L85" s="164"/>
      <c r="M85" s="176"/>
      <c r="N85" s="163"/>
      <c r="O85" s="163"/>
      <c r="P85" s="163"/>
      <c r="Q85" s="176"/>
    </row>
    <row r="86" spans="2:17" s="117" customFormat="1" outlineLevel="1">
      <c r="B86" s="179"/>
      <c r="C86" s="163"/>
      <c r="D86" s="179"/>
      <c r="E86" s="163"/>
      <c r="F86" s="163"/>
      <c r="G86" s="164"/>
      <c r="H86" s="163"/>
      <c r="I86" s="179"/>
      <c r="J86" s="163"/>
      <c r="K86" s="163"/>
      <c r="L86" s="164"/>
      <c r="M86" s="176"/>
      <c r="N86" s="163"/>
      <c r="O86" s="163"/>
      <c r="P86" s="163"/>
      <c r="Q86" s="176"/>
    </row>
    <row r="87" spans="2:17" s="117" customFormat="1" outlineLevel="1">
      <c r="B87" s="179"/>
      <c r="C87" s="163"/>
      <c r="D87" s="179"/>
      <c r="E87" s="163"/>
      <c r="F87" s="163"/>
      <c r="G87" s="164"/>
      <c r="H87" s="163"/>
      <c r="I87" s="179"/>
      <c r="J87" s="163"/>
      <c r="K87" s="163"/>
      <c r="L87" s="164"/>
      <c r="M87" s="176"/>
      <c r="N87" s="163"/>
      <c r="O87" s="163"/>
      <c r="P87" s="163"/>
      <c r="Q87" s="176"/>
    </row>
    <row r="88" spans="2:17" s="117" customFormat="1" outlineLevel="1">
      <c r="B88" s="179"/>
      <c r="C88" s="163"/>
      <c r="D88" s="179"/>
      <c r="E88" s="163"/>
      <c r="F88" s="163"/>
      <c r="G88" s="164"/>
      <c r="H88" s="163"/>
      <c r="I88" s="179"/>
      <c r="J88" s="163"/>
      <c r="K88" s="163"/>
      <c r="L88" s="164"/>
      <c r="M88" s="176"/>
      <c r="N88" s="163"/>
      <c r="O88" s="163"/>
      <c r="P88" s="163"/>
      <c r="Q88" s="176"/>
    </row>
    <row r="89" spans="2:17" s="117" customFormat="1" outlineLevel="1">
      <c r="B89" s="179"/>
      <c r="C89" s="163"/>
      <c r="D89" s="179"/>
      <c r="E89" s="163"/>
      <c r="F89" s="163"/>
      <c r="G89" s="164"/>
      <c r="H89" s="163"/>
      <c r="I89" s="179"/>
      <c r="J89" s="163"/>
      <c r="K89" s="163"/>
      <c r="L89" s="164"/>
      <c r="M89" s="176"/>
      <c r="N89" s="163"/>
      <c r="O89" s="163"/>
      <c r="P89" s="163"/>
      <c r="Q89" s="176"/>
    </row>
    <row r="90" spans="2:17" s="117" customFormat="1" outlineLevel="1">
      <c r="B90" s="179"/>
      <c r="C90" s="163"/>
      <c r="D90" s="179"/>
      <c r="E90" s="163"/>
      <c r="F90" s="163"/>
      <c r="G90" s="164"/>
      <c r="H90" s="163"/>
      <c r="I90" s="179"/>
      <c r="J90" s="163"/>
      <c r="K90" s="163"/>
      <c r="L90" s="164"/>
      <c r="M90" s="176"/>
      <c r="N90" s="163"/>
      <c r="O90" s="163"/>
      <c r="P90" s="163"/>
      <c r="Q90" s="176"/>
    </row>
    <row r="91" spans="2:17" s="117" customFormat="1" outlineLevel="1">
      <c r="B91" s="95"/>
      <c r="C91" s="95"/>
      <c r="D91" s="95"/>
      <c r="E91" s="95"/>
      <c r="F91" s="95"/>
      <c r="G91" s="180"/>
      <c r="H91" s="95"/>
      <c r="I91" s="95"/>
      <c r="J91" s="95"/>
      <c r="K91" s="95"/>
      <c r="L91" s="180"/>
      <c r="M91" s="176"/>
      <c r="N91" s="95"/>
      <c r="O91" s="95"/>
      <c r="P91" s="95"/>
      <c r="Q91" s="176"/>
    </row>
    <row r="92" spans="2:17" s="117" customFormat="1" outlineLevel="1">
      <c r="B92" s="166"/>
      <c r="C92" s="166"/>
      <c r="D92" s="166"/>
      <c r="E92" s="166"/>
      <c r="F92" s="166"/>
      <c r="G92" s="167"/>
      <c r="H92" s="166"/>
      <c r="I92" s="166"/>
      <c r="J92" s="166"/>
      <c r="K92" s="166"/>
      <c r="L92" s="167"/>
      <c r="M92" s="176"/>
      <c r="N92" s="166"/>
      <c r="O92" s="166"/>
      <c r="P92" s="166"/>
      <c r="Q92" s="176"/>
    </row>
    <row r="93" spans="2:17" s="117" customFormat="1" outlineLevel="1">
      <c r="B93" s="166"/>
      <c r="C93" s="166"/>
      <c r="D93" s="166"/>
      <c r="E93" s="166"/>
      <c r="F93" s="166"/>
      <c r="G93" s="167"/>
      <c r="H93" s="166"/>
      <c r="I93" s="166"/>
      <c r="J93" s="166"/>
      <c r="K93" s="166"/>
      <c r="L93" s="167"/>
      <c r="M93" s="176"/>
      <c r="N93" s="166"/>
      <c r="O93" s="166"/>
      <c r="P93" s="166"/>
      <c r="Q93" s="176"/>
    </row>
    <row r="94" spans="2:17" s="117" customFormat="1" outlineLevel="1">
      <c r="B94" s="166"/>
      <c r="C94" s="166"/>
      <c r="D94" s="166"/>
      <c r="E94" s="166"/>
      <c r="F94" s="166"/>
      <c r="G94" s="167"/>
      <c r="H94" s="166"/>
      <c r="I94" s="166"/>
      <c r="J94" s="166"/>
      <c r="K94" s="166"/>
      <c r="L94" s="167"/>
      <c r="M94" s="176"/>
      <c r="N94" s="166"/>
      <c r="O94" s="166"/>
      <c r="P94" s="166"/>
      <c r="Q94" s="176"/>
    </row>
    <row r="95" spans="2:17" s="117" customFormat="1" outlineLevel="1">
      <c r="B95" s="166"/>
      <c r="C95" s="166"/>
      <c r="D95" s="166"/>
      <c r="E95" s="166"/>
      <c r="F95" s="166"/>
      <c r="G95" s="167"/>
      <c r="H95" s="166"/>
      <c r="I95" s="166"/>
      <c r="J95" s="166"/>
      <c r="K95" s="166"/>
      <c r="L95" s="167"/>
      <c r="M95" s="176"/>
      <c r="N95" s="166"/>
      <c r="O95" s="166"/>
      <c r="P95" s="166"/>
      <c r="Q95" s="176"/>
    </row>
    <row r="96" spans="2:17" s="117" customFormat="1" outlineLevel="1">
      <c r="B96" s="166"/>
      <c r="C96" s="166"/>
      <c r="D96" s="166"/>
      <c r="E96" s="166"/>
      <c r="F96" s="166"/>
      <c r="G96" s="167"/>
      <c r="H96" s="166"/>
      <c r="I96" s="166"/>
      <c r="J96" s="166"/>
      <c r="K96" s="166"/>
      <c r="L96" s="167"/>
      <c r="M96" s="176"/>
      <c r="N96" s="166"/>
      <c r="O96" s="166"/>
      <c r="P96" s="166"/>
      <c r="Q96" s="176"/>
    </row>
    <row r="97" spans="2:17" s="117" customFormat="1">
      <c r="B97" s="525"/>
      <c r="C97" s="525"/>
      <c r="D97" s="525"/>
      <c r="E97" s="525"/>
      <c r="F97" s="525"/>
      <c r="G97" s="525"/>
      <c r="H97" s="525"/>
      <c r="I97" s="525"/>
      <c r="J97" s="525"/>
      <c r="K97" s="525"/>
      <c r="L97" s="525"/>
      <c r="M97" s="176"/>
      <c r="N97" s="525"/>
      <c r="O97" s="525"/>
      <c r="P97" s="525"/>
      <c r="Q97" s="176"/>
    </row>
    <row r="98" spans="2:17" s="117" customFormat="1">
      <c r="B98" s="170"/>
      <c r="C98" s="170"/>
      <c r="D98" s="170"/>
      <c r="E98" s="170"/>
      <c r="F98" s="170"/>
      <c r="G98" s="171"/>
      <c r="H98" s="170"/>
      <c r="I98" s="170"/>
      <c r="J98" s="170"/>
      <c r="K98" s="170"/>
      <c r="L98" s="171"/>
      <c r="M98" s="176"/>
      <c r="N98" s="170"/>
      <c r="O98" s="170"/>
      <c r="P98" s="170"/>
      <c r="Q98" s="176"/>
    </row>
    <row r="99" spans="2:17" s="117" customFormat="1">
      <c r="B99" s="170"/>
      <c r="C99" s="170"/>
      <c r="D99" s="170"/>
      <c r="E99" s="170"/>
      <c r="F99" s="170"/>
      <c r="G99" s="171"/>
      <c r="H99" s="170"/>
      <c r="I99" s="170"/>
      <c r="J99" s="170"/>
      <c r="K99" s="170"/>
      <c r="L99" s="171"/>
      <c r="M99" s="176"/>
      <c r="N99" s="170"/>
      <c r="O99" s="170"/>
      <c r="P99" s="170"/>
      <c r="Q99" s="176"/>
    </row>
    <row r="100" spans="2:17" s="117" customFormat="1">
      <c r="B100" s="170"/>
      <c r="C100" s="170"/>
      <c r="D100" s="170"/>
      <c r="E100" s="170"/>
      <c r="F100" s="170"/>
      <c r="G100" s="171"/>
      <c r="H100" s="170"/>
      <c r="I100" s="170"/>
      <c r="J100" s="170"/>
      <c r="K100" s="170"/>
      <c r="L100" s="171"/>
      <c r="M100" s="176"/>
      <c r="N100" s="170"/>
      <c r="O100" s="170"/>
      <c r="P100" s="170"/>
      <c r="Q100" s="176"/>
    </row>
    <row r="101" spans="2:17" s="117" customFormat="1">
      <c r="B101" s="170"/>
      <c r="C101" s="170"/>
      <c r="D101" s="170"/>
      <c r="E101" s="170"/>
      <c r="F101" s="170"/>
      <c r="G101" s="171"/>
      <c r="H101" s="170"/>
      <c r="I101" s="170"/>
      <c r="J101" s="170"/>
      <c r="K101" s="170"/>
      <c r="L101" s="171"/>
      <c r="M101" s="176"/>
      <c r="N101" s="170"/>
      <c r="O101" s="170"/>
      <c r="P101" s="170"/>
      <c r="Q101" s="176"/>
    </row>
    <row r="102" spans="2:17" s="117" customFormat="1">
      <c r="B102" s="170"/>
      <c r="C102" s="170"/>
      <c r="D102" s="170"/>
      <c r="E102" s="170"/>
      <c r="F102" s="170"/>
      <c r="G102" s="171"/>
      <c r="H102" s="170"/>
      <c r="I102" s="170"/>
      <c r="J102" s="170"/>
      <c r="K102" s="170"/>
      <c r="L102" s="171"/>
      <c r="M102" s="176"/>
      <c r="N102" s="170"/>
      <c r="O102" s="170"/>
      <c r="P102" s="170"/>
      <c r="Q102" s="176"/>
    </row>
    <row r="103" spans="2:17" s="525" customFormat="1"/>
    <row r="104" spans="2:17" s="525" customFormat="1"/>
    <row r="105" spans="2:17" s="117" customFormat="1">
      <c r="B105" s="173"/>
      <c r="C105" s="95"/>
      <c r="D105" s="173"/>
      <c r="E105" s="95"/>
      <c r="F105" s="95"/>
      <c r="G105" s="181"/>
      <c r="H105" s="95"/>
      <c r="I105" s="173"/>
      <c r="J105" s="95"/>
      <c r="K105" s="95"/>
      <c r="L105" s="181"/>
      <c r="M105" s="176"/>
      <c r="N105" s="95"/>
      <c r="O105" s="95"/>
      <c r="P105" s="95"/>
      <c r="Q105" s="176"/>
    </row>
    <row r="106" spans="2:17" s="117" customFormat="1">
      <c r="B106" s="95"/>
      <c r="C106" s="177"/>
      <c r="D106" s="95"/>
      <c r="E106" s="177"/>
      <c r="F106" s="177"/>
      <c r="G106" s="181"/>
      <c r="H106" s="177"/>
      <c r="I106" s="95"/>
      <c r="J106" s="177"/>
      <c r="K106" s="177"/>
      <c r="L106" s="181"/>
      <c r="M106" s="176"/>
      <c r="N106" s="177"/>
      <c r="O106" s="177"/>
      <c r="P106" s="177"/>
      <c r="Q106" s="176"/>
    </row>
    <row r="107" spans="2:17" s="117" customFormat="1">
      <c r="B107" s="95"/>
      <c r="D107" s="95"/>
      <c r="E107" s="95"/>
      <c r="F107" s="95"/>
      <c r="G107" s="162"/>
      <c r="I107" s="95"/>
      <c r="J107" s="95"/>
      <c r="K107" s="95"/>
      <c r="L107" s="162"/>
      <c r="M107" s="176"/>
      <c r="N107" s="95"/>
      <c r="O107" s="95"/>
      <c r="P107" s="95"/>
      <c r="Q107" s="176"/>
    </row>
    <row r="108" spans="2:17" s="117" customFormat="1">
      <c r="B108" s="179"/>
      <c r="C108" s="163"/>
      <c r="D108" s="179"/>
      <c r="E108" s="163"/>
      <c r="F108" s="163"/>
      <c r="G108" s="164"/>
      <c r="H108" s="163"/>
      <c r="I108" s="179"/>
      <c r="J108" s="163"/>
      <c r="K108" s="163"/>
      <c r="L108" s="164"/>
      <c r="M108" s="176"/>
      <c r="N108" s="163"/>
      <c r="O108" s="163"/>
      <c r="P108" s="163"/>
      <c r="Q108" s="176"/>
    </row>
    <row r="109" spans="2:17" s="117" customFormat="1">
      <c r="B109" s="179"/>
      <c r="C109" s="163"/>
      <c r="D109" s="179"/>
      <c r="E109" s="163"/>
      <c r="F109" s="163"/>
      <c r="G109" s="164"/>
      <c r="H109" s="163"/>
      <c r="I109" s="179"/>
      <c r="J109" s="163"/>
      <c r="K109" s="163"/>
      <c r="L109" s="164"/>
      <c r="M109" s="176"/>
      <c r="N109" s="163"/>
      <c r="O109" s="163"/>
      <c r="P109" s="163"/>
      <c r="Q109" s="176"/>
    </row>
    <row r="110" spans="2:17" s="117" customFormat="1">
      <c r="B110" s="179"/>
      <c r="C110" s="163"/>
      <c r="D110" s="179"/>
      <c r="E110" s="163"/>
      <c r="F110" s="163"/>
      <c r="G110" s="164"/>
      <c r="H110" s="163"/>
      <c r="I110" s="179"/>
      <c r="J110" s="163"/>
      <c r="K110" s="163"/>
      <c r="L110" s="164"/>
      <c r="M110" s="176"/>
      <c r="N110" s="163"/>
      <c r="O110" s="163"/>
      <c r="P110" s="163"/>
      <c r="Q110" s="176"/>
    </row>
    <row r="111" spans="2:17" s="117" customFormat="1">
      <c r="B111" s="179"/>
      <c r="C111" s="163"/>
      <c r="D111" s="179"/>
      <c r="E111" s="163"/>
      <c r="F111" s="163"/>
      <c r="G111" s="164"/>
      <c r="H111" s="163"/>
      <c r="I111" s="179"/>
      <c r="J111" s="163"/>
      <c r="K111" s="163"/>
      <c r="L111" s="164"/>
      <c r="M111" s="176"/>
      <c r="N111" s="163"/>
      <c r="O111" s="163"/>
      <c r="P111" s="163"/>
      <c r="Q111" s="176"/>
    </row>
    <row r="112" spans="2:17" s="117" customFormat="1">
      <c r="B112" s="179"/>
      <c r="C112" s="163"/>
      <c r="D112" s="179"/>
      <c r="E112" s="163"/>
      <c r="F112" s="163"/>
      <c r="G112" s="164"/>
      <c r="H112" s="163"/>
      <c r="I112" s="179"/>
      <c r="J112" s="163"/>
      <c r="K112" s="163"/>
      <c r="L112" s="164"/>
      <c r="M112" s="176"/>
      <c r="N112" s="163"/>
      <c r="O112" s="163"/>
      <c r="P112" s="163"/>
      <c r="Q112" s="176"/>
    </row>
    <row r="113" spans="1:17" s="117" customFormat="1">
      <c r="B113" s="179"/>
      <c r="C113" s="163"/>
      <c r="D113" s="179"/>
      <c r="E113" s="163"/>
      <c r="F113" s="163"/>
      <c r="G113" s="164"/>
      <c r="H113" s="163"/>
      <c r="I113" s="179"/>
      <c r="J113" s="163"/>
      <c r="K113" s="163"/>
      <c r="L113" s="164"/>
      <c r="M113" s="176"/>
      <c r="N113" s="163"/>
      <c r="O113" s="163"/>
      <c r="P113" s="163"/>
      <c r="Q113" s="176"/>
    </row>
    <row r="114" spans="1:17" s="117" customFormat="1">
      <c r="B114" s="179"/>
      <c r="C114" s="163"/>
      <c r="D114" s="179"/>
      <c r="E114" s="163"/>
      <c r="F114" s="163"/>
      <c r="G114" s="164"/>
      <c r="H114" s="163"/>
      <c r="I114" s="179"/>
      <c r="J114" s="163"/>
      <c r="K114" s="163"/>
      <c r="L114" s="164"/>
      <c r="M114" s="176"/>
      <c r="N114" s="163"/>
      <c r="O114" s="163"/>
      <c r="P114" s="163"/>
      <c r="Q114" s="176"/>
    </row>
    <row r="115" spans="1:17" s="117" customFormat="1">
      <c r="B115" s="179"/>
      <c r="C115" s="163"/>
      <c r="D115" s="179"/>
      <c r="E115" s="163"/>
      <c r="F115" s="163"/>
      <c r="G115" s="164"/>
      <c r="H115" s="163"/>
      <c r="I115" s="179"/>
      <c r="J115" s="163"/>
      <c r="K115" s="163"/>
      <c r="L115" s="164"/>
      <c r="M115" s="176"/>
      <c r="N115" s="163"/>
      <c r="O115" s="163"/>
      <c r="P115" s="163"/>
      <c r="Q115" s="176"/>
    </row>
    <row r="116" spans="1:17" s="117" customFormat="1">
      <c r="B116" s="179"/>
      <c r="C116" s="163"/>
      <c r="D116" s="179"/>
      <c r="E116" s="163"/>
      <c r="F116" s="163"/>
      <c r="G116" s="164"/>
      <c r="H116" s="163"/>
      <c r="I116" s="179"/>
      <c r="J116" s="163"/>
      <c r="K116" s="163"/>
      <c r="L116" s="164"/>
      <c r="M116" s="176"/>
      <c r="N116" s="163"/>
      <c r="O116" s="163"/>
      <c r="P116" s="163"/>
      <c r="Q116" s="176"/>
    </row>
    <row r="117" spans="1:17" s="117" customFormat="1">
      <c r="B117" s="179"/>
      <c r="C117" s="163"/>
      <c r="D117" s="179"/>
      <c r="E117" s="163"/>
      <c r="F117" s="163"/>
      <c r="G117" s="164"/>
      <c r="H117" s="163"/>
      <c r="I117" s="179"/>
      <c r="J117" s="163"/>
      <c r="K117" s="163"/>
      <c r="L117" s="164"/>
      <c r="M117" s="176"/>
      <c r="N117" s="163"/>
      <c r="O117" s="163"/>
      <c r="P117" s="163"/>
      <c r="Q117" s="176"/>
    </row>
    <row r="118" spans="1:17" s="117" customFormat="1" outlineLevel="1">
      <c r="B118" s="179"/>
      <c r="C118" s="182"/>
      <c r="D118" s="179"/>
      <c r="E118" s="182"/>
      <c r="F118" s="182"/>
      <c r="G118" s="164"/>
      <c r="H118" s="182"/>
      <c r="I118" s="179"/>
      <c r="J118" s="182"/>
      <c r="K118" s="182"/>
      <c r="L118" s="164"/>
      <c r="M118" s="176"/>
      <c r="N118" s="182"/>
      <c r="O118" s="182"/>
      <c r="P118" s="182"/>
      <c r="Q118" s="176"/>
    </row>
    <row r="119" spans="1:17" s="117" customFormat="1" outlineLevel="1">
      <c r="B119" s="166"/>
      <c r="C119" s="166"/>
      <c r="D119" s="166"/>
      <c r="E119" s="166"/>
      <c r="F119" s="166"/>
      <c r="G119" s="164"/>
      <c r="H119" s="166"/>
      <c r="I119" s="166"/>
      <c r="J119" s="166"/>
      <c r="K119" s="166"/>
      <c r="L119" s="164"/>
      <c r="M119" s="184"/>
      <c r="N119" s="166"/>
      <c r="O119" s="166"/>
      <c r="P119" s="166"/>
      <c r="Q119" s="184"/>
    </row>
    <row r="120" spans="1:17" s="117" customFormat="1" outlineLevel="1">
      <c r="B120" s="166"/>
      <c r="C120" s="166"/>
      <c r="D120" s="166"/>
      <c r="E120" s="166"/>
      <c r="F120" s="166"/>
      <c r="G120" s="164"/>
      <c r="H120" s="166"/>
      <c r="I120" s="166"/>
      <c r="J120" s="166"/>
      <c r="K120" s="166"/>
      <c r="L120" s="164"/>
      <c r="M120" s="184"/>
      <c r="N120" s="166"/>
      <c r="O120" s="166"/>
      <c r="P120" s="166"/>
      <c r="Q120" s="184"/>
    </row>
    <row r="121" spans="1:17" s="117" customFormat="1" outlineLevel="1">
      <c r="B121" s="166"/>
      <c r="C121" s="166"/>
      <c r="D121" s="166"/>
      <c r="E121" s="166"/>
      <c r="F121" s="166"/>
      <c r="G121" s="164"/>
      <c r="H121" s="166"/>
      <c r="I121" s="166"/>
      <c r="J121" s="166"/>
      <c r="K121" s="166"/>
      <c r="L121" s="164"/>
      <c r="M121" s="184"/>
      <c r="N121" s="166"/>
      <c r="O121" s="166"/>
      <c r="P121" s="166"/>
      <c r="Q121" s="184"/>
    </row>
    <row r="122" spans="1:17" s="117" customFormat="1" outlineLevel="1">
      <c r="B122" s="166"/>
      <c r="C122" s="166"/>
      <c r="D122" s="166"/>
      <c r="E122" s="166"/>
      <c r="F122" s="166"/>
      <c r="G122" s="164"/>
      <c r="H122" s="166"/>
      <c r="I122" s="166"/>
      <c r="J122" s="166"/>
      <c r="K122" s="166"/>
      <c r="L122" s="164"/>
      <c r="M122" s="184"/>
      <c r="N122" s="166"/>
      <c r="O122" s="166"/>
      <c r="P122" s="166"/>
      <c r="Q122" s="184"/>
    </row>
    <row r="123" spans="1:17" s="117" customFormat="1" outlineLevel="1">
      <c r="B123" s="166"/>
      <c r="C123" s="166"/>
      <c r="D123" s="166"/>
      <c r="E123" s="166"/>
      <c r="F123" s="166"/>
      <c r="G123" s="164"/>
      <c r="H123" s="166"/>
      <c r="I123" s="166"/>
      <c r="J123" s="166"/>
      <c r="K123" s="166"/>
      <c r="L123" s="164"/>
      <c r="M123" s="184"/>
      <c r="N123" s="166"/>
      <c r="O123" s="166"/>
      <c r="P123" s="166"/>
      <c r="Q123" s="184"/>
    </row>
    <row r="124" spans="1:17" s="117" customFormat="1" outlineLevel="1">
      <c r="A124" s="95"/>
      <c r="B124" s="185"/>
      <c r="C124" s="185"/>
      <c r="D124" s="185"/>
      <c r="E124" s="185"/>
      <c r="F124" s="185"/>
      <c r="G124" s="156"/>
      <c r="H124" s="185"/>
      <c r="I124" s="185"/>
      <c r="J124" s="185"/>
      <c r="K124" s="185"/>
      <c r="L124" s="156"/>
      <c r="M124" s="156"/>
      <c r="N124" s="185"/>
      <c r="O124" s="185"/>
      <c r="P124" s="185"/>
      <c r="Q124" s="156"/>
    </row>
    <row r="125" spans="1:17" s="117" customFormat="1" outlineLevel="1">
      <c r="B125" s="157"/>
      <c r="C125" s="95"/>
      <c r="D125" s="157"/>
      <c r="E125" s="95"/>
      <c r="F125" s="95"/>
      <c r="G125" s="162"/>
      <c r="H125" s="95"/>
      <c r="I125" s="157"/>
      <c r="J125" s="95"/>
      <c r="K125" s="95"/>
      <c r="L125" s="162"/>
      <c r="M125" s="176"/>
      <c r="N125" s="95"/>
      <c r="O125" s="95"/>
      <c r="P125" s="95"/>
      <c r="Q125" s="176"/>
    </row>
    <row r="126" spans="1:17" s="117" customFormat="1" outlineLevel="1">
      <c r="B126" s="95"/>
      <c r="C126" s="159"/>
      <c r="D126" s="95"/>
      <c r="E126" s="159"/>
      <c r="F126" s="159"/>
      <c r="G126" s="162"/>
      <c r="H126" s="159"/>
      <c r="I126" s="95"/>
      <c r="J126" s="159"/>
      <c r="K126" s="159"/>
      <c r="L126" s="162"/>
      <c r="M126" s="176"/>
      <c r="N126" s="159"/>
      <c r="O126" s="159"/>
      <c r="P126" s="159"/>
      <c r="Q126" s="176"/>
    </row>
    <row r="127" spans="1:17" s="117" customFormat="1" outlineLevel="1">
      <c r="B127" s="95"/>
      <c r="D127" s="95"/>
      <c r="E127" s="95"/>
      <c r="F127" s="95"/>
      <c r="G127" s="162"/>
      <c r="I127" s="95"/>
      <c r="J127" s="95"/>
      <c r="K127" s="95"/>
      <c r="L127" s="162"/>
      <c r="M127" s="176"/>
      <c r="N127" s="95"/>
      <c r="O127" s="95"/>
      <c r="P127" s="95"/>
      <c r="Q127" s="176"/>
    </row>
    <row r="128" spans="1:17" s="117" customFormat="1" collapsed="1">
      <c r="B128" s="179"/>
      <c r="C128" s="163"/>
      <c r="D128" s="179"/>
      <c r="E128" s="163"/>
      <c r="F128" s="163"/>
      <c r="G128" s="162"/>
      <c r="H128" s="163"/>
      <c r="I128" s="179"/>
      <c r="J128" s="163"/>
      <c r="K128" s="163"/>
      <c r="L128" s="162"/>
      <c r="M128" s="176"/>
      <c r="N128" s="163"/>
      <c r="O128" s="163"/>
      <c r="P128" s="163"/>
      <c r="Q128" s="176"/>
    </row>
    <row r="129" spans="1:17" s="117" customFormat="1">
      <c r="B129" s="179"/>
      <c r="C129" s="163"/>
      <c r="D129" s="179"/>
      <c r="E129" s="163"/>
      <c r="F129" s="163"/>
      <c r="G129" s="162"/>
      <c r="H129" s="163"/>
      <c r="I129" s="179"/>
      <c r="J129" s="163"/>
      <c r="K129" s="163"/>
      <c r="L129" s="162"/>
      <c r="M129" s="176"/>
      <c r="N129" s="163"/>
      <c r="O129" s="163"/>
      <c r="P129" s="163"/>
      <c r="Q129" s="176"/>
    </row>
    <row r="130" spans="1:17" s="117" customFormat="1">
      <c r="B130" s="179"/>
      <c r="C130" s="163"/>
      <c r="D130" s="179"/>
      <c r="E130" s="163"/>
      <c r="F130" s="163"/>
      <c r="G130" s="162"/>
      <c r="H130" s="163"/>
      <c r="I130" s="179"/>
      <c r="J130" s="163"/>
      <c r="K130" s="163"/>
      <c r="L130" s="162"/>
      <c r="M130" s="176"/>
      <c r="N130" s="163"/>
      <c r="O130" s="163"/>
      <c r="P130" s="163"/>
      <c r="Q130" s="176"/>
    </row>
    <row r="131" spans="1:17" s="117" customFormat="1" outlineLevel="1">
      <c r="B131" s="179"/>
      <c r="C131" s="163"/>
      <c r="D131" s="179"/>
      <c r="E131" s="163"/>
      <c r="F131" s="163"/>
      <c r="G131" s="162"/>
      <c r="H131" s="163"/>
      <c r="I131" s="179"/>
      <c r="J131" s="163"/>
      <c r="K131" s="163"/>
      <c r="L131" s="162"/>
      <c r="M131" s="176"/>
      <c r="N131" s="163"/>
      <c r="O131" s="163"/>
      <c r="P131" s="163"/>
      <c r="Q131" s="176"/>
    </row>
    <row r="132" spans="1:17" s="117" customFormat="1" outlineLevel="1">
      <c r="B132" s="179"/>
      <c r="C132" s="163"/>
      <c r="D132" s="179"/>
      <c r="E132" s="163"/>
      <c r="F132" s="163"/>
      <c r="G132" s="162"/>
      <c r="H132" s="163"/>
      <c r="I132" s="179"/>
      <c r="J132" s="163"/>
      <c r="K132" s="163"/>
      <c r="L132" s="162"/>
      <c r="M132" s="176"/>
      <c r="N132" s="163"/>
      <c r="O132" s="163"/>
      <c r="P132" s="163"/>
      <c r="Q132" s="176"/>
    </row>
    <row r="133" spans="1:17" s="117" customFormat="1" outlineLevel="1">
      <c r="B133" s="179"/>
      <c r="C133" s="163"/>
      <c r="D133" s="179"/>
      <c r="E133" s="163"/>
      <c r="F133" s="163"/>
      <c r="G133" s="162"/>
      <c r="H133" s="163"/>
      <c r="I133" s="179"/>
      <c r="J133" s="163"/>
      <c r="K133" s="163"/>
      <c r="L133" s="162"/>
      <c r="M133" s="176"/>
      <c r="N133" s="163"/>
      <c r="O133" s="163"/>
      <c r="P133" s="163"/>
      <c r="Q133" s="176"/>
    </row>
    <row r="134" spans="1:17" s="117" customFormat="1" outlineLevel="1">
      <c r="B134" s="179"/>
      <c r="C134" s="163"/>
      <c r="D134" s="179"/>
      <c r="E134" s="163"/>
      <c r="F134" s="163"/>
      <c r="G134" s="162"/>
      <c r="H134" s="163"/>
      <c r="I134" s="179"/>
      <c r="J134" s="163"/>
      <c r="K134" s="163"/>
      <c r="L134" s="162"/>
      <c r="M134" s="176"/>
      <c r="N134" s="163"/>
      <c r="O134" s="163"/>
      <c r="P134" s="163"/>
      <c r="Q134" s="176"/>
    </row>
    <row r="135" spans="1:17" s="117" customFormat="1" outlineLevel="1">
      <c r="B135" s="179"/>
      <c r="C135" s="163"/>
      <c r="D135" s="179"/>
      <c r="E135" s="163"/>
      <c r="F135" s="163"/>
      <c r="G135" s="162"/>
      <c r="H135" s="163"/>
      <c r="I135" s="179"/>
      <c r="J135" s="163"/>
      <c r="K135" s="163"/>
      <c r="L135" s="162"/>
      <c r="M135" s="176"/>
      <c r="N135" s="163"/>
      <c r="O135" s="163"/>
      <c r="P135" s="163"/>
      <c r="Q135" s="176"/>
    </row>
    <row r="136" spans="1:17" s="117" customFormat="1" outlineLevel="1">
      <c r="B136" s="179"/>
      <c r="C136" s="163"/>
      <c r="D136" s="179"/>
      <c r="E136" s="163"/>
      <c r="F136" s="163"/>
      <c r="G136" s="162"/>
      <c r="H136" s="163"/>
      <c r="I136" s="179"/>
      <c r="J136" s="163"/>
      <c r="K136" s="163"/>
      <c r="L136" s="162"/>
      <c r="M136" s="176"/>
      <c r="N136" s="163"/>
      <c r="O136" s="163"/>
      <c r="P136" s="163"/>
      <c r="Q136" s="176"/>
    </row>
    <row r="137" spans="1:17" s="117" customFormat="1" outlineLevel="1">
      <c r="B137" s="179"/>
      <c r="C137" s="163"/>
      <c r="D137" s="179"/>
      <c r="E137" s="163"/>
      <c r="F137" s="163"/>
      <c r="G137" s="162"/>
      <c r="H137" s="163"/>
      <c r="I137" s="179"/>
      <c r="J137" s="163"/>
      <c r="K137" s="163"/>
      <c r="L137" s="162"/>
      <c r="M137" s="176"/>
      <c r="N137" s="163"/>
      <c r="O137" s="163"/>
      <c r="P137" s="163"/>
      <c r="Q137" s="176"/>
    </row>
    <row r="138" spans="1:17" s="117" customFormat="1" outlineLevel="1">
      <c r="B138" s="179"/>
      <c r="C138" s="182"/>
      <c r="D138" s="179"/>
      <c r="E138" s="182"/>
      <c r="F138" s="182"/>
      <c r="G138" s="164"/>
      <c r="H138" s="182"/>
      <c r="I138" s="179"/>
      <c r="J138" s="182"/>
      <c r="K138" s="182"/>
      <c r="L138" s="164"/>
      <c r="M138" s="176"/>
      <c r="N138" s="182"/>
      <c r="O138" s="182"/>
      <c r="P138" s="182"/>
      <c r="Q138" s="176"/>
    </row>
    <row r="139" spans="1:17" s="117" customFormat="1" outlineLevel="1">
      <c r="B139" s="166"/>
      <c r="C139" s="166"/>
      <c r="D139" s="166"/>
      <c r="E139" s="166"/>
      <c r="F139" s="166"/>
      <c r="G139" s="164"/>
      <c r="H139" s="166"/>
      <c r="I139" s="166"/>
      <c r="J139" s="166"/>
      <c r="K139" s="166"/>
      <c r="L139" s="164"/>
      <c r="M139" s="184"/>
      <c r="N139" s="166"/>
      <c r="O139" s="166"/>
      <c r="P139" s="166"/>
      <c r="Q139" s="184"/>
    </row>
    <row r="140" spans="1:17" s="117" customFormat="1" outlineLevel="1">
      <c r="B140" s="166"/>
      <c r="C140" s="166"/>
      <c r="D140" s="166"/>
      <c r="E140" s="166"/>
      <c r="F140" s="166"/>
      <c r="G140" s="164"/>
      <c r="H140" s="166"/>
      <c r="I140" s="166"/>
      <c r="J140" s="166"/>
      <c r="K140" s="166"/>
      <c r="L140" s="164"/>
      <c r="M140" s="184"/>
      <c r="N140" s="166"/>
      <c r="O140" s="166"/>
      <c r="P140" s="166"/>
      <c r="Q140" s="184"/>
    </row>
    <row r="141" spans="1:17" s="117" customFormat="1" outlineLevel="1">
      <c r="B141" s="166"/>
      <c r="C141" s="166"/>
      <c r="D141" s="166"/>
      <c r="E141" s="166"/>
      <c r="F141" s="166"/>
      <c r="G141" s="164"/>
      <c r="H141" s="166"/>
      <c r="I141" s="166"/>
      <c r="J141" s="166"/>
      <c r="K141" s="166"/>
      <c r="L141" s="164"/>
      <c r="M141" s="184"/>
      <c r="N141" s="166"/>
      <c r="O141" s="166"/>
      <c r="P141" s="166"/>
      <c r="Q141" s="184"/>
    </row>
    <row r="142" spans="1:17" s="117" customFormat="1" outlineLevel="1">
      <c r="B142" s="166"/>
      <c r="C142" s="166"/>
      <c r="D142" s="166"/>
      <c r="E142" s="166"/>
      <c r="F142" s="166"/>
      <c r="G142" s="164"/>
      <c r="H142" s="166"/>
      <c r="I142" s="166"/>
      <c r="J142" s="166"/>
      <c r="K142" s="166"/>
      <c r="L142" s="164"/>
      <c r="M142" s="184"/>
      <c r="N142" s="166"/>
      <c r="O142" s="166"/>
      <c r="P142" s="166"/>
      <c r="Q142" s="184"/>
    </row>
    <row r="143" spans="1:17" s="117" customFormat="1" outlineLevel="1">
      <c r="B143" s="166"/>
      <c r="C143" s="166"/>
      <c r="D143" s="166"/>
      <c r="E143" s="166"/>
      <c r="F143" s="166"/>
      <c r="G143" s="164"/>
      <c r="H143" s="166"/>
      <c r="I143" s="166"/>
      <c r="J143" s="166"/>
      <c r="K143" s="166"/>
      <c r="L143" s="164"/>
      <c r="M143" s="184"/>
      <c r="N143" s="166"/>
      <c r="O143" s="166"/>
      <c r="P143" s="166"/>
      <c r="Q143" s="184"/>
    </row>
    <row r="144" spans="1:17" s="117" customFormat="1">
      <c r="A144" s="95"/>
      <c r="B144" s="187"/>
      <c r="C144" s="116"/>
      <c r="D144" s="187"/>
      <c r="E144" s="116"/>
      <c r="F144" s="116"/>
      <c r="G144" s="156"/>
      <c r="H144" s="116"/>
      <c r="I144" s="187"/>
      <c r="J144" s="116"/>
      <c r="K144" s="116"/>
      <c r="L144" s="156"/>
      <c r="N144" s="116"/>
      <c r="O144" s="116"/>
      <c r="P144" s="116"/>
    </row>
    <row r="145" spans="1:17" s="117" customFormat="1">
      <c r="A145" s="95"/>
      <c r="B145" s="170"/>
      <c r="C145" s="170"/>
      <c r="D145" s="170"/>
      <c r="E145" s="170"/>
      <c r="F145" s="170"/>
      <c r="H145" s="170"/>
      <c r="I145" s="170"/>
      <c r="J145" s="170"/>
      <c r="K145" s="170"/>
      <c r="N145" s="170"/>
      <c r="O145" s="170"/>
      <c r="P145" s="170"/>
    </row>
    <row r="146" spans="1:17" s="117" customFormat="1">
      <c r="A146" s="95"/>
      <c r="B146" s="170"/>
      <c r="C146" s="170"/>
      <c r="D146" s="170"/>
      <c r="E146" s="170"/>
      <c r="F146" s="170"/>
      <c r="H146" s="170"/>
      <c r="I146" s="170"/>
      <c r="J146" s="170"/>
      <c r="K146" s="170"/>
      <c r="N146" s="170"/>
      <c r="O146" s="170"/>
      <c r="P146" s="170"/>
    </row>
    <row r="147" spans="1:17" s="117" customFormat="1">
      <c r="A147" s="95"/>
      <c r="B147" s="170"/>
      <c r="C147" s="170"/>
      <c r="D147" s="170"/>
      <c r="E147" s="170"/>
      <c r="F147" s="170"/>
      <c r="H147" s="170"/>
      <c r="I147" s="170"/>
      <c r="J147" s="170"/>
      <c r="K147" s="170"/>
      <c r="N147" s="170"/>
      <c r="O147" s="170"/>
      <c r="P147" s="170"/>
    </row>
    <row r="148" spans="1:17" s="117" customFormat="1">
      <c r="A148" s="95"/>
      <c r="B148" s="170"/>
      <c r="C148" s="170"/>
      <c r="D148" s="170"/>
      <c r="E148" s="170"/>
      <c r="F148" s="170"/>
      <c r="H148" s="170"/>
      <c r="I148" s="170"/>
      <c r="J148" s="170"/>
      <c r="K148" s="170"/>
      <c r="N148" s="170"/>
      <c r="O148" s="170"/>
      <c r="P148" s="170"/>
    </row>
    <row r="149" spans="1:17" s="117" customFormat="1">
      <c r="A149" s="95"/>
      <c r="B149" s="170"/>
      <c r="C149" s="170"/>
      <c r="D149" s="170"/>
      <c r="E149" s="170"/>
      <c r="F149" s="170"/>
      <c r="H149" s="170"/>
      <c r="I149" s="170"/>
      <c r="J149" s="170"/>
      <c r="K149" s="170"/>
      <c r="N149" s="170"/>
      <c r="O149" s="170"/>
      <c r="P149" s="170"/>
    </row>
    <row r="150" spans="1:17" s="525" customFormat="1"/>
    <row r="151" spans="1:17" s="117" customFormat="1">
      <c r="B151" s="188"/>
      <c r="C151" s="116"/>
      <c r="D151" s="188"/>
      <c r="E151" s="116"/>
      <c r="F151" s="116"/>
      <c r="G151" s="189"/>
      <c r="H151" s="116"/>
      <c r="I151" s="188"/>
      <c r="J151" s="116"/>
      <c r="K151" s="116"/>
      <c r="L151" s="189"/>
      <c r="M151" s="176"/>
      <c r="N151" s="116"/>
      <c r="O151" s="116"/>
      <c r="P151" s="116"/>
      <c r="Q151" s="176"/>
    </row>
    <row r="152" spans="1:17" s="117" customFormat="1">
      <c r="B152" s="185"/>
      <c r="C152" s="190"/>
      <c r="D152" s="185"/>
      <c r="E152" s="190"/>
      <c r="F152" s="190"/>
      <c r="G152" s="191"/>
      <c r="H152" s="190"/>
      <c r="I152" s="185"/>
      <c r="J152" s="190"/>
      <c r="K152" s="190"/>
      <c r="L152" s="191"/>
      <c r="M152" s="176"/>
      <c r="N152" s="190"/>
      <c r="O152" s="190"/>
      <c r="P152" s="190"/>
      <c r="Q152" s="176"/>
    </row>
    <row r="153" spans="1:17" s="117" customFormat="1">
      <c r="B153" s="192"/>
      <c r="C153" s="192"/>
      <c r="D153" s="192"/>
      <c r="E153" s="192"/>
      <c r="F153" s="192"/>
      <c r="G153" s="192"/>
      <c r="H153" s="192"/>
      <c r="I153" s="192"/>
      <c r="J153" s="192"/>
      <c r="K153" s="192"/>
      <c r="L153" s="192"/>
      <c r="M153" s="156"/>
      <c r="N153" s="192"/>
      <c r="O153" s="192"/>
      <c r="P153" s="192"/>
      <c r="Q153" s="156"/>
    </row>
    <row r="154" spans="1:17" s="117" customFormat="1">
      <c r="B154" s="118"/>
      <c r="C154" s="193"/>
      <c r="D154" s="118"/>
      <c r="E154" s="193"/>
      <c r="F154" s="193"/>
      <c r="G154" s="192"/>
      <c r="H154" s="193"/>
      <c r="I154" s="118"/>
      <c r="J154" s="193"/>
      <c r="K154" s="193"/>
      <c r="L154" s="192"/>
      <c r="M154" s="156"/>
      <c r="N154" s="193"/>
      <c r="O154" s="193"/>
      <c r="P154" s="193"/>
      <c r="Q154" s="156"/>
    </row>
    <row r="155" spans="1:17" s="117" customFormat="1">
      <c r="A155" s="95"/>
      <c r="G155" s="192"/>
      <c r="L155" s="192"/>
      <c r="M155" s="195"/>
      <c r="Q155" s="195"/>
    </row>
    <row r="156" spans="1:17" s="117" customFormat="1"/>
    <row r="157" spans="1:17" s="117" customFormat="1">
      <c r="B157" s="196"/>
      <c r="D157" s="196"/>
      <c r="I157" s="196"/>
    </row>
    <row r="158" spans="1:17" s="117" customFormat="1">
      <c r="C158" s="197"/>
      <c r="E158" s="197"/>
      <c r="F158" s="197"/>
      <c r="H158" s="197"/>
      <c r="J158" s="197"/>
      <c r="K158" s="197"/>
    </row>
    <row r="159" spans="1:17" s="117" customFormat="1">
      <c r="C159" s="197"/>
      <c r="E159" s="197"/>
      <c r="F159" s="197"/>
      <c r="H159" s="197"/>
      <c r="J159" s="197"/>
      <c r="K159" s="197"/>
    </row>
    <row r="160" spans="1:17" s="117" customFormat="1">
      <c r="C160" s="197"/>
      <c r="E160" s="197"/>
      <c r="F160" s="197"/>
      <c r="H160" s="197"/>
      <c r="J160" s="197"/>
      <c r="K160" s="197"/>
    </row>
    <row r="161" spans="2:16" s="117" customFormat="1">
      <c r="C161" s="197"/>
      <c r="E161" s="197"/>
      <c r="F161" s="197"/>
      <c r="H161" s="197"/>
      <c r="J161" s="197"/>
      <c r="K161" s="197"/>
    </row>
    <row r="162" spans="2:16" s="117" customFormat="1">
      <c r="C162" s="197"/>
      <c r="E162" s="197"/>
      <c r="F162" s="197"/>
      <c r="H162" s="197"/>
      <c r="J162" s="197"/>
      <c r="K162" s="197"/>
    </row>
    <row r="163" spans="2:16" s="117" customFormat="1">
      <c r="C163" s="197"/>
      <c r="E163" s="197"/>
      <c r="F163" s="197"/>
      <c r="H163" s="197"/>
      <c r="J163" s="197"/>
      <c r="K163" s="197"/>
    </row>
    <row r="164" spans="2:16" s="117" customFormat="1">
      <c r="B164" s="185"/>
      <c r="D164" s="185"/>
      <c r="I164" s="185"/>
    </row>
    <row r="165" spans="2:16" s="117" customFormat="1">
      <c r="B165" s="185"/>
      <c r="D165" s="185"/>
      <c r="I165" s="185"/>
    </row>
    <row r="166" spans="2:16" s="117" customFormat="1"/>
    <row r="167" spans="2:16" s="117" customFormat="1"/>
    <row r="168" spans="2:16" s="117" customFormat="1"/>
    <row r="169" spans="2:16" s="117" customFormat="1"/>
    <row r="170" spans="2:16" ht="15">
      <c r="B170" s="198"/>
      <c r="C170" s="198"/>
      <c r="D170" s="198"/>
      <c r="E170" s="198"/>
      <c r="F170" s="198"/>
      <c r="G170" s="198"/>
      <c r="H170" s="198"/>
      <c r="I170" s="198"/>
      <c r="J170" s="198"/>
      <c r="K170" s="198"/>
      <c r="L170" s="198"/>
      <c r="N170" s="198"/>
      <c r="O170" s="198"/>
      <c r="P170" s="198"/>
    </row>
    <row r="171" spans="2:16" ht="15">
      <c r="B171" s="198"/>
      <c r="C171" s="198"/>
      <c r="D171" s="198"/>
      <c r="E171" s="198"/>
      <c r="F171" s="198"/>
      <c r="G171" s="198"/>
      <c r="H171" s="198"/>
      <c r="I171" s="198"/>
      <c r="J171" s="198"/>
      <c r="K171" s="198"/>
      <c r="L171" s="198"/>
      <c r="N171" s="198"/>
      <c r="O171" s="198"/>
      <c r="P171" s="198"/>
    </row>
    <row r="172" spans="2:16" ht="15">
      <c r="B172" s="198"/>
      <c r="C172" s="198"/>
      <c r="D172" s="198"/>
      <c r="E172" s="198"/>
      <c r="F172" s="198"/>
      <c r="G172" s="198"/>
      <c r="H172" s="198"/>
      <c r="I172" s="198"/>
      <c r="J172" s="198"/>
      <c r="K172" s="198"/>
      <c r="L172" s="198"/>
      <c r="N172" s="198"/>
      <c r="O172" s="198"/>
      <c r="P172" s="198"/>
    </row>
  </sheetData>
  <conditionalFormatting sqref="B4 N152:P152 C2:C4 B152:C152 G3">
    <cfRule type="cellIs" dxfId="36" priority="29" stopIfTrue="1" operator="equal">
      <formula>"input"</formula>
    </cfRule>
  </conditionalFormatting>
  <conditionalFormatting sqref="M58:M67 M71:M77 M151:M152 M102 M105:M107 M118 M125:M127 M138 Q138 Q125:Q127 Q118 Q105:Q107 Q102 Q151:Q152 Q71:Q77 Q58:Q67">
    <cfRule type="cellIs" dxfId="35" priority="30" stopIfTrue="1" operator="equal">
      <formula>"Input"</formula>
    </cfRule>
  </conditionalFormatting>
  <conditionalFormatting sqref="M68 Q68">
    <cfRule type="cellIs" dxfId="34" priority="28" stopIfTrue="1" operator="equal">
      <formula>"Input"</formula>
    </cfRule>
  </conditionalFormatting>
  <conditionalFormatting sqref="M69 Q69">
    <cfRule type="cellIs" dxfId="33" priority="27" stopIfTrue="1" operator="equal">
      <formula>"Input"</formula>
    </cfRule>
  </conditionalFormatting>
  <conditionalFormatting sqref="M70 Q70">
    <cfRule type="cellIs" dxfId="32" priority="26" stopIfTrue="1" operator="equal">
      <formula>"Input"</formula>
    </cfRule>
  </conditionalFormatting>
  <conditionalFormatting sqref="M108:M113 Q108:Q113">
    <cfRule type="cellIs" dxfId="31" priority="25" stopIfTrue="1" operator="equal">
      <formula>"Input"</formula>
    </cfRule>
  </conditionalFormatting>
  <conditionalFormatting sqref="M114 Q114">
    <cfRule type="cellIs" dxfId="30" priority="24" stopIfTrue="1" operator="equal">
      <formula>"Input"</formula>
    </cfRule>
  </conditionalFormatting>
  <conditionalFormatting sqref="M115 Q115">
    <cfRule type="cellIs" dxfId="29" priority="23" stopIfTrue="1" operator="equal">
      <formula>"Input"</formula>
    </cfRule>
  </conditionalFormatting>
  <conditionalFormatting sqref="M116 Q116">
    <cfRule type="cellIs" dxfId="28" priority="22" stopIfTrue="1" operator="equal">
      <formula>"Input"</formula>
    </cfRule>
  </conditionalFormatting>
  <conditionalFormatting sqref="M117 Q117">
    <cfRule type="cellIs" dxfId="27" priority="21" stopIfTrue="1" operator="equal">
      <formula>"Input"</formula>
    </cfRule>
  </conditionalFormatting>
  <conditionalFormatting sqref="M78:M87 M91:M101 Q91:Q101 Q78:Q87">
    <cfRule type="cellIs" dxfId="26" priority="20" stopIfTrue="1" operator="equal">
      <formula>"Input"</formula>
    </cfRule>
  </conditionalFormatting>
  <conditionalFormatting sqref="M88 Q88">
    <cfRule type="cellIs" dxfId="25" priority="19" stopIfTrue="1" operator="equal">
      <formula>"Input"</formula>
    </cfRule>
  </conditionalFormatting>
  <conditionalFormatting sqref="M89 Q89">
    <cfRule type="cellIs" dxfId="24" priority="18" stopIfTrue="1" operator="equal">
      <formula>"Input"</formula>
    </cfRule>
  </conditionalFormatting>
  <conditionalFormatting sqref="M90 Q90">
    <cfRule type="cellIs" dxfId="23" priority="17" stopIfTrue="1" operator="equal">
      <formula>"Input"</formula>
    </cfRule>
  </conditionalFormatting>
  <conditionalFormatting sqref="M128:M133 Q128:Q133">
    <cfRule type="cellIs" dxfId="22" priority="16" stopIfTrue="1" operator="equal">
      <formula>"Input"</formula>
    </cfRule>
  </conditionalFormatting>
  <conditionalFormatting sqref="M134 Q134">
    <cfRule type="cellIs" dxfId="21" priority="15" stopIfTrue="1" operator="equal">
      <formula>"Input"</formula>
    </cfRule>
  </conditionalFormatting>
  <conditionalFormatting sqref="M135 Q135">
    <cfRule type="cellIs" dxfId="20" priority="14" stopIfTrue="1" operator="equal">
      <formula>"Input"</formula>
    </cfRule>
  </conditionalFormatting>
  <conditionalFormatting sqref="M136 Q136">
    <cfRule type="cellIs" dxfId="19" priority="13" stopIfTrue="1" operator="equal">
      <formula>"Input"</formula>
    </cfRule>
  </conditionalFormatting>
  <conditionalFormatting sqref="M137 Q137">
    <cfRule type="cellIs" dxfId="18" priority="12" stopIfTrue="1" operator="equal">
      <formula>"Input"</formula>
    </cfRule>
  </conditionalFormatting>
  <conditionalFormatting sqref="G4">
    <cfRule type="cellIs" dxfId="17" priority="11" stopIfTrue="1" operator="equal">
      <formula>"input"</formula>
    </cfRule>
  </conditionalFormatting>
  <conditionalFormatting sqref="G2">
    <cfRule type="cellIs" dxfId="16" priority="10" stopIfTrue="1" operator="equal">
      <formula>"input"</formula>
    </cfRule>
  </conditionalFormatting>
  <conditionalFormatting sqref="O2:P2">
    <cfRule type="cellIs" dxfId="15" priority="9" stopIfTrue="1" operator="equal">
      <formula>"input"</formula>
    </cfRule>
  </conditionalFormatting>
  <conditionalFormatting sqref="Q2">
    <cfRule type="cellIs" dxfId="14" priority="8" stopIfTrue="1" operator="equal">
      <formula>"input"</formula>
    </cfRule>
  </conditionalFormatting>
  <conditionalFormatting sqref="E2:F4 D152:F152">
    <cfRule type="cellIs" dxfId="13" priority="7" stopIfTrue="1" operator="equal">
      <formula>"input"</formula>
    </cfRule>
  </conditionalFormatting>
  <conditionalFormatting sqref="D4">
    <cfRule type="cellIs" dxfId="12" priority="6" stopIfTrue="1" operator="equal">
      <formula>"input"</formula>
    </cfRule>
  </conditionalFormatting>
  <conditionalFormatting sqref="H2:H4 H152 L3">
    <cfRule type="cellIs" dxfId="11" priority="5" stopIfTrue="1" operator="equal">
      <formula>"input"</formula>
    </cfRule>
  </conditionalFormatting>
  <conditionalFormatting sqref="L4">
    <cfRule type="cellIs" dxfId="10" priority="4" stopIfTrue="1" operator="equal">
      <formula>"input"</formula>
    </cfRule>
  </conditionalFormatting>
  <conditionalFormatting sqref="L2">
    <cfRule type="cellIs" dxfId="9" priority="3" stopIfTrue="1" operator="equal">
      <formula>"input"</formula>
    </cfRule>
  </conditionalFormatting>
  <conditionalFormatting sqref="J2:K4 I152:K152">
    <cfRule type="cellIs" dxfId="8" priority="2" stopIfTrue="1" operator="equal">
      <formula>"input"</formula>
    </cfRule>
  </conditionalFormatting>
  <conditionalFormatting sqref="I4">
    <cfRule type="cellIs" dxfId="7" priority="1" stopIfTrue="1" operator="equal">
      <formula>"input"</formula>
    </cfRule>
  </conditionalFormatting>
  <printOptions horizontalCentered="1"/>
  <pageMargins left="0.7" right="0.7" top="0.75" bottom="0.75" header="0.3" footer="0.3"/>
  <pageSetup scale="63" fitToWidth="0" fitToHeight="0" orientation="landscape" r:id="rId1"/>
  <headerFooter alignWithMargins="0"/>
  <rowBreaks count="2" manualBreakCount="2">
    <brk id="56" max="15" man="1"/>
    <brk id="103" max="15" man="1"/>
  </rowBreaks>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XFD1:XFD2"/>
  <sheetViews>
    <sheetView topLeftCell="XFD1048576" workbookViewId="0"/>
  </sheetViews>
  <sheetFormatPr defaultColWidth="0" defaultRowHeight="15" customHeight="1" zeroHeight="1"/>
  <cols>
    <col min="1" max="16384" width="8.7109375" hidden="1"/>
  </cols>
  <sheetData>
    <row r="1" spans="16384:16384" hidden="1">
      <c r="XFD1" t="s">
        <v>226</v>
      </c>
    </row>
    <row r="2" spans="16384:16384" hidden="1"/>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topLeftCell="J35" workbookViewId="0">
      <selection activeCell="N44" sqref="N44"/>
    </sheetView>
  </sheetViews>
  <sheetFormatPr defaultRowHeight="14.25" outlineLevelRow="1" outlineLevelCol="1"/>
  <cols>
    <col min="1" max="1" width="14.140625" style="410" hidden="1" customWidth="1" outlineLevel="1"/>
    <col min="2" max="2" width="16" style="410" hidden="1" customWidth="1" outlineLevel="1"/>
    <col min="3" max="3" width="5.85546875" style="410" hidden="1" customWidth="1" outlineLevel="1"/>
    <col min="4" max="5" width="8.5703125" style="410" hidden="1" customWidth="1" outlineLevel="1"/>
    <col min="6" max="6" width="16.5703125" style="410" hidden="1" customWidth="1" outlineLevel="1"/>
    <col min="7" max="7" width="14.85546875" style="410" hidden="1" customWidth="1" outlineLevel="1"/>
    <col min="8" max="8" width="20.85546875" style="410" hidden="1" customWidth="1" outlineLevel="1"/>
    <col min="9" max="9" width="31" style="410" hidden="1" customWidth="1" outlineLevel="1"/>
    <col min="10" max="10" width="1.7109375" style="410" customWidth="1" collapsed="1"/>
    <col min="11" max="11" width="40.5703125" style="410" customWidth="1"/>
    <col min="12" max="12" width="1.28515625" style="410" customWidth="1"/>
    <col min="13" max="20" width="17" style="410" customWidth="1"/>
    <col min="21" max="21" width="1.140625" style="410" customWidth="1"/>
    <col min="22" max="22" width="14" style="410" customWidth="1"/>
    <col min="23" max="29" width="13.5703125" style="410" customWidth="1"/>
    <col min="30" max="16384" width="9.140625" style="410"/>
  </cols>
  <sheetData>
    <row r="1" spans="1:11" ht="14.25" hidden="1" customHeight="1" outlineLevel="1">
      <c r="A1" s="410" t="s">
        <v>247</v>
      </c>
      <c r="B1" s="410" t="s">
        <v>248</v>
      </c>
      <c r="D1" s="411">
        <v>2009</v>
      </c>
      <c r="E1" s="411" t="s">
        <v>105</v>
      </c>
      <c r="F1" s="411" t="s">
        <v>249</v>
      </c>
      <c r="G1" s="412" t="s">
        <v>250</v>
      </c>
      <c r="H1" s="413" t="s">
        <v>251</v>
      </c>
    </row>
    <row r="2" spans="1:11" ht="14.25" hidden="1" customHeight="1" outlineLevel="1">
      <c r="A2" s="414" t="s">
        <v>252</v>
      </c>
      <c r="B2" s="410" t="s">
        <v>253</v>
      </c>
      <c r="D2" s="411">
        <v>2010</v>
      </c>
      <c r="E2" s="411" t="s">
        <v>106</v>
      </c>
      <c r="F2" s="411" t="s">
        <v>254</v>
      </c>
      <c r="G2" s="412" t="s">
        <v>255</v>
      </c>
      <c r="H2" s="413" t="s">
        <v>256</v>
      </c>
    </row>
    <row r="3" spans="1:11" ht="14.25" hidden="1" customHeight="1" outlineLevel="1">
      <c r="A3" s="414" t="s">
        <v>257</v>
      </c>
      <c r="B3" s="410" t="s">
        <v>258</v>
      </c>
      <c r="D3" s="411">
        <v>2011</v>
      </c>
      <c r="E3" s="411" t="s">
        <v>107</v>
      </c>
      <c r="F3" s="411" t="s">
        <v>253</v>
      </c>
      <c r="G3" s="412" t="s">
        <v>259</v>
      </c>
      <c r="H3" s="413" t="s">
        <v>260</v>
      </c>
    </row>
    <row r="4" spans="1:11" ht="14.25" hidden="1" customHeight="1" outlineLevel="1">
      <c r="A4" s="414" t="s">
        <v>261</v>
      </c>
      <c r="B4" s="410" t="s">
        <v>262</v>
      </c>
      <c r="D4" s="415">
        <v>2012</v>
      </c>
      <c r="E4" s="411" t="s">
        <v>263</v>
      </c>
      <c r="F4" s="415"/>
      <c r="G4" s="412" t="s">
        <v>264</v>
      </c>
      <c r="H4" s="413" t="s">
        <v>265</v>
      </c>
    </row>
    <row r="5" spans="1:11" ht="14.25" hidden="1" customHeight="1" outlineLevel="1">
      <c r="D5" s="415">
        <v>2013</v>
      </c>
      <c r="E5" s="411" t="s">
        <v>108</v>
      </c>
      <c r="F5" s="415"/>
      <c r="G5" s="412" t="s">
        <v>266</v>
      </c>
      <c r="H5" s="413"/>
      <c r="K5" s="410" t="s">
        <v>226</v>
      </c>
    </row>
    <row r="6" spans="1:11" ht="14.25" hidden="1" customHeight="1" outlineLevel="1">
      <c r="A6" s="414" t="s">
        <v>267</v>
      </c>
      <c r="B6" s="410" t="s">
        <v>268</v>
      </c>
      <c r="D6" s="415">
        <v>2014</v>
      </c>
      <c r="E6" s="411" t="s">
        <v>0</v>
      </c>
      <c r="F6" s="415"/>
      <c r="G6" s="416" t="s">
        <v>269</v>
      </c>
      <c r="H6" s="417"/>
      <c r="I6" s="413"/>
    </row>
    <row r="7" spans="1:11" ht="14.25" hidden="1" customHeight="1" outlineLevel="1">
      <c r="A7" s="414" t="s">
        <v>270</v>
      </c>
      <c r="B7" s="410" t="s">
        <v>271</v>
      </c>
      <c r="D7" s="415">
        <v>2015</v>
      </c>
      <c r="E7" s="411" t="s">
        <v>109</v>
      </c>
      <c r="F7" s="415"/>
      <c r="G7" s="416" t="s">
        <v>272</v>
      </c>
      <c r="H7" s="417"/>
    </row>
    <row r="8" spans="1:11" ht="14.25" hidden="1" customHeight="1" outlineLevel="1">
      <c r="A8" s="414" t="s">
        <v>273</v>
      </c>
      <c r="B8" s="410" t="s">
        <v>274</v>
      </c>
      <c r="D8" s="415">
        <v>2016</v>
      </c>
      <c r="E8" s="411" t="s">
        <v>275</v>
      </c>
      <c r="F8" s="415"/>
      <c r="G8" s="416" t="s">
        <v>276</v>
      </c>
      <c r="H8" s="417"/>
    </row>
    <row r="9" spans="1:11" ht="14.25" hidden="1" customHeight="1" outlineLevel="1">
      <c r="A9" s="414" t="s">
        <v>277</v>
      </c>
      <c r="D9" s="415">
        <v>2017</v>
      </c>
      <c r="E9" s="411" t="s">
        <v>110</v>
      </c>
      <c r="F9" s="415"/>
      <c r="G9" s="416" t="s">
        <v>278</v>
      </c>
      <c r="H9" s="417"/>
    </row>
    <row r="10" spans="1:11" ht="14.25" hidden="1" customHeight="1" outlineLevel="1">
      <c r="A10" s="414"/>
      <c r="B10" s="410" t="s">
        <v>279</v>
      </c>
      <c r="D10" s="415">
        <v>2018</v>
      </c>
      <c r="E10" s="411" t="s">
        <v>56</v>
      </c>
      <c r="F10" s="415"/>
      <c r="G10" s="416">
        <v>100</v>
      </c>
      <c r="H10" s="415"/>
    </row>
    <row r="11" spans="1:11" ht="14.25" hidden="1" customHeight="1" outlineLevel="1">
      <c r="A11" s="414"/>
      <c r="D11" s="415"/>
      <c r="E11" s="411" t="s">
        <v>59</v>
      </c>
      <c r="F11" s="415"/>
      <c r="G11" s="416" t="s">
        <v>280</v>
      </c>
      <c r="H11" s="413"/>
    </row>
    <row r="12" spans="1:11" ht="14.25" hidden="1" customHeight="1" outlineLevel="1">
      <c r="A12" s="414"/>
      <c r="D12" s="415"/>
      <c r="E12" s="411" t="s">
        <v>281</v>
      </c>
      <c r="F12" s="415"/>
      <c r="H12" s="415"/>
    </row>
    <row r="13" spans="1:11" ht="14.25" hidden="1" customHeight="1" outlineLevel="1">
      <c r="A13" s="414"/>
      <c r="D13" s="415"/>
      <c r="E13" s="411" t="s">
        <v>111</v>
      </c>
      <c r="F13" s="415"/>
      <c r="G13" s="415"/>
      <c r="H13" s="415"/>
    </row>
    <row r="14" spans="1:11" ht="14.25" hidden="1" customHeight="1" outlineLevel="1">
      <c r="A14" t="s">
        <v>282</v>
      </c>
      <c r="D14" s="415"/>
      <c r="E14" s="411" t="s">
        <v>112</v>
      </c>
      <c r="F14" s="415"/>
      <c r="G14" s="413" t="s">
        <v>113</v>
      </c>
      <c r="H14" s="415"/>
    </row>
    <row r="15" spans="1:11" ht="14.25" hidden="1" customHeight="1" outlineLevel="1">
      <c r="A15" t="s">
        <v>283</v>
      </c>
      <c r="D15" s="415"/>
      <c r="E15" s="411" t="s">
        <v>114</v>
      </c>
      <c r="F15" s="415"/>
      <c r="G15" s="418" t="s">
        <v>284</v>
      </c>
      <c r="H15" s="415"/>
    </row>
    <row r="16" spans="1:11" ht="14.25" hidden="1" customHeight="1" outlineLevel="1">
      <c r="A16" s="419" t="s">
        <v>252</v>
      </c>
      <c r="B16" s="420"/>
      <c r="D16" s="415"/>
      <c r="E16" s="411" t="s">
        <v>285</v>
      </c>
      <c r="F16" s="415"/>
      <c r="G16" s="415"/>
      <c r="H16" s="415"/>
    </row>
    <row r="17" spans="1:8" ht="14.25" hidden="1" customHeight="1" outlineLevel="1">
      <c r="A17" s="419" t="s">
        <v>257</v>
      </c>
      <c r="B17" s="420" t="s">
        <v>258</v>
      </c>
      <c r="D17" s="415"/>
      <c r="E17" s="411" t="s">
        <v>286</v>
      </c>
      <c r="F17" s="415"/>
      <c r="G17" s="415"/>
      <c r="H17" s="415"/>
    </row>
    <row r="18" spans="1:8" ht="14.25" hidden="1" customHeight="1" outlineLevel="1">
      <c r="A18" s="419" t="s">
        <v>287</v>
      </c>
      <c r="B18" s="420" t="s">
        <v>288</v>
      </c>
      <c r="D18" s="415"/>
      <c r="E18" s="411" t="s">
        <v>289</v>
      </c>
      <c r="F18" s="415"/>
      <c r="G18" s="421" t="s">
        <v>290</v>
      </c>
      <c r="H18" s="415"/>
    </row>
    <row r="19" spans="1:8" ht="14.25" hidden="1" customHeight="1" outlineLevel="1">
      <c r="A19" s="419" t="s">
        <v>291</v>
      </c>
      <c r="B19" s="420"/>
      <c r="D19" s="415"/>
      <c r="E19" s="411" t="s">
        <v>292</v>
      </c>
      <c r="F19" s="415"/>
      <c r="G19" s="421" t="s">
        <v>293</v>
      </c>
      <c r="H19" s="415"/>
    </row>
    <row r="20" spans="1:8" ht="14.25" hidden="1" customHeight="1" outlineLevel="1">
      <c r="A20" s="419" t="s">
        <v>294</v>
      </c>
      <c r="B20" s="420" t="s">
        <v>295</v>
      </c>
      <c r="D20" s="415"/>
      <c r="E20" s="411" t="s">
        <v>296</v>
      </c>
      <c r="F20" s="415"/>
      <c r="G20" s="421" t="s">
        <v>297</v>
      </c>
      <c r="H20" s="415"/>
    </row>
    <row r="21" spans="1:8" ht="14.25" hidden="1" customHeight="1" outlineLevel="1">
      <c r="A21" s="419" t="s">
        <v>298</v>
      </c>
      <c r="B21" s="420" t="s">
        <v>299</v>
      </c>
      <c r="D21" s="415"/>
      <c r="E21" s="411" t="s">
        <v>300</v>
      </c>
      <c r="F21" s="415"/>
      <c r="G21" s="421" t="s">
        <v>301</v>
      </c>
      <c r="H21" s="415"/>
    </row>
    <row r="22" spans="1:8" ht="14.25" hidden="1" customHeight="1" outlineLevel="1">
      <c r="A22" s="419" t="s">
        <v>270</v>
      </c>
      <c r="B22" s="420"/>
      <c r="D22" s="415"/>
      <c r="E22" s="411" t="s">
        <v>302</v>
      </c>
      <c r="F22" s="415"/>
      <c r="G22" s="421" t="s">
        <v>303</v>
      </c>
      <c r="H22" s="415"/>
    </row>
    <row r="23" spans="1:8" ht="14.25" hidden="1" customHeight="1" outlineLevel="1">
      <c r="A23" s="419" t="s">
        <v>273</v>
      </c>
      <c r="B23" s="420"/>
      <c r="D23" s="415"/>
      <c r="E23" s="411" t="s">
        <v>304</v>
      </c>
      <c r="F23" s="415"/>
      <c r="G23" s="421" t="s">
        <v>305</v>
      </c>
      <c r="H23" s="415"/>
    </row>
    <row r="24" spans="1:8" ht="14.25" hidden="1" customHeight="1" outlineLevel="1">
      <c r="A24" s="419" t="s">
        <v>306</v>
      </c>
      <c r="B24" s="420" t="s">
        <v>307</v>
      </c>
      <c r="D24" s="415"/>
      <c r="E24" s="411" t="s">
        <v>308</v>
      </c>
      <c r="F24" s="415"/>
      <c r="G24" s="421" t="s">
        <v>309</v>
      </c>
      <c r="H24" s="415"/>
    </row>
    <row r="25" spans="1:8" ht="14.25" hidden="1" customHeight="1" outlineLevel="1">
      <c r="A25" s="414"/>
      <c r="D25" s="415"/>
      <c r="E25" s="411" t="s">
        <v>310</v>
      </c>
      <c r="F25" s="415"/>
      <c r="G25" s="421" t="s">
        <v>311</v>
      </c>
      <c r="H25" s="415"/>
    </row>
    <row r="26" spans="1:8" ht="14.25" hidden="1" customHeight="1" outlineLevel="1">
      <c r="A26" s="414"/>
      <c r="B26" s="422" t="s">
        <v>312</v>
      </c>
      <c r="D26" s="415"/>
      <c r="E26" s="411" t="s">
        <v>58</v>
      </c>
      <c r="F26" s="415"/>
      <c r="G26" s="421" t="s">
        <v>313</v>
      </c>
      <c r="H26" s="415"/>
    </row>
    <row r="27" spans="1:8" ht="14.25" hidden="1" customHeight="1" outlineLevel="1">
      <c r="A27" s="414"/>
      <c r="D27" s="415"/>
      <c r="E27" s="411" t="s">
        <v>314</v>
      </c>
      <c r="F27" s="415"/>
      <c r="G27" s="421" t="s">
        <v>315</v>
      </c>
      <c r="H27" s="415"/>
    </row>
    <row r="28" spans="1:8" ht="14.25" hidden="1" customHeight="1" outlineLevel="1">
      <c r="A28" s="414"/>
      <c r="D28" s="415"/>
      <c r="E28" s="411" t="s">
        <v>316</v>
      </c>
      <c r="F28" s="415"/>
      <c r="G28" s="421" t="s">
        <v>317</v>
      </c>
      <c r="H28" s="415"/>
    </row>
    <row r="29" spans="1:8" ht="14.25" hidden="1" customHeight="1" outlineLevel="1">
      <c r="A29" s="414"/>
      <c r="D29" s="415"/>
      <c r="E29" s="411" t="s">
        <v>274</v>
      </c>
      <c r="F29" s="415"/>
      <c r="G29" s="415">
        <v>95130</v>
      </c>
      <c r="H29" s="415"/>
    </row>
    <row r="30" spans="1:8" ht="14.25" hidden="1" customHeight="1" outlineLevel="1">
      <c r="A30" s="414"/>
      <c r="D30" s="415"/>
      <c r="F30" s="415"/>
      <c r="G30" s="415"/>
      <c r="H30" s="415"/>
    </row>
    <row r="31" spans="1:8" ht="14.25" hidden="1" customHeight="1" outlineLevel="1">
      <c r="A31" s="414"/>
      <c r="D31" s="415"/>
      <c r="F31" s="415"/>
      <c r="G31" s="415"/>
      <c r="H31" s="415"/>
    </row>
    <row r="32" spans="1:8" ht="14.25" hidden="1" customHeight="1" outlineLevel="1">
      <c r="A32" s="414"/>
      <c r="D32" s="415"/>
      <c r="F32" s="415"/>
      <c r="G32" s="415"/>
      <c r="H32" s="415"/>
    </row>
    <row r="33" spans="1:29" ht="14.25" hidden="1" customHeight="1" outlineLevel="1">
      <c r="A33" s="414"/>
      <c r="D33" s="415"/>
      <c r="F33" s="415"/>
      <c r="G33" s="415"/>
      <c r="H33" s="415"/>
    </row>
    <row r="34" spans="1:29" ht="14.25" hidden="1" customHeight="1" outlineLevel="1">
      <c r="A34" s="414"/>
      <c r="D34" s="415"/>
      <c r="E34" s="994" t="s">
        <v>113</v>
      </c>
      <c r="F34" s="415"/>
      <c r="G34" s="415"/>
      <c r="H34" s="415"/>
    </row>
    <row r="35" spans="1:29" collapsed="1">
      <c r="A35" s="414"/>
      <c r="M35" s="436"/>
      <c r="N35" s="436"/>
      <c r="O35" s="436"/>
      <c r="P35" s="436"/>
      <c r="Q35" s="436"/>
      <c r="R35" s="436"/>
      <c r="S35" s="436"/>
      <c r="T35" s="436"/>
      <c r="V35" s="436"/>
      <c r="W35" s="436"/>
      <c r="X35" s="436"/>
      <c r="Y35" s="436"/>
      <c r="Z35" s="436"/>
      <c r="AA35" s="436"/>
      <c r="AB35" s="436"/>
      <c r="AC35" s="436"/>
    </row>
    <row r="36" spans="1:29">
      <c r="A36" s="414"/>
    </row>
    <row r="37" spans="1:29" ht="20.25" customHeight="1">
      <c r="K37" s="1141" t="s">
        <v>591</v>
      </c>
      <c r="M37" s="1209">
        <f t="shared" ref="M37:S37" si="0">M46/N46-1</f>
        <v>0</v>
      </c>
      <c r="N37" s="1209">
        <f t="shared" si="0"/>
        <v>0.11538461538461542</v>
      </c>
      <c r="O37" s="1209">
        <f t="shared" si="0"/>
        <v>-1.8867924528301883E-2</v>
      </c>
      <c r="P37" s="1209">
        <f t="shared" si="0"/>
        <v>0.17777777777777781</v>
      </c>
      <c r="Q37" s="1209">
        <f t="shared" si="0"/>
        <v>7.1428571428571397E-2</v>
      </c>
      <c r="R37" s="1209">
        <f t="shared" si="0"/>
        <v>-0.1063829787234043</v>
      </c>
      <c r="S37" s="1209">
        <f t="shared" si="0"/>
        <v>0.20512820512820507</v>
      </c>
    </row>
    <row r="38" spans="1:29" ht="24.75" customHeight="1">
      <c r="K38" s="1141" t="s">
        <v>484</v>
      </c>
      <c r="M38" s="1142" t="s">
        <v>318</v>
      </c>
      <c r="N38" s="1143"/>
      <c r="O38" s="1143"/>
      <c r="P38" s="1143"/>
      <c r="Q38" s="1143"/>
      <c r="R38" s="1143"/>
      <c r="S38" s="1143"/>
      <c r="T38" s="1144"/>
      <c r="V38" s="1142" t="s">
        <v>319</v>
      </c>
      <c r="W38" s="1143"/>
      <c r="X38" s="1143"/>
      <c r="Y38" s="1143"/>
      <c r="Z38" s="1143"/>
      <c r="AA38" s="1143"/>
      <c r="AB38" s="1143"/>
      <c r="AC38" s="1144"/>
    </row>
    <row r="39" spans="1:29" ht="8.25" customHeight="1">
      <c r="K39" s="423"/>
      <c r="M39" s="424"/>
      <c r="V39" s="424"/>
    </row>
    <row r="40" spans="1:29" ht="19.5" customHeight="1">
      <c r="K40" s="425"/>
      <c r="L40" s="425"/>
      <c r="M40" s="1145" t="s">
        <v>254</v>
      </c>
      <c r="N40" s="1145" t="s">
        <v>254</v>
      </c>
      <c r="O40" s="1145" t="s">
        <v>254</v>
      </c>
      <c r="P40" s="1145" t="s">
        <v>254</v>
      </c>
      <c r="Q40" s="1145" t="s">
        <v>254</v>
      </c>
      <c r="R40" s="1145" t="s">
        <v>254</v>
      </c>
      <c r="S40" s="1145" t="s">
        <v>254</v>
      </c>
      <c r="T40" s="1146" t="s">
        <v>254</v>
      </c>
      <c r="V40" s="1145" t="s">
        <v>254</v>
      </c>
      <c r="W40" s="1145" t="s">
        <v>254</v>
      </c>
      <c r="X40" s="1145" t="s">
        <v>254</v>
      </c>
      <c r="Y40" s="1145" t="s">
        <v>254</v>
      </c>
      <c r="Z40" s="1145" t="s">
        <v>254</v>
      </c>
      <c r="AA40" s="1145" t="s">
        <v>254</v>
      </c>
      <c r="AB40" s="1145" t="s">
        <v>254</v>
      </c>
      <c r="AC40" s="1146" t="s">
        <v>254</v>
      </c>
    </row>
    <row r="41" spans="1:29" s="426" customFormat="1" ht="19.5" customHeight="1">
      <c r="K41" s="1147"/>
      <c r="L41" s="427"/>
      <c r="M41" s="1145">
        <v>2018</v>
      </c>
      <c r="N41" s="1145">
        <v>2017</v>
      </c>
      <c r="O41" s="1145">
        <v>2016</v>
      </c>
      <c r="P41" s="1145">
        <v>2015</v>
      </c>
      <c r="Q41" s="1145">
        <v>2014</v>
      </c>
      <c r="R41" s="1145">
        <v>2013</v>
      </c>
      <c r="S41" s="1145">
        <v>2012</v>
      </c>
      <c r="T41" s="1146">
        <v>2011</v>
      </c>
      <c r="U41" s="410"/>
      <c r="V41" s="1145">
        <v>2018</v>
      </c>
      <c r="W41" s="1145">
        <v>2017</v>
      </c>
      <c r="X41" s="1145">
        <v>2016</v>
      </c>
      <c r="Y41" s="1145">
        <v>2015</v>
      </c>
      <c r="Z41" s="1145">
        <v>2014</v>
      </c>
      <c r="AA41" s="1145">
        <v>2013</v>
      </c>
      <c r="AB41" s="1145">
        <v>2012</v>
      </c>
      <c r="AC41" s="1146">
        <v>2011</v>
      </c>
    </row>
    <row r="42" spans="1:29" ht="19.5" customHeight="1">
      <c r="M42" s="1145" t="s">
        <v>316</v>
      </c>
      <c r="N42" s="1145" t="s">
        <v>316</v>
      </c>
      <c r="O42" s="1145" t="s">
        <v>316</v>
      </c>
      <c r="P42" s="1145" t="s">
        <v>316</v>
      </c>
      <c r="Q42" s="1145" t="s">
        <v>316</v>
      </c>
      <c r="R42" s="1145" t="s">
        <v>316</v>
      </c>
      <c r="S42" s="1145" t="s">
        <v>316</v>
      </c>
      <c r="T42" s="1146" t="s">
        <v>316</v>
      </c>
      <c r="V42" s="1145" t="s">
        <v>316</v>
      </c>
      <c r="W42" s="1145" t="s">
        <v>316</v>
      </c>
      <c r="X42" s="1145" t="s">
        <v>316</v>
      </c>
      <c r="Y42" s="1145" t="s">
        <v>316</v>
      </c>
      <c r="Z42" s="1145" t="s">
        <v>316</v>
      </c>
      <c r="AA42" s="1145" t="s">
        <v>316</v>
      </c>
      <c r="AB42" s="1145" t="s">
        <v>316</v>
      </c>
      <c r="AC42" s="1146" t="s">
        <v>316</v>
      </c>
    </row>
    <row r="43" spans="1:29" ht="7.5" customHeight="1">
      <c r="M43" s="1148"/>
      <c r="N43" s="1148"/>
      <c r="O43" s="1148"/>
      <c r="P43" s="1148"/>
      <c r="Q43" s="1148"/>
      <c r="R43" s="1148"/>
      <c r="S43" s="1148"/>
      <c r="T43" s="1148"/>
      <c r="V43" s="1148"/>
      <c r="W43" s="1148"/>
      <c r="X43" s="1148"/>
      <c r="Y43" s="1148"/>
      <c r="Z43" s="1148"/>
      <c r="AA43" s="1148"/>
      <c r="AB43" s="1148"/>
      <c r="AC43" s="1148"/>
    </row>
    <row r="44" spans="1:29" s="414" customFormat="1" ht="18" customHeight="1">
      <c r="K44" s="1149" t="s">
        <v>115</v>
      </c>
      <c r="L44" s="1150"/>
      <c r="M44" s="1151">
        <v>3312613.49</v>
      </c>
      <c r="N44" s="1152">
        <v>2998590.3899999997</v>
      </c>
      <c r="O44" s="1152">
        <v>3126206.8000000003</v>
      </c>
      <c r="P44" s="1152">
        <v>2590086.3100000005</v>
      </c>
      <c r="Q44" s="1152">
        <v>2402042.5999999996</v>
      </c>
      <c r="R44" s="1152">
        <v>2570179.3500000006</v>
      </c>
      <c r="S44" s="1152">
        <v>2548530.2799999998</v>
      </c>
      <c r="T44" s="1153">
        <v>2026630.2500000002</v>
      </c>
      <c r="U44" s="428"/>
      <c r="V44" s="1154">
        <v>385.21321067845048</v>
      </c>
      <c r="W44" s="1155">
        <v>349.77142073953104</v>
      </c>
      <c r="X44" s="1155">
        <v>373.95457201934425</v>
      </c>
      <c r="Y44" s="1155">
        <v>362.30774489428893</v>
      </c>
      <c r="Z44" s="1155">
        <v>346.00169149724252</v>
      </c>
      <c r="AA44" s="1155">
        <v>375.60032254697296</v>
      </c>
      <c r="AB44" s="1155">
        <v>384.39370739064856</v>
      </c>
      <c r="AC44" s="1156">
        <v>402.93148574187683</v>
      </c>
    </row>
    <row r="45" spans="1:29" s="414" customFormat="1" ht="18" customHeight="1">
      <c r="K45" s="917" t="s">
        <v>592</v>
      </c>
      <c r="L45" s="429"/>
      <c r="M45" s="918">
        <v>8599.4285714285706</v>
      </c>
      <c r="N45" s="430">
        <v>8573</v>
      </c>
      <c r="O45" s="430">
        <v>8359.8571428571413</v>
      </c>
      <c r="P45" s="430">
        <v>7148.8571428571413</v>
      </c>
      <c r="Q45" s="430">
        <v>6942.2857142857138</v>
      </c>
      <c r="R45" s="430">
        <v>6842.8571428571422</v>
      </c>
      <c r="S45" s="430">
        <v>6630</v>
      </c>
      <c r="T45" s="431">
        <v>5029.7142857142862</v>
      </c>
      <c r="U45" s="432"/>
      <c r="V45" s="918">
        <v>8599.4285714285706</v>
      </c>
      <c r="W45" s="430">
        <v>8573</v>
      </c>
      <c r="X45" s="430">
        <v>8359.8571428571413</v>
      </c>
      <c r="Y45" s="430">
        <v>7148.8571428571413</v>
      </c>
      <c r="Z45" s="430">
        <v>6942.2857142857138</v>
      </c>
      <c r="AA45" s="430">
        <v>6842.8571428571422</v>
      </c>
      <c r="AB45" s="430">
        <v>6630</v>
      </c>
      <c r="AC45" s="431">
        <v>5029.7142857142862</v>
      </c>
    </row>
    <row r="46" spans="1:29" s="414" customFormat="1" ht="18" customHeight="1">
      <c r="K46" s="919" t="s">
        <v>50</v>
      </c>
      <c r="L46" s="920"/>
      <c r="M46" s="921">
        <v>58</v>
      </c>
      <c r="N46" s="922">
        <v>58</v>
      </c>
      <c r="O46" s="922">
        <v>52</v>
      </c>
      <c r="P46" s="922">
        <v>53</v>
      </c>
      <c r="Q46" s="922">
        <v>45</v>
      </c>
      <c r="R46" s="922">
        <v>42</v>
      </c>
      <c r="S46" s="922">
        <v>47</v>
      </c>
      <c r="T46" s="923">
        <v>39</v>
      </c>
      <c r="U46" s="433"/>
      <c r="V46" s="921">
        <v>58</v>
      </c>
      <c r="W46" s="922">
        <v>58</v>
      </c>
      <c r="X46" s="922">
        <v>52</v>
      </c>
      <c r="Y46" s="922">
        <v>53</v>
      </c>
      <c r="Z46" s="922">
        <v>45</v>
      </c>
      <c r="AA46" s="922">
        <v>42</v>
      </c>
      <c r="AB46" s="922">
        <v>47</v>
      </c>
      <c r="AC46" s="923">
        <v>39</v>
      </c>
    </row>
    <row r="47" spans="1:29" ht="6.75" customHeight="1">
      <c r="K47" s="429"/>
      <c r="L47" s="429"/>
      <c r="M47" s="1157"/>
      <c r="N47" s="434"/>
      <c r="O47" s="434"/>
      <c r="P47" s="434"/>
      <c r="Q47" s="434"/>
      <c r="R47" s="434"/>
      <c r="S47" s="434"/>
      <c r="T47" s="435"/>
      <c r="U47" s="436"/>
      <c r="V47" s="1157"/>
      <c r="W47" s="434"/>
      <c r="X47" s="434"/>
      <c r="Y47" s="434"/>
      <c r="Z47" s="434"/>
      <c r="AA47" s="434"/>
      <c r="AB47" s="434"/>
      <c r="AC47" s="435"/>
    </row>
    <row r="48" spans="1:29">
      <c r="K48" s="437" t="s">
        <v>47</v>
      </c>
      <c r="M48" s="924">
        <v>457779.17999999993</v>
      </c>
      <c r="N48" s="438">
        <v>367474.22000000009</v>
      </c>
      <c r="O48" s="438">
        <v>374202.39999999997</v>
      </c>
      <c r="P48" s="438">
        <v>295496.44</v>
      </c>
      <c r="Q48" s="438">
        <v>286446.67000000004</v>
      </c>
      <c r="R48" s="438">
        <v>329526.49</v>
      </c>
      <c r="S48" s="438">
        <v>280010.46000000002</v>
      </c>
      <c r="T48" s="439">
        <v>209399.19999999998</v>
      </c>
      <c r="U48" s="436"/>
      <c r="V48" s="925">
        <v>53.233674330520294</v>
      </c>
      <c r="W48" s="440">
        <v>42.864133908783401</v>
      </c>
      <c r="X48" s="440">
        <v>44.761817529349443</v>
      </c>
      <c r="Y48" s="440">
        <v>41.33478038447705</v>
      </c>
      <c r="Z48" s="440">
        <v>41.26114680220595</v>
      </c>
      <c r="AA48" s="440">
        <v>48.156272025052196</v>
      </c>
      <c r="AB48" s="440">
        <v>42.23385520361991</v>
      </c>
      <c r="AC48" s="441">
        <v>41.632424448988857</v>
      </c>
    </row>
    <row r="49" spans="11:29">
      <c r="K49" s="437" t="s">
        <v>117</v>
      </c>
      <c r="M49" s="924">
        <v>201144.83000000005</v>
      </c>
      <c r="N49" s="438">
        <v>131223.4</v>
      </c>
      <c r="O49" s="438">
        <v>129879.23</v>
      </c>
      <c r="P49" s="438">
        <v>120474.83000000002</v>
      </c>
      <c r="Q49" s="438">
        <v>98750.400000000009</v>
      </c>
      <c r="R49" s="438">
        <v>103210.65000000002</v>
      </c>
      <c r="S49" s="438">
        <v>62086.12</v>
      </c>
      <c r="T49" s="439">
        <v>56869.810000000012</v>
      </c>
      <c r="U49" s="436"/>
      <c r="V49" s="925">
        <v>23.390487906173174</v>
      </c>
      <c r="W49" s="440">
        <v>15.306590458415956</v>
      </c>
      <c r="X49" s="440">
        <v>15.536058545087922</v>
      </c>
      <c r="Y49" s="440">
        <v>16.852320250989177</v>
      </c>
      <c r="Z49" s="440">
        <v>14.224479381019016</v>
      </c>
      <c r="AA49" s="440">
        <v>15.082975991649274</v>
      </c>
      <c r="AB49" s="440">
        <v>9.3644223227752637</v>
      </c>
      <c r="AC49" s="441">
        <v>11.306767496023632</v>
      </c>
    </row>
    <row r="50" spans="11:29">
      <c r="K50" s="437" t="s">
        <v>118</v>
      </c>
      <c r="M50" s="924">
        <v>341783.39399999997</v>
      </c>
      <c r="N50" s="438">
        <v>203580.96199999994</v>
      </c>
      <c r="O50" s="438">
        <v>172629.21199999997</v>
      </c>
      <c r="P50" s="438">
        <v>187434.08899999998</v>
      </c>
      <c r="Q50" s="438">
        <v>203929.13199999995</v>
      </c>
      <c r="R50" s="438">
        <v>213166.71900000001</v>
      </c>
      <c r="S50" s="438">
        <v>217727.777</v>
      </c>
      <c r="T50" s="439">
        <v>145006.59000000003</v>
      </c>
      <c r="U50" s="436"/>
      <c r="V50" s="925">
        <v>39.744895973154364</v>
      </c>
      <c r="W50" s="440">
        <v>23.74675866091216</v>
      </c>
      <c r="X50" s="440">
        <v>20.649780139783662</v>
      </c>
      <c r="Y50" s="440">
        <v>26.218748711082693</v>
      </c>
      <c r="Z50" s="440">
        <v>29.374926413696596</v>
      </c>
      <c r="AA50" s="440">
        <v>31.151712588726518</v>
      </c>
      <c r="AB50" s="440">
        <v>32.839785369532429</v>
      </c>
      <c r="AC50" s="441">
        <v>28.82998551465576</v>
      </c>
    </row>
    <row r="51" spans="11:29">
      <c r="K51" s="437" t="s">
        <v>119</v>
      </c>
      <c r="M51" s="924">
        <v>1060002.4500000002</v>
      </c>
      <c r="N51" s="438">
        <v>962286.98</v>
      </c>
      <c r="O51" s="438">
        <v>775627.0199999999</v>
      </c>
      <c r="P51" s="438">
        <v>620780.77</v>
      </c>
      <c r="Q51" s="438">
        <v>580803.9800000001</v>
      </c>
      <c r="R51" s="438">
        <v>502350.45999999996</v>
      </c>
      <c r="S51" s="438">
        <v>468425.93999999994</v>
      </c>
      <c r="T51" s="439">
        <v>362028.93999999994</v>
      </c>
      <c r="U51" s="436"/>
      <c r="V51" s="925">
        <v>123.26428915542564</v>
      </c>
      <c r="W51" s="440">
        <v>112.2462358567596</v>
      </c>
      <c r="X51" s="440">
        <v>92.779937114441466</v>
      </c>
      <c r="Y51" s="440">
        <v>86.836365253187338</v>
      </c>
      <c r="Z51" s="440">
        <v>83.661779981891527</v>
      </c>
      <c r="AA51" s="440">
        <v>73.412384551148222</v>
      </c>
      <c r="AB51" s="440">
        <v>70.652479638009041</v>
      </c>
      <c r="AC51" s="441">
        <v>71.978032833446932</v>
      </c>
    </row>
    <row r="52" spans="11:29">
      <c r="K52" s="437" t="s">
        <v>120</v>
      </c>
      <c r="M52" s="924">
        <v>2488.4899999999998</v>
      </c>
      <c r="N52" s="438">
        <v>4880.78</v>
      </c>
      <c r="O52" s="438">
        <v>1791.1799999999998</v>
      </c>
      <c r="P52" s="438">
        <v>2569.83</v>
      </c>
      <c r="Q52" s="438">
        <v>1538.9499999999996</v>
      </c>
      <c r="R52" s="438">
        <v>4137.33</v>
      </c>
      <c r="S52" s="438">
        <v>2002.1999999999998</v>
      </c>
      <c r="T52" s="439">
        <v>89.37</v>
      </c>
      <c r="U52" s="436"/>
      <c r="V52" s="925">
        <v>0.28937853013489268</v>
      </c>
      <c r="W52" s="440">
        <v>0.56931995800769852</v>
      </c>
      <c r="X52" s="440">
        <v>0.21425964216750118</v>
      </c>
      <c r="Y52" s="440">
        <v>0.35947424163702496</v>
      </c>
      <c r="Z52" s="440">
        <v>0.22167771009959664</v>
      </c>
      <c r="AA52" s="440">
        <v>0.6046202505219207</v>
      </c>
      <c r="AB52" s="440">
        <v>0.30199095022624434</v>
      </c>
      <c r="AC52" s="441">
        <v>1.776840490797546E-2</v>
      </c>
    </row>
    <row r="53" spans="11:29" ht="12.75" customHeight="1">
      <c r="K53" s="437" t="s">
        <v>57</v>
      </c>
      <c r="L53" s="442"/>
      <c r="M53" s="924">
        <v>43937.279999999999</v>
      </c>
      <c r="N53" s="438">
        <v>41568.03</v>
      </c>
      <c r="O53" s="438">
        <v>42362.94</v>
      </c>
      <c r="P53" s="438">
        <v>39495.800000000003</v>
      </c>
      <c r="Q53" s="438">
        <v>36224.449999999997</v>
      </c>
      <c r="R53" s="438">
        <v>32876.69</v>
      </c>
      <c r="S53" s="438">
        <v>35320.449999999997</v>
      </c>
      <c r="T53" s="439">
        <v>23202.240000000002</v>
      </c>
      <c r="U53" s="443"/>
      <c r="V53" s="925">
        <v>5.1093255365805037</v>
      </c>
      <c r="W53" s="440">
        <v>4.8487145689956836</v>
      </c>
      <c r="X53" s="440">
        <v>5.0674239136007122</v>
      </c>
      <c r="Y53" s="440">
        <v>5.5247711921985552</v>
      </c>
      <c r="Z53" s="440">
        <v>5.2179428348012182</v>
      </c>
      <c r="AA53" s="440">
        <v>4.8045267223382053</v>
      </c>
      <c r="AB53" s="440">
        <v>5.3273680241327295</v>
      </c>
      <c r="AC53" s="441">
        <v>4.613033401499659</v>
      </c>
    </row>
    <row r="54" spans="11:29" s="414" customFormat="1">
      <c r="K54" s="444" t="s">
        <v>121</v>
      </c>
      <c r="M54" s="926">
        <v>2107135.6240000003</v>
      </c>
      <c r="N54" s="445">
        <v>1711014.3720000007</v>
      </c>
      <c r="O54" s="445">
        <v>1496491.9819999996</v>
      </c>
      <c r="P54" s="445">
        <v>1266251.7590000003</v>
      </c>
      <c r="Q54" s="445">
        <v>1207693.5820000006</v>
      </c>
      <c r="R54" s="445">
        <v>1185268.3389999999</v>
      </c>
      <c r="S54" s="445">
        <v>1065572.9469999999</v>
      </c>
      <c r="T54" s="446">
        <v>796596.15000000014</v>
      </c>
      <c r="U54" s="428"/>
      <c r="V54" s="927">
        <v>245.03205143198889</v>
      </c>
      <c r="W54" s="447">
        <v>199.58175341187456</v>
      </c>
      <c r="X54" s="447">
        <v>179.00927688443068</v>
      </c>
      <c r="Y54" s="447">
        <v>177.12646003357187</v>
      </c>
      <c r="Z54" s="447">
        <v>173.96195312371398</v>
      </c>
      <c r="AA54" s="447">
        <v>173.21249212943633</v>
      </c>
      <c r="AB54" s="447">
        <v>160.71990150829561</v>
      </c>
      <c r="AC54" s="448">
        <v>158.37801209952283</v>
      </c>
    </row>
    <row r="55" spans="11:29" ht="9" customHeight="1">
      <c r="K55" s="437"/>
      <c r="M55" s="1158"/>
      <c r="N55" s="449"/>
      <c r="O55" s="449"/>
      <c r="P55" s="449"/>
      <c r="Q55" s="449"/>
      <c r="R55" s="449"/>
      <c r="S55" s="449"/>
      <c r="T55" s="450"/>
      <c r="U55" s="436"/>
      <c r="V55" s="1159"/>
      <c r="W55" s="451"/>
      <c r="X55" s="451"/>
      <c r="Y55" s="451"/>
      <c r="Z55" s="451"/>
      <c r="AA55" s="451"/>
      <c r="AB55" s="451"/>
      <c r="AC55" s="452"/>
    </row>
    <row r="56" spans="11:29">
      <c r="K56" s="437" t="s">
        <v>122</v>
      </c>
      <c r="M56" s="924">
        <v>202913.22999999998</v>
      </c>
      <c r="N56" s="438">
        <v>191643.44000000003</v>
      </c>
      <c r="O56" s="438">
        <v>166467.88</v>
      </c>
      <c r="P56" s="438">
        <v>157387.35999999999</v>
      </c>
      <c r="Q56" s="438">
        <v>137130.42000000001</v>
      </c>
      <c r="R56" s="438">
        <v>157380.35000000003</v>
      </c>
      <c r="S56" s="438">
        <v>43933.229999999996</v>
      </c>
      <c r="T56" s="439">
        <v>3506</v>
      </c>
      <c r="U56" s="436"/>
      <c r="V56" s="925">
        <v>23.596129477041664</v>
      </c>
      <c r="W56" s="440">
        <v>22.354303044441856</v>
      </c>
      <c r="X56" s="440">
        <v>19.912766110152262</v>
      </c>
      <c r="Y56" s="440">
        <v>22.015737180768159</v>
      </c>
      <c r="Z56" s="440">
        <v>19.752920816528114</v>
      </c>
      <c r="AA56" s="440">
        <v>22.999216075156582</v>
      </c>
      <c r="AB56" s="440">
        <v>6.6264298642533932</v>
      </c>
      <c r="AC56" s="441">
        <v>0.69705748693478753</v>
      </c>
    </row>
    <row r="57" spans="11:29">
      <c r="K57" s="437" t="s">
        <v>123</v>
      </c>
      <c r="M57" s="924">
        <v>90856.749999999985</v>
      </c>
      <c r="N57" s="438">
        <v>65920.08</v>
      </c>
      <c r="O57" s="438">
        <v>45035.25</v>
      </c>
      <c r="P57" s="438">
        <v>39318.699999999997</v>
      </c>
      <c r="Q57" s="438">
        <v>34411.43</v>
      </c>
      <c r="R57" s="438">
        <v>37743.620000000003</v>
      </c>
      <c r="S57" s="438">
        <v>7309.34</v>
      </c>
      <c r="T57" s="439">
        <v>190.89999999999998</v>
      </c>
      <c r="U57" s="436"/>
      <c r="V57" s="925">
        <v>10.565440394710611</v>
      </c>
      <c r="W57" s="440">
        <v>7.6892663011781179</v>
      </c>
      <c r="X57" s="440">
        <v>5.3870836822228689</v>
      </c>
      <c r="Y57" s="440">
        <v>5.4999980016785912</v>
      </c>
      <c r="Z57" s="440">
        <v>4.9567867725738752</v>
      </c>
      <c r="AA57" s="440">
        <v>5.5157691022964519</v>
      </c>
      <c r="AB57" s="440">
        <v>1.1024645550527903</v>
      </c>
      <c r="AC57" s="441">
        <v>3.7954442172233573E-2</v>
      </c>
    </row>
    <row r="58" spans="11:29" s="414" customFormat="1">
      <c r="K58" s="444" t="s">
        <v>124</v>
      </c>
      <c r="M58" s="926">
        <v>293769.98</v>
      </c>
      <c r="N58" s="445">
        <v>257563.51999999999</v>
      </c>
      <c r="O58" s="445">
        <v>211503.13</v>
      </c>
      <c r="P58" s="445">
        <v>196706.06</v>
      </c>
      <c r="Q58" s="445">
        <v>171541.85</v>
      </c>
      <c r="R58" s="445">
        <v>195123.97</v>
      </c>
      <c r="S58" s="445">
        <v>51242.57</v>
      </c>
      <c r="T58" s="446">
        <v>3696.8999999999996</v>
      </c>
      <c r="U58" s="436"/>
      <c r="V58" s="927">
        <v>34.161569871752278</v>
      </c>
      <c r="W58" s="447">
        <v>30.043569345619968</v>
      </c>
      <c r="X58" s="447">
        <v>25.299849792375131</v>
      </c>
      <c r="Y58" s="447">
        <v>27.51573518244675</v>
      </c>
      <c r="Z58" s="447">
        <v>24.709707589101985</v>
      </c>
      <c r="AA58" s="447">
        <v>28.514985177453031</v>
      </c>
      <c r="AB58" s="447">
        <v>7.7288944193061839</v>
      </c>
      <c r="AC58" s="448">
        <v>0.73501192910702096</v>
      </c>
    </row>
    <row r="59" spans="11:29">
      <c r="K59" s="420"/>
      <c r="M59" s="1158"/>
      <c r="N59" s="449"/>
      <c r="O59" s="449"/>
      <c r="P59" s="449"/>
      <c r="Q59" s="449"/>
      <c r="R59" s="449"/>
      <c r="S59" s="449"/>
      <c r="T59" s="450"/>
      <c r="U59" s="436"/>
      <c r="V59" s="1159"/>
      <c r="W59" s="451"/>
      <c r="X59" s="451"/>
      <c r="Y59" s="451"/>
      <c r="Z59" s="451"/>
      <c r="AA59" s="451"/>
      <c r="AB59" s="451"/>
      <c r="AC59" s="452"/>
    </row>
    <row r="60" spans="11:29" s="453" customFormat="1">
      <c r="K60" s="1160" t="s">
        <v>125</v>
      </c>
      <c r="L60" s="1161"/>
      <c r="M60" s="1162">
        <v>2400905.6039999998</v>
      </c>
      <c r="N60" s="1163">
        <v>1968577.8920000007</v>
      </c>
      <c r="O60" s="1163">
        <v>1707995.1119999997</v>
      </c>
      <c r="P60" s="1163">
        <v>1462957.8190000004</v>
      </c>
      <c r="Q60" s="1163">
        <v>1379235.4320000007</v>
      </c>
      <c r="R60" s="1163">
        <v>1380392.3090000001</v>
      </c>
      <c r="S60" s="1163">
        <v>1116815.5170000002</v>
      </c>
      <c r="T60" s="1164">
        <v>800293.05000000016</v>
      </c>
      <c r="U60" s="436"/>
      <c r="V60" s="1165">
        <v>279.19362130374111</v>
      </c>
      <c r="W60" s="1166">
        <v>229.62532275749453</v>
      </c>
      <c r="X60" s="1166">
        <v>204.30912667680582</v>
      </c>
      <c r="Y60" s="1166">
        <v>204.64219521601865</v>
      </c>
      <c r="Z60" s="1166">
        <v>198.67166071281599</v>
      </c>
      <c r="AA60" s="1166">
        <v>201.7274773068894</v>
      </c>
      <c r="AB60" s="1166">
        <v>168.44879592760185</v>
      </c>
      <c r="AC60" s="1167">
        <v>159.11302402862987</v>
      </c>
    </row>
    <row r="61" spans="11:29">
      <c r="K61" s="437"/>
      <c r="M61" s="1168"/>
      <c r="N61" s="454"/>
      <c r="O61" s="454"/>
      <c r="P61" s="454"/>
      <c r="Q61" s="454"/>
      <c r="R61" s="454"/>
      <c r="S61" s="454"/>
      <c r="T61" s="455"/>
      <c r="U61" s="436"/>
      <c r="V61" s="1169"/>
      <c r="W61" s="456"/>
      <c r="X61" s="456"/>
      <c r="Y61" s="456"/>
      <c r="Z61" s="456"/>
      <c r="AA61" s="456"/>
      <c r="AB61" s="456"/>
      <c r="AC61" s="457"/>
    </row>
    <row r="62" spans="11:29" hidden="1" outlineLevel="1">
      <c r="K62" s="437" t="s">
        <v>127</v>
      </c>
      <c r="M62" s="924">
        <v>99947.83</v>
      </c>
      <c r="N62" s="438">
        <v>105579.06</v>
      </c>
      <c r="O62" s="438">
        <v>116584.52999999998</v>
      </c>
      <c r="P62" s="438">
        <v>102413.84999999999</v>
      </c>
      <c r="Q62" s="438">
        <v>105637.62000000001</v>
      </c>
      <c r="R62" s="438">
        <v>99922.289999999979</v>
      </c>
      <c r="S62" s="438">
        <v>107498.20000000003</v>
      </c>
      <c r="T62" s="439">
        <v>11272.1</v>
      </c>
      <c r="U62" s="436"/>
      <c r="V62" s="925">
        <v>11.622612964316566</v>
      </c>
      <c r="W62" s="440">
        <v>12.315299195147556</v>
      </c>
      <c r="X62" s="440">
        <v>13.945756250106804</v>
      </c>
      <c r="Y62" s="440">
        <v>14.32590523959874</v>
      </c>
      <c r="Z62" s="440">
        <v>15.216547452465226</v>
      </c>
      <c r="AA62" s="440">
        <v>14.60242233820459</v>
      </c>
      <c r="AB62" s="440">
        <v>16.213906485671195</v>
      </c>
      <c r="AC62" s="441">
        <v>2.241101454214951</v>
      </c>
    </row>
    <row r="63" spans="11:29" hidden="1" outlineLevel="1">
      <c r="K63" s="437" t="s">
        <v>128</v>
      </c>
      <c r="M63" s="924">
        <v>57711.789999999994</v>
      </c>
      <c r="N63" s="438">
        <v>54340.36</v>
      </c>
      <c r="O63" s="438">
        <v>68419.059999999983</v>
      </c>
      <c r="P63" s="438">
        <v>50602.999999999993</v>
      </c>
      <c r="Q63" s="438">
        <v>63118.869999999995</v>
      </c>
      <c r="R63" s="438">
        <v>68929.3</v>
      </c>
      <c r="S63" s="438">
        <v>15405.470000000003</v>
      </c>
      <c r="T63" s="439">
        <v>8198.27</v>
      </c>
      <c r="U63" s="436"/>
      <c r="V63" s="925">
        <v>6.7111191773539769</v>
      </c>
      <c r="W63" s="440">
        <v>6.338546599790039</v>
      </c>
      <c r="X63" s="440">
        <v>8.1842379398144196</v>
      </c>
      <c r="Y63" s="440">
        <v>7.0784740817713123</v>
      </c>
      <c r="Z63" s="440">
        <v>9.0919435756029294</v>
      </c>
      <c r="AA63" s="440">
        <v>10.073175365344468</v>
      </c>
      <c r="AB63" s="440">
        <v>2.3236003016591256</v>
      </c>
      <c r="AC63" s="441">
        <v>1.6299673369688705</v>
      </c>
    </row>
    <row r="64" spans="11:29" hidden="1" outlineLevel="1">
      <c r="K64" s="437" t="s">
        <v>129</v>
      </c>
      <c r="M64" s="924">
        <v>58315.43</v>
      </c>
      <c r="N64" s="438">
        <v>3785.0899999999997</v>
      </c>
      <c r="O64" s="438">
        <v>3539.3900000000003</v>
      </c>
      <c r="P64" s="438">
        <v>4352.8700000000008</v>
      </c>
      <c r="Q64" s="438">
        <v>1799.25</v>
      </c>
      <c r="R64" s="438">
        <v>3406.71</v>
      </c>
      <c r="S64" s="438">
        <v>1802.83</v>
      </c>
      <c r="T64" s="439">
        <v>709.92</v>
      </c>
      <c r="U64" s="436"/>
      <c r="V64" s="925">
        <v>6.7813145391720386</v>
      </c>
      <c r="W64" s="440">
        <v>0.44151288930362764</v>
      </c>
      <c r="X64" s="440">
        <v>0.42337924434798968</v>
      </c>
      <c r="Y64" s="440">
        <v>0.60889033212101862</v>
      </c>
      <c r="Z64" s="440">
        <v>0.25917256564326285</v>
      </c>
      <c r="AA64" s="440">
        <v>0.49784906054279754</v>
      </c>
      <c r="AB64" s="440">
        <v>0.27192006033182503</v>
      </c>
      <c r="AC64" s="441">
        <v>0.14114519427402861</v>
      </c>
    </row>
    <row r="65" spans="11:29" hidden="1" outlineLevel="1">
      <c r="K65" s="437" t="s">
        <v>61</v>
      </c>
      <c r="M65" s="924">
        <v>2633.9800000000005</v>
      </c>
      <c r="N65" s="438">
        <v>2290.54</v>
      </c>
      <c r="O65" s="438">
        <v>3317.7</v>
      </c>
      <c r="P65" s="438">
        <v>2291.38</v>
      </c>
      <c r="Q65" s="438">
        <v>1813.48</v>
      </c>
      <c r="R65" s="438">
        <v>1977.3000000000002</v>
      </c>
      <c r="S65" s="438">
        <v>3112.5599999999995</v>
      </c>
      <c r="T65" s="439">
        <v>1320.6</v>
      </c>
      <c r="U65" s="436"/>
      <c r="V65" s="925">
        <v>0.30629709615256834</v>
      </c>
      <c r="W65" s="440">
        <v>0.26718068354135077</v>
      </c>
      <c r="X65" s="440">
        <v>0.39686084861327098</v>
      </c>
      <c r="Y65" s="440">
        <v>0.32052395987370619</v>
      </c>
      <c r="Z65" s="440">
        <v>0.26122232282492386</v>
      </c>
      <c r="AA65" s="440">
        <v>0.28895824634655537</v>
      </c>
      <c r="AB65" s="440">
        <v>0.46946606334841623</v>
      </c>
      <c r="AC65" s="441">
        <v>0.26255964553510563</v>
      </c>
    </row>
    <row r="66" spans="11:29" hidden="1" outlineLevel="1">
      <c r="K66" s="437" t="s">
        <v>62</v>
      </c>
      <c r="M66" s="924">
        <v>81.94</v>
      </c>
      <c r="N66" s="438">
        <v>0</v>
      </c>
      <c r="O66" s="438">
        <v>0</v>
      </c>
      <c r="P66" s="438">
        <v>0</v>
      </c>
      <c r="Q66" s="438">
        <v>0</v>
      </c>
      <c r="R66" s="438">
        <v>595.29999999999995</v>
      </c>
      <c r="S66" s="438">
        <v>0</v>
      </c>
      <c r="T66" s="439">
        <v>0</v>
      </c>
      <c r="U66" s="436"/>
      <c r="V66" s="925">
        <v>9.5285401023323807E-3</v>
      </c>
      <c r="W66" s="440">
        <v>0</v>
      </c>
      <c r="X66" s="440">
        <v>0</v>
      </c>
      <c r="Y66" s="440">
        <v>0</v>
      </c>
      <c r="Z66" s="440">
        <v>0</v>
      </c>
      <c r="AA66" s="440">
        <v>8.6995824634655536E-2</v>
      </c>
      <c r="AB66" s="440">
        <v>0</v>
      </c>
      <c r="AC66" s="441">
        <v>0</v>
      </c>
    </row>
    <row r="67" spans="11:29" hidden="1" outlineLevel="1">
      <c r="K67" s="437" t="s">
        <v>48</v>
      </c>
      <c r="M67" s="924">
        <v>53333.369999999988</v>
      </c>
      <c r="N67" s="438">
        <v>57500.039999999986</v>
      </c>
      <c r="O67" s="438">
        <v>57500.039999999986</v>
      </c>
      <c r="P67" s="438">
        <v>57500.039999999986</v>
      </c>
      <c r="Q67" s="438">
        <v>57500.039999999986</v>
      </c>
      <c r="R67" s="438">
        <v>34641.299999999988</v>
      </c>
      <c r="S67" s="438">
        <v>57500.039999999986</v>
      </c>
      <c r="T67" s="439">
        <v>61666.709999999985</v>
      </c>
      <c r="U67" s="436"/>
      <c r="V67" s="925">
        <v>6.2019667419762099</v>
      </c>
      <c r="W67" s="440">
        <v>6.7071083634666966</v>
      </c>
      <c r="X67" s="440">
        <v>6.8781127497052239</v>
      </c>
      <c r="Y67" s="440">
        <v>8.0432492706126855</v>
      </c>
      <c r="Z67" s="440">
        <v>8.2825804592970602</v>
      </c>
      <c r="AA67" s="440">
        <v>5.0624029227557399</v>
      </c>
      <c r="AB67" s="440">
        <v>8.6727058823529397</v>
      </c>
      <c r="AC67" s="441">
        <v>12.26047972051806</v>
      </c>
    </row>
    <row r="68" spans="11:29" hidden="1" outlineLevel="1">
      <c r="K68" s="437" t="s">
        <v>63</v>
      </c>
      <c r="M68" s="924">
        <v>16168.359999999999</v>
      </c>
      <c r="N68" s="438">
        <v>17846.75</v>
      </c>
      <c r="O68" s="438">
        <v>28481.24</v>
      </c>
      <c r="P68" s="438">
        <v>37988.780000000006</v>
      </c>
      <c r="Q68" s="438">
        <v>48073.09</v>
      </c>
      <c r="R68" s="438">
        <v>33670.799999999996</v>
      </c>
      <c r="S68" s="438">
        <v>25485.310000000005</v>
      </c>
      <c r="T68" s="439">
        <v>31367.45</v>
      </c>
      <c r="U68" s="436"/>
      <c r="V68" s="925">
        <v>1.8801667884909297</v>
      </c>
      <c r="W68" s="440">
        <v>2.0817391811501227</v>
      </c>
      <c r="X68" s="440">
        <v>3.4069051077427854</v>
      </c>
      <c r="Y68" s="440">
        <v>5.3139654690060372</v>
      </c>
      <c r="Z68" s="440">
        <v>6.9246775454769942</v>
      </c>
      <c r="AA68" s="440">
        <v>4.9205762004175364</v>
      </c>
      <c r="AB68" s="440">
        <v>3.843938159879337</v>
      </c>
      <c r="AC68" s="441">
        <v>6.2364278004998859</v>
      </c>
    </row>
    <row r="69" spans="11:29" hidden="1" outlineLevel="1">
      <c r="K69" s="1170" t="s">
        <v>64</v>
      </c>
      <c r="M69" s="1171">
        <v>551162.51</v>
      </c>
      <c r="N69" s="1172">
        <v>522942.95</v>
      </c>
      <c r="O69" s="1172">
        <v>510430.48</v>
      </c>
      <c r="P69" s="1172">
        <v>431952.41000000003</v>
      </c>
      <c r="Q69" s="1172">
        <v>355871.42999999993</v>
      </c>
      <c r="R69" s="1172">
        <v>413046.51</v>
      </c>
      <c r="S69" s="1172">
        <v>386267.7</v>
      </c>
      <c r="T69" s="1173">
        <v>274230.69</v>
      </c>
      <c r="U69" s="436"/>
      <c r="V69" s="925">
        <v>64.092922619443158</v>
      </c>
      <c r="W69" s="440">
        <v>60.998827714918932</v>
      </c>
      <c r="X69" s="440">
        <v>61.05732087014475</v>
      </c>
      <c r="Y69" s="440">
        <v>60.422582430758183</v>
      </c>
      <c r="Z69" s="440">
        <v>51.261420898839404</v>
      </c>
      <c r="AA69" s="440">
        <v>60.361702922755747</v>
      </c>
      <c r="AB69" s="440">
        <v>58.260588235294122</v>
      </c>
      <c r="AC69" s="441">
        <v>54.522120824812539</v>
      </c>
    </row>
    <row r="70" spans="11:29" s="414" customFormat="1" collapsed="1">
      <c r="K70" s="444" t="s">
        <v>130</v>
      </c>
      <c r="M70" s="926">
        <v>839355.20999999985</v>
      </c>
      <c r="N70" s="445">
        <v>764284.78999999992</v>
      </c>
      <c r="O70" s="445">
        <v>788272.44000000006</v>
      </c>
      <c r="P70" s="445">
        <v>687102.33000000019</v>
      </c>
      <c r="Q70" s="445">
        <v>633813.78</v>
      </c>
      <c r="R70" s="445">
        <v>656189.51</v>
      </c>
      <c r="S70" s="445">
        <v>597072.1100000001</v>
      </c>
      <c r="T70" s="446">
        <v>388765.74</v>
      </c>
      <c r="U70" s="436"/>
      <c r="V70" s="927">
        <v>97.605928467007772</v>
      </c>
      <c r="W70" s="447">
        <v>89.15021462731832</v>
      </c>
      <c r="X70" s="447">
        <v>94.292573010475252</v>
      </c>
      <c r="Y70" s="447">
        <v>96.113590783741699</v>
      </c>
      <c r="Z70" s="447">
        <v>91.297564820149816</v>
      </c>
      <c r="AA70" s="447">
        <v>95.894082881002092</v>
      </c>
      <c r="AB70" s="447">
        <v>90.056125188536967</v>
      </c>
      <c r="AC70" s="448">
        <v>77.293801976823445</v>
      </c>
    </row>
    <row r="71" spans="11:29">
      <c r="K71" s="437"/>
      <c r="M71" s="1158"/>
      <c r="N71" s="449"/>
      <c r="O71" s="449"/>
      <c r="P71" s="449"/>
      <c r="Q71" s="449"/>
      <c r="R71" s="449"/>
      <c r="S71" s="449"/>
      <c r="T71" s="450"/>
      <c r="U71" s="436"/>
      <c r="V71" s="1159"/>
      <c r="W71" s="451"/>
      <c r="X71" s="451"/>
      <c r="Y71" s="451"/>
      <c r="Z71" s="451"/>
      <c r="AA71" s="451"/>
      <c r="AB71" s="451"/>
      <c r="AC71" s="452"/>
    </row>
    <row r="72" spans="11:29" s="453" customFormat="1" ht="25.5" customHeight="1">
      <c r="K72" s="1174" t="s">
        <v>131</v>
      </c>
      <c r="L72" s="1175"/>
      <c r="M72" s="1176">
        <v>72352.676000000021</v>
      </c>
      <c r="N72" s="1177">
        <v>265727.70799999882</v>
      </c>
      <c r="O72" s="1177">
        <v>629939.24799999967</v>
      </c>
      <c r="P72" s="1177">
        <v>440026.16099999961</v>
      </c>
      <c r="Q72" s="1177">
        <v>388993.38799999951</v>
      </c>
      <c r="R72" s="1177">
        <v>533597.53100000019</v>
      </c>
      <c r="S72" s="1177">
        <v>834642.6529999997</v>
      </c>
      <c r="T72" s="1178">
        <v>837571.4600000002</v>
      </c>
      <c r="U72" s="436"/>
      <c r="V72" s="1179">
        <v>8.4136609077015123</v>
      </c>
      <c r="W72" s="1180">
        <v>30.995883354718163</v>
      </c>
      <c r="X72" s="1180">
        <v>75.352872332063072</v>
      </c>
      <c r="Y72" s="1180">
        <v>61.551958894528553</v>
      </c>
      <c r="Z72" s="1180">
        <v>56.032465964276831</v>
      </c>
      <c r="AA72" s="1180">
        <v>77.978762359081458</v>
      </c>
      <c r="AB72" s="1180">
        <v>125.88878627450976</v>
      </c>
      <c r="AC72" s="1181">
        <v>166.52465973642356</v>
      </c>
    </row>
    <row r="73" spans="11:29" ht="8.25" customHeight="1">
      <c r="K73" s="458"/>
      <c r="M73" s="1169"/>
      <c r="N73" s="456"/>
      <c r="O73" s="456"/>
      <c r="P73" s="456"/>
      <c r="Q73" s="456"/>
      <c r="R73" s="456"/>
      <c r="S73" s="456"/>
      <c r="T73" s="457"/>
      <c r="U73" s="436"/>
      <c r="V73" s="1169"/>
      <c r="W73" s="456"/>
      <c r="X73" s="456"/>
      <c r="Y73" s="456"/>
      <c r="Z73" s="456"/>
      <c r="AA73" s="456"/>
      <c r="AB73" s="456"/>
      <c r="AC73" s="457"/>
    </row>
    <row r="74" spans="11:29">
      <c r="K74" s="444" t="s">
        <v>320</v>
      </c>
      <c r="M74" s="928">
        <v>2.1841568966139788E-2</v>
      </c>
      <c r="N74" s="459">
        <v>8.8617541390839591E-2</v>
      </c>
      <c r="O74" s="459">
        <v>0.2015027438363961</v>
      </c>
      <c r="P74" s="459">
        <v>0.16988860923325738</v>
      </c>
      <c r="Q74" s="459">
        <v>0.16194275155652926</v>
      </c>
      <c r="R74" s="459">
        <v>0.20761101010324437</v>
      </c>
      <c r="S74" s="459">
        <v>0.32749960224133567</v>
      </c>
      <c r="T74" s="460">
        <v>0.41328281762299762</v>
      </c>
      <c r="U74" s="436"/>
      <c r="V74" s="928">
        <v>2.1841568966139788E-2</v>
      </c>
      <c r="W74" s="459">
        <v>8.8617541390839591E-2</v>
      </c>
      <c r="X74" s="459">
        <v>0.20150274383639613</v>
      </c>
      <c r="Y74" s="459">
        <v>0.16988860923325738</v>
      </c>
      <c r="Z74" s="459">
        <v>0.16194275155652926</v>
      </c>
      <c r="AA74" s="459">
        <v>0.2076110101032444</v>
      </c>
      <c r="AB74" s="459">
        <v>0.32749960224133562</v>
      </c>
      <c r="AC74" s="460">
        <v>0.41328281762299762</v>
      </c>
    </row>
    <row r="75" spans="11:29" s="414" customFormat="1" ht="8.25" customHeight="1">
      <c r="K75" s="444"/>
      <c r="M75" s="1182"/>
      <c r="N75" s="1183"/>
      <c r="O75" s="1183"/>
      <c r="P75" s="1183"/>
      <c r="Q75" s="1183"/>
      <c r="R75" s="1183"/>
      <c r="S75" s="1183"/>
      <c r="T75" s="1184"/>
      <c r="U75" s="428"/>
      <c r="V75" s="1182"/>
      <c r="W75" s="1183"/>
      <c r="X75" s="1183"/>
      <c r="Y75" s="1183"/>
      <c r="Z75" s="1183"/>
      <c r="AA75" s="1183"/>
      <c r="AB75" s="1183"/>
      <c r="AC75" s="1184"/>
    </row>
    <row r="76" spans="11:29">
      <c r="M76" s="436"/>
      <c r="N76" s="436"/>
      <c r="O76" s="436"/>
      <c r="P76" s="436"/>
      <c r="Q76" s="436"/>
      <c r="R76" s="436"/>
      <c r="S76" s="436"/>
      <c r="T76" s="436"/>
      <c r="U76" s="436"/>
      <c r="V76" s="436"/>
      <c r="W76" s="436"/>
      <c r="X76" s="436"/>
      <c r="Y76" s="436"/>
      <c r="Z76" s="436"/>
      <c r="AA76" s="436"/>
      <c r="AB76" s="436"/>
      <c r="AC76" s="436"/>
    </row>
    <row r="77" spans="11:29">
      <c r="K77" s="437" t="s">
        <v>321</v>
      </c>
      <c r="M77" s="1185">
        <v>64602.640000000014</v>
      </c>
      <c r="N77" s="1186">
        <v>133338.96000000002</v>
      </c>
      <c r="O77" s="1186">
        <v>133503.77000000002</v>
      </c>
      <c r="P77" s="1186">
        <v>128707.40999999997</v>
      </c>
      <c r="Q77" s="1186">
        <v>126343.32</v>
      </c>
      <c r="R77" s="1186">
        <v>62519.110000000015</v>
      </c>
      <c r="S77" s="1186">
        <v>768.79999999999973</v>
      </c>
      <c r="T77" s="1187">
        <v>766.69999999999993</v>
      </c>
      <c r="U77" s="436"/>
      <c r="V77" s="1188">
        <v>7.5124340487740069</v>
      </c>
      <c r="W77" s="1189">
        <v>15.553360550565731</v>
      </c>
      <c r="X77" s="1189">
        <v>15.969623370187465</v>
      </c>
      <c r="Y77" s="1189">
        <v>18.003914112145797</v>
      </c>
      <c r="Z77" s="1189">
        <v>18.199095398798256</v>
      </c>
      <c r="AA77" s="1189">
        <v>9.1364043841336144</v>
      </c>
      <c r="AB77" s="1189">
        <v>0.11595776772247357</v>
      </c>
      <c r="AC77" s="1190">
        <v>0.15243410588502609</v>
      </c>
    </row>
    <row r="78" spans="11:29">
      <c r="K78" s="437" t="s">
        <v>322</v>
      </c>
      <c r="M78" s="924">
        <v>10488.799999999974</v>
      </c>
      <c r="N78" s="438">
        <v>2221.0199999999604</v>
      </c>
      <c r="O78" s="438">
        <v>84.170000000158325</v>
      </c>
      <c r="P78" s="438">
        <v>727.24999999994179</v>
      </c>
      <c r="Q78" s="438">
        <v>2042.3399999999674</v>
      </c>
      <c r="R78" s="438">
        <v>0</v>
      </c>
      <c r="S78" s="438">
        <v>0</v>
      </c>
      <c r="T78" s="439">
        <v>0</v>
      </c>
      <c r="U78" s="436"/>
      <c r="V78" s="925">
        <v>1.219708950760845</v>
      </c>
      <c r="W78" s="440">
        <v>0.2590715035576765</v>
      </c>
      <c r="X78" s="440">
        <v>1.0068353867993445E-2</v>
      </c>
      <c r="Y78" s="440">
        <v>0.10172954718036037</v>
      </c>
      <c r="Z78" s="440">
        <v>0.29418841056876643</v>
      </c>
      <c r="AA78" s="440">
        <v>0</v>
      </c>
      <c r="AB78" s="440">
        <v>0.30804524886877338</v>
      </c>
      <c r="AC78" s="441">
        <v>0</v>
      </c>
    </row>
    <row r="79" spans="11:29">
      <c r="K79" s="437"/>
      <c r="M79" s="924"/>
      <c r="N79" s="438"/>
      <c r="O79" s="438"/>
      <c r="P79" s="438"/>
      <c r="Q79" s="438"/>
      <c r="R79" s="438"/>
      <c r="S79" s="438"/>
      <c r="T79" s="439"/>
      <c r="U79" s="436"/>
      <c r="V79" s="925"/>
      <c r="W79" s="440"/>
      <c r="X79" s="440"/>
      <c r="Y79" s="440"/>
      <c r="Z79" s="440"/>
      <c r="AA79" s="440"/>
      <c r="AB79" s="440"/>
      <c r="AC79" s="441"/>
    </row>
    <row r="80" spans="11:29" s="453" customFormat="1" ht="25.5" customHeight="1">
      <c r="K80" s="1174" t="s">
        <v>323</v>
      </c>
      <c r="L80" s="1175"/>
      <c r="M80" s="1176">
        <v>18238.835999999981</v>
      </c>
      <c r="N80" s="1177">
        <v>134609.76799999876</v>
      </c>
      <c r="O80" s="1177">
        <v>496519.64799999975</v>
      </c>
      <c r="P80" s="1177">
        <v>312046.00099999958</v>
      </c>
      <c r="Q80" s="1177">
        <v>264692.40799999947</v>
      </c>
      <c r="R80" s="1177">
        <v>471078.42100000015</v>
      </c>
      <c r="S80" s="1177">
        <v>833873.85299999965</v>
      </c>
      <c r="T80" s="1178">
        <v>836804.76000000024</v>
      </c>
      <c r="U80" s="436"/>
      <c r="V80" s="1179">
        <v>2.1209358096883495</v>
      </c>
      <c r="W80" s="1180">
        <v>15.701594307710108</v>
      </c>
      <c r="X80" s="1180">
        <v>59.393317315743587</v>
      </c>
      <c r="Y80" s="1180">
        <v>43.649774329563115</v>
      </c>
      <c r="Z80" s="1180">
        <v>38.127558976047339</v>
      </c>
      <c r="AA80" s="1180">
        <v>68.842357974947831</v>
      </c>
      <c r="AB80" s="1180">
        <v>125.77282850678728</v>
      </c>
      <c r="AC80" s="1181">
        <v>166.37222563053854</v>
      </c>
    </row>
    <row r="81" spans="11:29">
      <c r="K81" s="437"/>
      <c r="M81" s="461"/>
    </row>
    <row r="82" spans="11:29" s="453" customFormat="1">
      <c r="K82" s="1160" t="s">
        <v>444</v>
      </c>
      <c r="L82" s="1161"/>
      <c r="M82" s="1191">
        <v>0.16638298179483654</v>
      </c>
      <c r="N82" s="1192">
        <v>0.17439626023746446</v>
      </c>
      <c r="O82" s="1192">
        <v>0.16327470082913259</v>
      </c>
      <c r="P82" s="1192">
        <v>0.16677143473261319</v>
      </c>
      <c r="Q82" s="1192">
        <v>0.14815367137951674</v>
      </c>
      <c r="R82" s="1192">
        <v>0.16070727126494108</v>
      </c>
      <c r="S82" s="1192">
        <v>0.15156488546802749</v>
      </c>
      <c r="T82" s="1193">
        <v>0.13531362714042189</v>
      </c>
      <c r="U82" s="1194"/>
      <c r="V82" s="1191">
        <v>0.16638298179483654</v>
      </c>
      <c r="W82" s="1192">
        <v>0.17439626023746446</v>
      </c>
      <c r="X82" s="1192">
        <v>0.16327470082913259</v>
      </c>
      <c r="Y82" s="1192">
        <v>0.16677143473261322</v>
      </c>
      <c r="Z82" s="1192">
        <v>0.14815367137951677</v>
      </c>
      <c r="AA82" s="1192">
        <v>0.16070727126494108</v>
      </c>
      <c r="AB82" s="1192">
        <v>0.15156488546802749</v>
      </c>
      <c r="AC82" s="1193">
        <v>0.13531362714042189</v>
      </c>
    </row>
    <row r="84" spans="11:29" s="453" customFormat="1">
      <c r="K84" s="1160" t="s">
        <v>445</v>
      </c>
      <c r="L84" s="1161"/>
      <c r="M84" s="1191">
        <v>4.8808471162749495E-3</v>
      </c>
      <c r="N84" s="1192">
        <v>5.9517131981470803E-3</v>
      </c>
      <c r="O84" s="1192">
        <v>9.1104785518347671E-3</v>
      </c>
      <c r="P84" s="1192">
        <v>1.4666993857822445E-2</v>
      </c>
      <c r="Q84" s="1192">
        <v>2.0013421077544589E-2</v>
      </c>
      <c r="R84" s="1192">
        <v>1.3100564363339074E-2</v>
      </c>
      <c r="S84" s="1192">
        <v>1.0000002825157724E-2</v>
      </c>
      <c r="T84" s="1193">
        <v>1.5477638311181824E-2</v>
      </c>
      <c r="U84" s="1194"/>
      <c r="V84" s="1191">
        <v>4.8808471162749495E-3</v>
      </c>
      <c r="W84" s="1192">
        <v>5.9517131981470812E-3</v>
      </c>
      <c r="X84" s="1192">
        <v>9.1104785518347671E-3</v>
      </c>
      <c r="Y84" s="1192">
        <v>1.4666993857822445E-2</v>
      </c>
      <c r="Z84" s="1192">
        <v>2.0013421077544589E-2</v>
      </c>
      <c r="AA84" s="1192">
        <v>1.3100564363339076E-2</v>
      </c>
      <c r="AB84" s="1192">
        <v>1.0000002825157724E-2</v>
      </c>
      <c r="AC84" s="1193">
        <v>1.5477638311181825E-2</v>
      </c>
    </row>
    <row r="86" spans="11:29" s="453" customFormat="1" ht="25.5" customHeight="1">
      <c r="K86" s="1195" t="s">
        <v>493</v>
      </c>
      <c r="L86" s="1196"/>
      <c r="M86" s="1197">
        <v>292253.83699999994</v>
      </c>
      <c r="N86" s="1198">
        <v>488811.61899999884</v>
      </c>
      <c r="O86" s="1198">
        <v>827749.0479999996</v>
      </c>
      <c r="P86" s="1198">
        <v>612969.93999999959</v>
      </c>
      <c r="Q86" s="1198">
        <v>504660.55799999944</v>
      </c>
      <c r="R86" s="1198">
        <v>689626.10600000015</v>
      </c>
      <c r="S86" s="1198">
        <v>966057.32499999972</v>
      </c>
      <c r="T86" s="1199">
        <v>909139.12500000023</v>
      </c>
      <c r="U86" s="436"/>
      <c r="V86" s="1200"/>
      <c r="W86" s="1201"/>
      <c r="X86" s="1201"/>
      <c r="Y86" s="1201"/>
      <c r="Z86" s="1201"/>
      <c r="AA86" s="1201"/>
      <c r="AB86" s="1201"/>
      <c r="AC86" s="1202"/>
    </row>
    <row r="87" spans="11:29">
      <c r="M87" s="929">
        <v>8.8224550760976322E-2</v>
      </c>
      <c r="N87" s="929">
        <v>0.16301380162830406</v>
      </c>
      <c r="O87" s="929">
        <v>0.26477744466552872</v>
      </c>
      <c r="P87" s="929">
        <v>0.23666004396587056</v>
      </c>
      <c r="Q87" s="929">
        <v>0.21009642293604597</v>
      </c>
      <c r="R87" s="929">
        <v>0.26831828136818547</v>
      </c>
      <c r="S87" s="929">
        <v>0.37906448770936313</v>
      </c>
      <c r="T87" s="929">
        <v>0.44859644476341953</v>
      </c>
    </row>
    <row r="88" spans="11:29">
      <c r="K88" s="1205" t="s">
        <v>648</v>
      </c>
      <c r="L88" s="1208"/>
      <c r="M88" s="1206">
        <f t="shared" ref="M88:T88" si="1">(M49+M57)/(M48+M56)</f>
        <v>0.44196297033289672</v>
      </c>
      <c r="N88" s="1206">
        <f t="shared" si="1"/>
        <v>0.35259748368527644</v>
      </c>
      <c r="O88" s="1206">
        <f t="shared" si="1"/>
        <v>0.32351413878343743</v>
      </c>
      <c r="P88" s="1206">
        <f t="shared" si="1"/>
        <v>0.35283560595455177</v>
      </c>
      <c r="Q88" s="1206">
        <f t="shared" si="1"/>
        <v>0.31437448611774538</v>
      </c>
      <c r="R88" s="1206">
        <f t="shared" si="1"/>
        <v>0.2894891967424405</v>
      </c>
      <c r="S88" s="1206">
        <f t="shared" si="1"/>
        <v>0.21422074929133519</v>
      </c>
      <c r="T88" s="1204">
        <f t="shared" si="1"/>
        <v>0.26800994057449051</v>
      </c>
    </row>
    <row r="89" spans="11:29" s="453" customFormat="1" ht="25.5" customHeight="1">
      <c r="K89" s="1195" t="s">
        <v>593</v>
      </c>
      <c r="L89" s="1196"/>
      <c r="M89" s="1197">
        <v>238139.99699999992</v>
      </c>
      <c r="N89" s="1198">
        <v>357693.67899999878</v>
      </c>
      <c r="O89" s="1198">
        <v>694329.44799999963</v>
      </c>
      <c r="P89" s="1198">
        <v>484989.77999999956</v>
      </c>
      <c r="Q89" s="1198">
        <v>380359.5779999994</v>
      </c>
      <c r="R89" s="1198">
        <v>627106.99600000004</v>
      </c>
      <c r="S89" s="1198">
        <v>965288.52499999967</v>
      </c>
      <c r="T89" s="1199">
        <v>908372.42500000028</v>
      </c>
      <c r="U89" s="436"/>
      <c r="V89" s="1200"/>
      <c r="W89" s="1201"/>
      <c r="X89" s="1201"/>
      <c r="Y89" s="1201"/>
      <c r="Z89" s="1201"/>
      <c r="AA89" s="1201"/>
      <c r="AB89" s="1201"/>
      <c r="AC89" s="1202"/>
    </row>
  </sheetData>
  <dataValidations count="4">
    <dataValidation allowBlank="1" showInputMessage="1" showErrorMessage="1" error="&lt;D$PICK&gt;" sqref="K38:K39"/>
    <dataValidation type="list" allowBlank="1" showInputMessage="1" showErrorMessage="1" sqref="M42:T42 V42:AC42">
      <formula1>$E$1:$E$29</formula1>
    </dataValidation>
    <dataValidation type="list" allowBlank="1" showInputMessage="1" showErrorMessage="1" sqref="M41:T41 V41:AC41">
      <formula1>$D$1:$D$10</formula1>
    </dataValidation>
    <dataValidation type="list" allowBlank="1" showInputMessage="1" showErrorMessage="1" sqref="M40:T40 V40:AC40">
      <formula1>$F$1:$F$3</formula1>
    </dataValidation>
  </dataValidations>
  <pageMargins left="0.2" right="0.2" top="0.25" bottom="0.75" header="0.3" footer="0.3"/>
  <pageSetup scale="58"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topLeftCell="J35" zoomScale="85" zoomScaleNormal="85" workbookViewId="0">
      <selection activeCell="J35" sqref="J35"/>
    </sheetView>
  </sheetViews>
  <sheetFormatPr defaultRowHeight="14.25" outlineLevelRow="1" outlineLevelCol="1"/>
  <cols>
    <col min="1" max="1" width="14.140625" style="410" hidden="1" customWidth="1" outlineLevel="1"/>
    <col min="2" max="2" width="16" style="410" hidden="1" customWidth="1" outlineLevel="1"/>
    <col min="3" max="3" width="5.85546875" style="410" hidden="1" customWidth="1" outlineLevel="1"/>
    <col min="4" max="5" width="8.5703125" style="410" hidden="1" customWidth="1" outlineLevel="1"/>
    <col min="6" max="6" width="16.5703125" style="410" hidden="1" customWidth="1" outlineLevel="1"/>
    <col min="7" max="7" width="14.85546875" style="410" hidden="1" customWidth="1" outlineLevel="1"/>
    <col min="8" max="8" width="20.85546875" style="410" hidden="1" customWidth="1" outlineLevel="1"/>
    <col min="9" max="9" width="31" style="410" hidden="1" customWidth="1" outlineLevel="1"/>
    <col min="10" max="10" width="1.7109375" style="410" customWidth="1" collapsed="1"/>
    <col min="11" max="11" width="40.5703125" style="410" customWidth="1"/>
    <col min="12" max="12" width="1.28515625" style="410" customWidth="1"/>
    <col min="13" max="13" width="17.5703125" style="410" customWidth="1"/>
    <col min="14" max="14" width="1.140625" style="410" customWidth="1"/>
    <col min="15" max="15" width="17.5703125" style="410" customWidth="1"/>
    <col min="16" max="16384" width="9.140625" style="410"/>
  </cols>
  <sheetData>
    <row r="1" spans="1:11" ht="14.25" hidden="1" customHeight="1" outlineLevel="1">
      <c r="A1" s="410" t="s">
        <v>247</v>
      </c>
      <c r="B1" s="410" t="s">
        <v>248</v>
      </c>
      <c r="D1" s="411">
        <v>2009</v>
      </c>
      <c r="E1" s="411" t="s">
        <v>105</v>
      </c>
      <c r="F1" s="411" t="s">
        <v>249</v>
      </c>
      <c r="G1" s="412" t="s">
        <v>250</v>
      </c>
      <c r="H1" s="413" t="s">
        <v>251</v>
      </c>
    </row>
    <row r="2" spans="1:11" ht="14.25" hidden="1" customHeight="1" outlineLevel="1">
      <c r="A2" s="414" t="s">
        <v>252</v>
      </c>
      <c r="B2" s="410" t="s">
        <v>253</v>
      </c>
      <c r="D2" s="411">
        <v>2010</v>
      </c>
      <c r="E2" s="411" t="s">
        <v>106</v>
      </c>
      <c r="F2" s="411" t="s">
        <v>254</v>
      </c>
      <c r="G2" s="412" t="s">
        <v>255</v>
      </c>
      <c r="H2" s="413" t="s">
        <v>256</v>
      </c>
    </row>
    <row r="3" spans="1:11" ht="14.25" hidden="1" customHeight="1" outlineLevel="1">
      <c r="A3" s="414" t="s">
        <v>257</v>
      </c>
      <c r="B3" s="410" t="s">
        <v>258</v>
      </c>
      <c r="D3" s="411">
        <v>2011</v>
      </c>
      <c r="E3" s="411" t="s">
        <v>107</v>
      </c>
      <c r="F3" s="411" t="s">
        <v>253</v>
      </c>
      <c r="G3" s="412" t="s">
        <v>259</v>
      </c>
      <c r="H3" s="413" t="s">
        <v>260</v>
      </c>
    </row>
    <row r="4" spans="1:11" ht="14.25" hidden="1" customHeight="1" outlineLevel="1">
      <c r="A4" s="414" t="s">
        <v>261</v>
      </c>
      <c r="B4" s="410" t="s">
        <v>262</v>
      </c>
      <c r="D4" s="415">
        <v>2012</v>
      </c>
      <c r="E4" s="411" t="s">
        <v>263</v>
      </c>
      <c r="F4" s="415"/>
      <c r="G4" s="412" t="s">
        <v>264</v>
      </c>
      <c r="H4" s="413" t="s">
        <v>265</v>
      </c>
    </row>
    <row r="5" spans="1:11" ht="14.25" hidden="1" customHeight="1" outlineLevel="1">
      <c r="D5" s="415">
        <v>2013</v>
      </c>
      <c r="E5" s="411" t="s">
        <v>108</v>
      </c>
      <c r="F5" s="415"/>
      <c r="G5" s="412" t="s">
        <v>266</v>
      </c>
      <c r="H5" s="413"/>
      <c r="K5" s="410" t="s">
        <v>226</v>
      </c>
    </row>
    <row r="6" spans="1:11" ht="14.25" hidden="1" customHeight="1" outlineLevel="1">
      <c r="A6" s="414" t="s">
        <v>267</v>
      </c>
      <c r="B6" s="410" t="s">
        <v>268</v>
      </c>
      <c r="D6" s="415">
        <v>2014</v>
      </c>
      <c r="E6" s="411" t="s">
        <v>0</v>
      </c>
      <c r="F6" s="415"/>
      <c r="G6" s="416" t="s">
        <v>269</v>
      </c>
      <c r="H6" s="417"/>
      <c r="I6" s="413"/>
    </row>
    <row r="7" spans="1:11" ht="14.25" hidden="1" customHeight="1" outlineLevel="1">
      <c r="A7" s="414" t="s">
        <v>270</v>
      </c>
      <c r="B7" s="410" t="s">
        <v>271</v>
      </c>
      <c r="D7" s="415">
        <v>2015</v>
      </c>
      <c r="E7" s="411" t="s">
        <v>109</v>
      </c>
      <c r="F7" s="415"/>
      <c r="G7" s="416" t="s">
        <v>272</v>
      </c>
      <c r="H7" s="417"/>
    </row>
    <row r="8" spans="1:11" ht="14.25" hidden="1" customHeight="1" outlineLevel="1">
      <c r="A8" s="414" t="s">
        <v>273</v>
      </c>
      <c r="B8" s="410" t="s">
        <v>274</v>
      </c>
      <c r="D8" s="415">
        <v>2016</v>
      </c>
      <c r="E8" s="411" t="s">
        <v>275</v>
      </c>
      <c r="F8" s="415"/>
      <c r="G8" s="416" t="s">
        <v>276</v>
      </c>
      <c r="H8" s="417"/>
    </row>
    <row r="9" spans="1:11" ht="14.25" hidden="1" customHeight="1" outlineLevel="1">
      <c r="A9" s="414" t="s">
        <v>277</v>
      </c>
      <c r="D9" s="415">
        <v>2017</v>
      </c>
      <c r="E9" s="411" t="s">
        <v>110</v>
      </c>
      <c r="F9" s="415"/>
      <c r="G9" s="416" t="s">
        <v>278</v>
      </c>
      <c r="H9" s="417"/>
    </row>
    <row r="10" spans="1:11" ht="14.25" hidden="1" customHeight="1" outlineLevel="1">
      <c r="A10" s="414"/>
      <c r="B10" s="410" t="s">
        <v>279</v>
      </c>
      <c r="D10" s="415">
        <v>2018</v>
      </c>
      <c r="E10" s="411" t="s">
        <v>56</v>
      </c>
      <c r="F10" s="415"/>
      <c r="G10" s="416">
        <v>100</v>
      </c>
      <c r="H10" s="415"/>
    </row>
    <row r="11" spans="1:11" ht="14.25" hidden="1" customHeight="1" outlineLevel="1">
      <c r="A11" s="414"/>
      <c r="D11" s="415"/>
      <c r="E11" s="411" t="s">
        <v>59</v>
      </c>
      <c r="F11" s="415"/>
      <c r="G11" s="416" t="s">
        <v>280</v>
      </c>
      <c r="H11" s="413"/>
    </row>
    <row r="12" spans="1:11" ht="14.25" hidden="1" customHeight="1" outlineLevel="1">
      <c r="A12" s="414"/>
      <c r="D12" s="415"/>
      <c r="E12" s="411" t="s">
        <v>281</v>
      </c>
      <c r="F12" s="415"/>
      <c r="H12" s="415"/>
    </row>
    <row r="13" spans="1:11" ht="14.25" hidden="1" customHeight="1" outlineLevel="1">
      <c r="A13" s="414"/>
      <c r="D13" s="415"/>
      <c r="E13" s="411" t="s">
        <v>111</v>
      </c>
      <c r="F13" s="415"/>
      <c r="G13" s="415"/>
      <c r="H13" s="415"/>
    </row>
    <row r="14" spans="1:11" ht="14.25" hidden="1" customHeight="1" outlineLevel="1">
      <c r="A14" t="s">
        <v>282</v>
      </c>
      <c r="D14" s="415"/>
      <c r="E14" s="411" t="s">
        <v>112</v>
      </c>
      <c r="F14" s="415"/>
      <c r="G14" s="413" t="s">
        <v>113</v>
      </c>
      <c r="H14" s="415"/>
    </row>
    <row r="15" spans="1:11" ht="14.25" hidden="1" customHeight="1" outlineLevel="1">
      <c r="A15" t="s">
        <v>283</v>
      </c>
      <c r="D15" s="415"/>
      <c r="E15" s="411" t="s">
        <v>114</v>
      </c>
      <c r="F15" s="415"/>
      <c r="G15" s="418" t="s">
        <v>284</v>
      </c>
      <c r="H15" s="415"/>
    </row>
    <row r="16" spans="1:11" ht="14.25" hidden="1" customHeight="1" outlineLevel="1">
      <c r="A16" s="419" t="s">
        <v>252</v>
      </c>
      <c r="B16" s="420"/>
      <c r="D16" s="415"/>
      <c r="E16" s="411" t="s">
        <v>285</v>
      </c>
      <c r="F16" s="415"/>
      <c r="G16" s="415"/>
      <c r="H16" s="415"/>
    </row>
    <row r="17" spans="1:8" ht="14.25" hidden="1" customHeight="1" outlineLevel="1">
      <c r="A17" s="419" t="s">
        <v>257</v>
      </c>
      <c r="B17" s="420" t="s">
        <v>258</v>
      </c>
      <c r="D17" s="415"/>
      <c r="E17" s="411" t="s">
        <v>286</v>
      </c>
      <c r="F17" s="415"/>
      <c r="G17" s="415"/>
      <c r="H17" s="415"/>
    </row>
    <row r="18" spans="1:8" ht="14.25" hidden="1" customHeight="1" outlineLevel="1">
      <c r="A18" s="419" t="s">
        <v>287</v>
      </c>
      <c r="B18" s="420" t="s">
        <v>288</v>
      </c>
      <c r="D18" s="415"/>
      <c r="E18" s="411" t="s">
        <v>289</v>
      </c>
      <c r="F18" s="415"/>
      <c r="G18" s="421" t="s">
        <v>290</v>
      </c>
      <c r="H18" s="415"/>
    </row>
    <row r="19" spans="1:8" ht="14.25" hidden="1" customHeight="1" outlineLevel="1">
      <c r="A19" s="419" t="s">
        <v>291</v>
      </c>
      <c r="B19" s="420"/>
      <c r="D19" s="415"/>
      <c r="E19" s="411" t="s">
        <v>292</v>
      </c>
      <c r="F19" s="415"/>
      <c r="G19" s="421" t="s">
        <v>293</v>
      </c>
      <c r="H19" s="415"/>
    </row>
    <row r="20" spans="1:8" ht="14.25" hidden="1" customHeight="1" outlineLevel="1">
      <c r="A20" s="419" t="s">
        <v>294</v>
      </c>
      <c r="B20" s="420" t="s">
        <v>295</v>
      </c>
      <c r="D20" s="415"/>
      <c r="E20" s="411" t="s">
        <v>296</v>
      </c>
      <c r="F20" s="415"/>
      <c r="G20" s="421" t="s">
        <v>297</v>
      </c>
      <c r="H20" s="415"/>
    </row>
    <row r="21" spans="1:8" ht="14.25" hidden="1" customHeight="1" outlineLevel="1">
      <c r="A21" s="419" t="s">
        <v>298</v>
      </c>
      <c r="B21" s="420" t="s">
        <v>299</v>
      </c>
      <c r="D21" s="415"/>
      <c r="E21" s="411" t="s">
        <v>300</v>
      </c>
      <c r="F21" s="415"/>
      <c r="G21" s="421" t="s">
        <v>301</v>
      </c>
      <c r="H21" s="415"/>
    </row>
    <row r="22" spans="1:8" ht="14.25" hidden="1" customHeight="1" outlineLevel="1">
      <c r="A22" s="419" t="s">
        <v>270</v>
      </c>
      <c r="B22" s="420"/>
      <c r="D22" s="415"/>
      <c r="E22" s="411" t="s">
        <v>302</v>
      </c>
      <c r="F22" s="415"/>
      <c r="G22" s="421" t="s">
        <v>303</v>
      </c>
      <c r="H22" s="415"/>
    </row>
    <row r="23" spans="1:8" ht="14.25" hidden="1" customHeight="1" outlineLevel="1">
      <c r="A23" s="419" t="s">
        <v>273</v>
      </c>
      <c r="B23" s="420"/>
      <c r="D23" s="415"/>
      <c r="E23" s="411" t="s">
        <v>304</v>
      </c>
      <c r="F23" s="415"/>
      <c r="G23" s="421" t="s">
        <v>305</v>
      </c>
      <c r="H23" s="415"/>
    </row>
    <row r="24" spans="1:8" ht="14.25" hidden="1" customHeight="1" outlineLevel="1">
      <c r="A24" s="419" t="s">
        <v>306</v>
      </c>
      <c r="B24" s="420" t="s">
        <v>307</v>
      </c>
      <c r="D24" s="415"/>
      <c r="E24" s="411" t="s">
        <v>308</v>
      </c>
      <c r="F24" s="415"/>
      <c r="G24" s="421" t="s">
        <v>309</v>
      </c>
      <c r="H24" s="415"/>
    </row>
    <row r="25" spans="1:8" ht="14.25" hidden="1" customHeight="1" outlineLevel="1">
      <c r="A25" s="414"/>
      <c r="D25" s="415"/>
      <c r="E25" s="411" t="s">
        <v>310</v>
      </c>
      <c r="F25" s="415"/>
      <c r="G25" s="421" t="s">
        <v>311</v>
      </c>
      <c r="H25" s="415"/>
    </row>
    <row r="26" spans="1:8" ht="14.25" hidden="1" customHeight="1" outlineLevel="1">
      <c r="A26" s="414"/>
      <c r="B26" s="422" t="s">
        <v>312</v>
      </c>
      <c r="D26" s="415"/>
      <c r="E26" s="411" t="s">
        <v>58</v>
      </c>
      <c r="F26" s="415"/>
      <c r="G26" s="421" t="s">
        <v>313</v>
      </c>
      <c r="H26" s="415"/>
    </row>
    <row r="27" spans="1:8" ht="14.25" hidden="1" customHeight="1" outlineLevel="1">
      <c r="A27" s="414"/>
      <c r="D27" s="415"/>
      <c r="E27" s="411" t="s">
        <v>314</v>
      </c>
      <c r="F27" s="415"/>
      <c r="G27" s="421" t="s">
        <v>315</v>
      </c>
      <c r="H27" s="415"/>
    </row>
    <row r="28" spans="1:8" ht="14.25" hidden="1" customHeight="1" outlineLevel="1">
      <c r="A28" s="414"/>
      <c r="D28" s="415"/>
      <c r="E28" s="411" t="s">
        <v>316</v>
      </c>
      <c r="F28" s="415"/>
      <c r="G28" s="421" t="s">
        <v>317</v>
      </c>
      <c r="H28" s="415"/>
    </row>
    <row r="29" spans="1:8" ht="14.25" hidden="1" customHeight="1" outlineLevel="1">
      <c r="A29" s="414"/>
      <c r="D29" s="415"/>
      <c r="E29" s="411" t="s">
        <v>274</v>
      </c>
      <c r="F29" s="415"/>
      <c r="G29" s="415">
        <v>95130</v>
      </c>
      <c r="H29" s="415"/>
    </row>
    <row r="30" spans="1:8" ht="14.25" hidden="1" customHeight="1" outlineLevel="1">
      <c r="A30" s="414"/>
      <c r="D30" s="415"/>
      <c r="F30" s="415"/>
      <c r="G30" s="415"/>
      <c r="H30" s="415"/>
    </row>
    <row r="31" spans="1:8" ht="14.25" hidden="1" customHeight="1" outlineLevel="1">
      <c r="A31" s="414"/>
      <c r="D31" s="415"/>
      <c r="F31" s="415"/>
      <c r="G31" s="415"/>
      <c r="H31" s="415"/>
    </row>
    <row r="32" spans="1:8" ht="14.25" hidden="1" customHeight="1" outlineLevel="1">
      <c r="A32" s="414"/>
      <c r="D32" s="415"/>
      <c r="F32" s="415"/>
      <c r="G32" s="415"/>
      <c r="H32" s="415"/>
    </row>
    <row r="33" spans="1:15" ht="14.25" hidden="1" customHeight="1" outlineLevel="1">
      <c r="A33" s="414"/>
      <c r="D33" s="415"/>
      <c r="F33" s="415"/>
      <c r="G33" s="415"/>
      <c r="H33" s="415"/>
    </row>
    <row r="34" spans="1:15" ht="14.25" hidden="1" customHeight="1" outlineLevel="1">
      <c r="A34" s="414"/>
      <c r="D34" s="415"/>
      <c r="E34" s="994" t="s">
        <v>113</v>
      </c>
      <c r="F34" s="415"/>
      <c r="G34" s="415"/>
      <c r="H34" s="415"/>
    </row>
    <row r="35" spans="1:15" collapsed="1">
      <c r="A35" s="414"/>
      <c r="M35" s="436"/>
      <c r="O35" s="436"/>
    </row>
    <row r="36" spans="1:15">
      <c r="A36" s="414"/>
    </row>
    <row r="37" spans="1:15" ht="20.25" customHeight="1">
      <c r="K37" s="1141" t="s">
        <v>591</v>
      </c>
    </row>
    <row r="38" spans="1:15" ht="24.75" customHeight="1">
      <c r="K38" s="1141" t="s">
        <v>484</v>
      </c>
      <c r="M38" s="424"/>
      <c r="O38" s="424"/>
    </row>
    <row r="39" spans="1:15" ht="8.25" customHeight="1">
      <c r="K39" s="423"/>
      <c r="M39" s="424"/>
      <c r="O39" s="424"/>
    </row>
    <row r="40" spans="1:15" ht="19.5" customHeight="1">
      <c r="K40" s="425"/>
      <c r="L40" s="425"/>
      <c r="M40" s="1146" t="s">
        <v>249</v>
      </c>
      <c r="O40" s="1146" t="s">
        <v>249</v>
      </c>
    </row>
    <row r="41" spans="1:15" s="426" customFormat="1" ht="19.5" customHeight="1">
      <c r="K41" s="427"/>
      <c r="L41" s="427"/>
      <c r="M41" s="1146">
        <v>2019</v>
      </c>
      <c r="N41" s="410"/>
      <c r="O41" s="1146">
        <v>2019</v>
      </c>
    </row>
    <row r="42" spans="1:15" ht="19.5" customHeight="1">
      <c r="M42" s="1146" t="s">
        <v>316</v>
      </c>
      <c r="O42" s="1146" t="s">
        <v>316</v>
      </c>
    </row>
    <row r="43" spans="1:15" ht="7.5" customHeight="1">
      <c r="M43" s="1148"/>
      <c r="O43" s="1148"/>
    </row>
    <row r="44" spans="1:15" s="414" customFormat="1" ht="18" customHeight="1">
      <c r="K44" s="1149" t="s">
        <v>115</v>
      </c>
      <c r="L44" s="1150"/>
      <c r="M44" s="1151">
        <v>3721871.34</v>
      </c>
      <c r="N44" s="428"/>
      <c r="O44" s="1154">
        <v>408.29992040274107</v>
      </c>
    </row>
    <row r="45" spans="1:15" s="414" customFormat="1" ht="18" customHeight="1">
      <c r="K45" s="917" t="s">
        <v>592</v>
      </c>
      <c r="L45" s="429"/>
      <c r="M45" s="918">
        <v>9115.5328571428581</v>
      </c>
      <c r="N45" s="432"/>
      <c r="O45" s="918">
        <v>9115.5328571428581</v>
      </c>
    </row>
    <row r="46" spans="1:15" s="414" customFormat="1" ht="18" customHeight="1">
      <c r="K46" s="919" t="s">
        <v>50</v>
      </c>
      <c r="L46" s="920"/>
      <c r="M46" s="921">
        <v>62</v>
      </c>
      <c r="N46" s="433"/>
      <c r="O46" s="921">
        <v>62</v>
      </c>
    </row>
    <row r="47" spans="1:15" ht="6.75" customHeight="1">
      <c r="K47" s="429"/>
      <c r="L47" s="429"/>
      <c r="M47" s="1157"/>
      <c r="N47" s="436"/>
      <c r="O47" s="1157"/>
    </row>
    <row r="48" spans="1:15">
      <c r="K48" s="437" t="s">
        <v>47</v>
      </c>
      <c r="M48" s="924">
        <v>461846.43999999989</v>
      </c>
      <c r="N48" s="436"/>
      <c r="O48" s="925">
        <v>50.665874089642578</v>
      </c>
    </row>
    <row r="49" spans="11:15">
      <c r="K49" s="437" t="s">
        <v>117</v>
      </c>
      <c r="M49" s="924">
        <v>188027.97999999998</v>
      </c>
      <c r="N49" s="436"/>
      <c r="O49" s="925">
        <v>20.62720665338426</v>
      </c>
    </row>
    <row r="50" spans="11:15">
      <c r="K50" s="437" t="s">
        <v>118</v>
      </c>
      <c r="M50" s="924">
        <v>252351.04000000004</v>
      </c>
      <c r="N50" s="436"/>
      <c r="O50" s="925">
        <v>27.683630123965798</v>
      </c>
    </row>
    <row r="51" spans="11:15">
      <c r="K51" s="437" t="s">
        <v>119</v>
      </c>
      <c r="M51" s="924">
        <v>1194052.5999999999</v>
      </c>
      <c r="N51" s="436"/>
      <c r="O51" s="925">
        <v>130.99098195497697</v>
      </c>
    </row>
    <row r="52" spans="11:15">
      <c r="K52" s="437" t="s">
        <v>120</v>
      </c>
      <c r="M52" s="924">
        <v>974.91000000000008</v>
      </c>
      <c r="N52" s="436"/>
      <c r="O52" s="925">
        <v>0.10695041258461029</v>
      </c>
    </row>
    <row r="53" spans="11:15" ht="12.75" customHeight="1">
      <c r="K53" s="437" t="s">
        <v>57</v>
      </c>
      <c r="L53" s="442"/>
      <c r="M53" s="924">
        <v>42391.479999999996</v>
      </c>
      <c r="N53" s="443"/>
      <c r="O53" s="925">
        <v>4.6504664800568811</v>
      </c>
    </row>
    <row r="54" spans="11:15" s="414" customFormat="1">
      <c r="K54" s="444" t="s">
        <v>121</v>
      </c>
      <c r="M54" s="926">
        <v>2139644.4500000002</v>
      </c>
      <c r="N54" s="428"/>
      <c r="O54" s="927">
        <v>234.72510971461114</v>
      </c>
    </row>
    <row r="55" spans="11:15" ht="9" customHeight="1">
      <c r="K55" s="437"/>
      <c r="M55" s="1158"/>
      <c r="N55" s="436"/>
      <c r="O55" s="1159"/>
    </row>
    <row r="56" spans="11:15">
      <c r="K56" s="437" t="s">
        <v>122</v>
      </c>
      <c r="M56" s="924">
        <v>226065.02999999997</v>
      </c>
      <c r="N56" s="436"/>
      <c r="O56" s="925">
        <v>24.799979720643236</v>
      </c>
    </row>
    <row r="57" spans="11:15">
      <c r="K57" s="437" t="s">
        <v>123</v>
      </c>
      <c r="M57" s="924">
        <v>64124.800000000003</v>
      </c>
      <c r="N57" s="436"/>
      <c r="O57" s="925">
        <v>7.0346737820984675</v>
      </c>
    </row>
    <row r="58" spans="11:15" s="414" customFormat="1">
      <c r="K58" s="444" t="s">
        <v>124</v>
      </c>
      <c r="M58" s="926">
        <v>290189.83</v>
      </c>
      <c r="N58" s="436"/>
      <c r="O58" s="927">
        <v>31.834653502741709</v>
      </c>
    </row>
    <row r="59" spans="11:15">
      <c r="K59" s="420"/>
      <c r="M59" s="1158"/>
      <c r="N59" s="436"/>
      <c r="O59" s="1159"/>
    </row>
    <row r="60" spans="11:15" s="453" customFormat="1">
      <c r="K60" s="1160" t="s">
        <v>125</v>
      </c>
      <c r="L60" s="1161"/>
      <c r="M60" s="1162">
        <v>2429834.2799999993</v>
      </c>
      <c r="N60" s="436"/>
      <c r="O60" s="1165">
        <v>266.55976321735278</v>
      </c>
    </row>
    <row r="61" spans="11:15">
      <c r="K61" s="437"/>
      <c r="M61" s="1168"/>
      <c r="N61" s="436"/>
      <c r="O61" s="1169"/>
    </row>
    <row r="62" spans="11:15" outlineLevel="1">
      <c r="K62" s="437" t="s">
        <v>127</v>
      </c>
      <c r="M62" s="924">
        <v>106823.20000000001</v>
      </c>
      <c r="N62" s="436"/>
      <c r="O62" s="925">
        <v>11.718810263109766</v>
      </c>
    </row>
    <row r="63" spans="11:15" outlineLevel="1">
      <c r="K63" s="437" t="s">
        <v>128</v>
      </c>
      <c r="M63" s="924">
        <v>54989.990000000005</v>
      </c>
      <c r="N63" s="436"/>
      <c r="O63" s="925">
        <v>6.032559024446968</v>
      </c>
    </row>
    <row r="64" spans="11:15" outlineLevel="1">
      <c r="K64" s="437" t="s">
        <v>129</v>
      </c>
      <c r="M64" s="924">
        <v>34866.6</v>
      </c>
      <c r="N64" s="436"/>
      <c r="O64" s="925">
        <v>3.8249656434158767</v>
      </c>
    </row>
    <row r="65" spans="11:15" outlineLevel="1">
      <c r="K65" s="437" t="s">
        <v>61</v>
      </c>
      <c r="M65" s="924">
        <v>2873.4</v>
      </c>
      <c r="N65" s="436"/>
      <c r="O65" s="925">
        <v>0.3152201900899767</v>
      </c>
    </row>
    <row r="66" spans="11:15" outlineLevel="1">
      <c r="K66" s="437" t="s">
        <v>62</v>
      </c>
      <c r="M66" s="924">
        <v>0</v>
      </c>
      <c r="N66" s="436"/>
      <c r="O66" s="925">
        <v>0</v>
      </c>
    </row>
    <row r="67" spans="11:15" outlineLevel="1">
      <c r="K67" s="437" t="s">
        <v>48</v>
      </c>
      <c r="M67" s="924">
        <v>57500.039999999986</v>
      </c>
      <c r="N67" s="436"/>
      <c r="O67" s="925">
        <v>6.3079186813465782</v>
      </c>
    </row>
    <row r="68" spans="11:15" outlineLevel="1">
      <c r="K68" s="437" t="s">
        <v>63</v>
      </c>
      <c r="M68" s="924">
        <v>37218.699999999997</v>
      </c>
      <c r="N68" s="436"/>
      <c r="O68" s="925">
        <v>4.0829977340091235</v>
      </c>
    </row>
    <row r="69" spans="11:15" outlineLevel="1">
      <c r="K69" s="1170" t="s">
        <v>64</v>
      </c>
      <c r="M69" s="1171">
        <v>617423.22</v>
      </c>
      <c r="N69" s="436"/>
      <c r="O69" s="1203">
        <v>67.733091381069627</v>
      </c>
    </row>
    <row r="70" spans="11:15" s="414" customFormat="1">
      <c r="K70" s="444" t="s">
        <v>130</v>
      </c>
      <c r="M70" s="926">
        <v>911695.15</v>
      </c>
      <c r="N70" s="436"/>
      <c r="O70" s="927">
        <v>100.01556291748793</v>
      </c>
    </row>
    <row r="71" spans="11:15">
      <c r="K71" s="437"/>
      <c r="M71" s="1158"/>
      <c r="N71" s="436"/>
      <c r="O71" s="1159"/>
    </row>
    <row r="72" spans="11:15" s="453" customFormat="1" ht="25.5" customHeight="1">
      <c r="K72" s="1174" t="s">
        <v>131</v>
      </c>
      <c r="L72" s="1175"/>
      <c r="M72" s="1176">
        <v>380341.91000000015</v>
      </c>
      <c r="N72" s="436"/>
      <c r="O72" s="1179">
        <v>41.724594267900343</v>
      </c>
    </row>
    <row r="73" spans="11:15" ht="8.25" customHeight="1">
      <c r="K73" s="458"/>
      <c r="M73" s="1169"/>
      <c r="N73" s="436"/>
      <c r="O73" s="1169"/>
    </row>
    <row r="74" spans="11:15">
      <c r="K74" s="444" t="s">
        <v>320</v>
      </c>
      <c r="M74" s="928">
        <v>0.10219104188593477</v>
      </c>
      <c r="N74" s="436"/>
      <c r="O74" s="928">
        <v>0.10219104188593477</v>
      </c>
    </row>
    <row r="75" spans="11:15" s="414" customFormat="1" ht="8.25" customHeight="1">
      <c r="K75" s="444"/>
      <c r="M75" s="1182"/>
      <c r="N75" s="428"/>
      <c r="O75" s="1182"/>
    </row>
    <row r="76" spans="11:15">
      <c r="M76" s="436"/>
      <c r="N76" s="436"/>
      <c r="O76" s="436"/>
    </row>
    <row r="77" spans="11:15">
      <c r="K77" s="437" t="s">
        <v>321</v>
      </c>
      <c r="M77" s="1185">
        <v>17381.190000000002</v>
      </c>
      <c r="N77" s="436"/>
      <c r="O77" s="1188">
        <v>1.9067662058154111</v>
      </c>
    </row>
    <row r="78" spans="11:15">
      <c r="K78" s="437" t="s">
        <v>322</v>
      </c>
      <c r="M78" s="924">
        <v>0</v>
      </c>
      <c r="N78" s="436"/>
      <c r="O78" s="925">
        <v>0</v>
      </c>
    </row>
    <row r="79" spans="11:15">
      <c r="K79" s="437"/>
      <c r="M79" s="924"/>
      <c r="N79" s="436"/>
      <c r="O79" s="925"/>
    </row>
    <row r="80" spans="11:15" s="453" customFormat="1" ht="25.5" customHeight="1">
      <c r="K80" s="1174" t="s">
        <v>323</v>
      </c>
      <c r="L80" s="1175"/>
      <c r="M80" s="1176">
        <v>362960.7200000002</v>
      </c>
      <c r="N80" s="436"/>
      <c r="O80" s="1179">
        <v>39.817828062084942</v>
      </c>
    </row>
    <row r="81" spans="11:13">
      <c r="K81" s="437"/>
      <c r="M81" s="461"/>
    </row>
  </sheetData>
  <dataValidations count="3">
    <dataValidation allowBlank="1" showInputMessage="1" showErrorMessage="1" error="&lt;D$PICK&gt;" sqref="K39"/>
    <dataValidation type="list" allowBlank="1" showInputMessage="1" showErrorMessage="1" sqref="O40 M40">
      <formula1>$F$1:$F$3</formula1>
    </dataValidation>
    <dataValidation type="list" allowBlank="1" showInputMessage="1" showErrorMessage="1" sqref="O42 M42">
      <formula1>$E$1:$E$29</formula1>
    </dataValidation>
  </dataValidations>
  <pageMargins left="0.2" right="0.2" top="0.25" bottom="0.75" header="0.3" footer="0.3"/>
  <pageSetup scale="6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topLeftCell="J38" zoomScale="85" zoomScaleNormal="85" workbookViewId="0">
      <selection activeCell="K45" sqref="K45"/>
    </sheetView>
  </sheetViews>
  <sheetFormatPr defaultRowHeight="14.25" outlineLevelRow="1" outlineLevelCol="1"/>
  <cols>
    <col min="1" max="1" width="14.140625" style="410" hidden="1" customWidth="1" outlineLevel="1"/>
    <col min="2" max="2" width="16" style="410" hidden="1" customWidth="1" outlineLevel="1"/>
    <col min="3" max="3" width="5.85546875" style="410" hidden="1" customWidth="1" outlineLevel="1"/>
    <col min="4" max="5" width="8.5703125" style="410" hidden="1" customWidth="1" outlineLevel="1"/>
    <col min="6" max="6" width="16.5703125" style="410" hidden="1" customWidth="1" outlineLevel="1"/>
    <col min="7" max="7" width="14.85546875" style="410" hidden="1" customWidth="1" outlineLevel="1"/>
    <col min="8" max="8" width="20.85546875" style="410" hidden="1" customWidth="1" outlineLevel="1"/>
    <col min="9" max="9" width="31" style="410" hidden="1" customWidth="1" outlineLevel="1"/>
    <col min="10" max="10" width="1.7109375" style="410" customWidth="1" collapsed="1"/>
    <col min="11" max="11" width="40.5703125" style="410" customWidth="1"/>
    <col min="12" max="12" width="1.28515625" style="410" customWidth="1"/>
    <col min="13" max="13" width="17.5703125" style="410" customWidth="1"/>
    <col min="14" max="14" width="1.140625" style="410" customWidth="1"/>
    <col min="15" max="15" width="17.5703125" style="410" customWidth="1"/>
    <col min="16" max="16384" width="9.140625" style="410"/>
  </cols>
  <sheetData>
    <row r="1" spans="1:11" ht="14.25" hidden="1" customHeight="1" outlineLevel="1">
      <c r="A1" s="410" t="s">
        <v>247</v>
      </c>
      <c r="B1" s="410" t="s">
        <v>248</v>
      </c>
      <c r="D1" s="411">
        <v>2009</v>
      </c>
      <c r="E1" s="411" t="s">
        <v>105</v>
      </c>
      <c r="F1" s="411" t="s">
        <v>249</v>
      </c>
      <c r="G1" s="412" t="s">
        <v>250</v>
      </c>
      <c r="H1" s="413" t="s">
        <v>251</v>
      </c>
    </row>
    <row r="2" spans="1:11" ht="14.25" hidden="1" customHeight="1" outlineLevel="1">
      <c r="A2" s="414" t="s">
        <v>252</v>
      </c>
      <c r="B2" s="410" t="s">
        <v>253</v>
      </c>
      <c r="D2" s="411">
        <v>2010</v>
      </c>
      <c r="E2" s="411" t="s">
        <v>106</v>
      </c>
      <c r="F2" s="411" t="s">
        <v>254</v>
      </c>
      <c r="G2" s="412" t="s">
        <v>255</v>
      </c>
      <c r="H2" s="413" t="s">
        <v>256</v>
      </c>
    </row>
    <row r="3" spans="1:11" ht="14.25" hidden="1" customHeight="1" outlineLevel="1">
      <c r="A3" s="414" t="s">
        <v>257</v>
      </c>
      <c r="B3" s="410" t="s">
        <v>258</v>
      </c>
      <c r="D3" s="411">
        <v>2011</v>
      </c>
      <c r="E3" s="411" t="s">
        <v>107</v>
      </c>
      <c r="F3" s="411" t="s">
        <v>253</v>
      </c>
      <c r="G3" s="412" t="s">
        <v>259</v>
      </c>
      <c r="H3" s="413" t="s">
        <v>260</v>
      </c>
    </row>
    <row r="4" spans="1:11" ht="14.25" hidden="1" customHeight="1" outlineLevel="1">
      <c r="A4" s="414" t="s">
        <v>261</v>
      </c>
      <c r="B4" s="410" t="s">
        <v>262</v>
      </c>
      <c r="D4" s="415">
        <v>2012</v>
      </c>
      <c r="E4" s="411" t="s">
        <v>263</v>
      </c>
      <c r="F4" s="415"/>
      <c r="G4" s="412" t="s">
        <v>264</v>
      </c>
      <c r="H4" s="413" t="s">
        <v>265</v>
      </c>
    </row>
    <row r="5" spans="1:11" ht="14.25" hidden="1" customHeight="1" outlineLevel="1">
      <c r="D5" s="415">
        <v>2013</v>
      </c>
      <c r="E5" s="411" t="s">
        <v>108</v>
      </c>
      <c r="F5" s="415"/>
      <c r="G5" s="412" t="s">
        <v>266</v>
      </c>
      <c r="H5" s="413"/>
      <c r="K5" s="410" t="s">
        <v>226</v>
      </c>
    </row>
    <row r="6" spans="1:11" ht="14.25" hidden="1" customHeight="1" outlineLevel="1">
      <c r="A6" s="414" t="s">
        <v>267</v>
      </c>
      <c r="B6" s="410" t="s">
        <v>268</v>
      </c>
      <c r="D6" s="415">
        <v>2014</v>
      </c>
      <c r="E6" s="411" t="s">
        <v>0</v>
      </c>
      <c r="F6" s="415"/>
      <c r="G6" s="416" t="s">
        <v>269</v>
      </c>
      <c r="H6" s="417"/>
      <c r="I6" s="413"/>
    </row>
    <row r="7" spans="1:11" ht="14.25" hidden="1" customHeight="1" outlineLevel="1">
      <c r="A7" s="414" t="s">
        <v>270</v>
      </c>
      <c r="B7" s="410" t="s">
        <v>271</v>
      </c>
      <c r="D7" s="415">
        <v>2015</v>
      </c>
      <c r="E7" s="411" t="s">
        <v>109</v>
      </c>
      <c r="F7" s="415"/>
      <c r="G7" s="416" t="s">
        <v>272</v>
      </c>
      <c r="H7" s="417"/>
    </row>
    <row r="8" spans="1:11" ht="14.25" hidden="1" customHeight="1" outlineLevel="1">
      <c r="A8" s="414" t="s">
        <v>273</v>
      </c>
      <c r="B8" s="410" t="s">
        <v>274</v>
      </c>
      <c r="D8" s="415">
        <v>2016</v>
      </c>
      <c r="E8" s="411" t="s">
        <v>275</v>
      </c>
      <c r="F8" s="415"/>
      <c r="G8" s="416" t="s">
        <v>276</v>
      </c>
      <c r="H8" s="417"/>
    </row>
    <row r="9" spans="1:11" ht="14.25" hidden="1" customHeight="1" outlineLevel="1">
      <c r="A9" s="414" t="s">
        <v>277</v>
      </c>
      <c r="D9" s="415">
        <v>2017</v>
      </c>
      <c r="E9" s="411" t="s">
        <v>110</v>
      </c>
      <c r="F9" s="415"/>
      <c r="G9" s="416" t="s">
        <v>278</v>
      </c>
      <c r="H9" s="417"/>
    </row>
    <row r="10" spans="1:11" ht="14.25" hidden="1" customHeight="1" outlineLevel="1">
      <c r="A10" s="414"/>
      <c r="B10" s="410" t="s">
        <v>279</v>
      </c>
      <c r="D10" s="415">
        <v>2018</v>
      </c>
      <c r="E10" s="411" t="s">
        <v>56</v>
      </c>
      <c r="F10" s="415"/>
      <c r="G10" s="416">
        <v>100</v>
      </c>
      <c r="H10" s="415"/>
    </row>
    <row r="11" spans="1:11" ht="14.25" hidden="1" customHeight="1" outlineLevel="1">
      <c r="A11" s="414"/>
      <c r="D11" s="415"/>
      <c r="E11" s="411" t="s">
        <v>59</v>
      </c>
      <c r="F11" s="415"/>
      <c r="G11" s="416" t="s">
        <v>280</v>
      </c>
      <c r="H11" s="413"/>
    </row>
    <row r="12" spans="1:11" ht="14.25" hidden="1" customHeight="1" outlineLevel="1">
      <c r="A12" s="414"/>
      <c r="D12" s="415"/>
      <c r="E12" s="411" t="s">
        <v>281</v>
      </c>
      <c r="F12" s="415"/>
      <c r="H12" s="415"/>
    </row>
    <row r="13" spans="1:11" ht="14.25" hidden="1" customHeight="1" outlineLevel="1">
      <c r="A13" s="414"/>
      <c r="D13" s="415"/>
      <c r="E13" s="411" t="s">
        <v>111</v>
      </c>
      <c r="F13" s="415"/>
      <c r="G13" s="415"/>
      <c r="H13" s="415"/>
    </row>
    <row r="14" spans="1:11" ht="14.25" hidden="1" customHeight="1" outlineLevel="1">
      <c r="A14" t="s">
        <v>282</v>
      </c>
      <c r="D14" s="415"/>
      <c r="E14" s="411" t="s">
        <v>112</v>
      </c>
      <c r="F14" s="415"/>
      <c r="G14" s="413" t="s">
        <v>113</v>
      </c>
      <c r="H14" s="415"/>
    </row>
    <row r="15" spans="1:11" ht="14.25" hidden="1" customHeight="1" outlineLevel="1">
      <c r="A15" t="s">
        <v>283</v>
      </c>
      <c r="D15" s="415"/>
      <c r="E15" s="411" t="s">
        <v>114</v>
      </c>
      <c r="F15" s="415"/>
      <c r="G15" s="418" t="s">
        <v>284</v>
      </c>
      <c r="H15" s="415"/>
    </row>
    <row r="16" spans="1:11" ht="14.25" hidden="1" customHeight="1" outlineLevel="1">
      <c r="A16" s="419" t="s">
        <v>252</v>
      </c>
      <c r="B16" s="420"/>
      <c r="D16" s="415"/>
      <c r="E16" s="411" t="s">
        <v>285</v>
      </c>
      <c r="F16" s="415"/>
      <c r="G16" s="415"/>
      <c r="H16" s="415"/>
    </row>
    <row r="17" spans="1:8" ht="14.25" hidden="1" customHeight="1" outlineLevel="1">
      <c r="A17" s="419" t="s">
        <v>257</v>
      </c>
      <c r="B17" s="420" t="s">
        <v>258</v>
      </c>
      <c r="D17" s="415"/>
      <c r="E17" s="411" t="s">
        <v>286</v>
      </c>
      <c r="F17" s="415"/>
      <c r="G17" s="415"/>
      <c r="H17" s="415"/>
    </row>
    <row r="18" spans="1:8" ht="14.25" hidden="1" customHeight="1" outlineLevel="1">
      <c r="A18" s="419" t="s">
        <v>287</v>
      </c>
      <c r="B18" s="420" t="s">
        <v>288</v>
      </c>
      <c r="D18" s="415"/>
      <c r="E18" s="411" t="s">
        <v>289</v>
      </c>
      <c r="F18" s="415"/>
      <c r="G18" s="421" t="s">
        <v>290</v>
      </c>
      <c r="H18" s="415"/>
    </row>
    <row r="19" spans="1:8" ht="14.25" hidden="1" customHeight="1" outlineLevel="1">
      <c r="A19" s="419" t="s">
        <v>291</v>
      </c>
      <c r="B19" s="420"/>
      <c r="D19" s="415"/>
      <c r="E19" s="411" t="s">
        <v>292</v>
      </c>
      <c r="F19" s="415"/>
      <c r="G19" s="421" t="s">
        <v>293</v>
      </c>
      <c r="H19" s="415"/>
    </row>
    <row r="20" spans="1:8" ht="14.25" hidden="1" customHeight="1" outlineLevel="1">
      <c r="A20" s="419" t="s">
        <v>294</v>
      </c>
      <c r="B20" s="420" t="s">
        <v>295</v>
      </c>
      <c r="D20" s="415"/>
      <c r="E20" s="411" t="s">
        <v>296</v>
      </c>
      <c r="F20" s="415"/>
      <c r="G20" s="421" t="s">
        <v>297</v>
      </c>
      <c r="H20" s="415"/>
    </row>
    <row r="21" spans="1:8" ht="14.25" hidden="1" customHeight="1" outlineLevel="1">
      <c r="A21" s="419" t="s">
        <v>298</v>
      </c>
      <c r="B21" s="420" t="s">
        <v>299</v>
      </c>
      <c r="D21" s="415"/>
      <c r="E21" s="411" t="s">
        <v>300</v>
      </c>
      <c r="F21" s="415"/>
      <c r="G21" s="421" t="s">
        <v>301</v>
      </c>
      <c r="H21" s="415"/>
    </row>
    <row r="22" spans="1:8" ht="14.25" hidden="1" customHeight="1" outlineLevel="1">
      <c r="A22" s="419" t="s">
        <v>270</v>
      </c>
      <c r="B22" s="420"/>
      <c r="D22" s="415"/>
      <c r="E22" s="411" t="s">
        <v>302</v>
      </c>
      <c r="F22" s="415"/>
      <c r="G22" s="421" t="s">
        <v>303</v>
      </c>
      <c r="H22" s="415"/>
    </row>
    <row r="23" spans="1:8" ht="14.25" hidden="1" customHeight="1" outlineLevel="1">
      <c r="A23" s="419" t="s">
        <v>273</v>
      </c>
      <c r="B23" s="420"/>
      <c r="D23" s="415"/>
      <c r="E23" s="411" t="s">
        <v>304</v>
      </c>
      <c r="F23" s="415"/>
      <c r="G23" s="421" t="s">
        <v>305</v>
      </c>
      <c r="H23" s="415"/>
    </row>
    <row r="24" spans="1:8" ht="14.25" hidden="1" customHeight="1" outlineLevel="1">
      <c r="A24" s="419" t="s">
        <v>306</v>
      </c>
      <c r="B24" s="420" t="s">
        <v>307</v>
      </c>
      <c r="D24" s="415"/>
      <c r="E24" s="411" t="s">
        <v>308</v>
      </c>
      <c r="F24" s="415"/>
      <c r="G24" s="421" t="s">
        <v>309</v>
      </c>
      <c r="H24" s="415"/>
    </row>
    <row r="25" spans="1:8" ht="14.25" hidden="1" customHeight="1" outlineLevel="1">
      <c r="A25" s="414"/>
      <c r="D25" s="415"/>
      <c r="E25" s="411" t="s">
        <v>310</v>
      </c>
      <c r="F25" s="415"/>
      <c r="G25" s="421" t="s">
        <v>311</v>
      </c>
      <c r="H25" s="415"/>
    </row>
    <row r="26" spans="1:8" ht="14.25" hidden="1" customHeight="1" outlineLevel="1">
      <c r="A26" s="414"/>
      <c r="B26" s="422" t="s">
        <v>312</v>
      </c>
      <c r="D26" s="415"/>
      <c r="E26" s="411" t="s">
        <v>58</v>
      </c>
      <c r="F26" s="415"/>
      <c r="G26" s="421" t="s">
        <v>313</v>
      </c>
      <c r="H26" s="415"/>
    </row>
    <row r="27" spans="1:8" ht="14.25" hidden="1" customHeight="1" outlineLevel="1">
      <c r="A27" s="414"/>
      <c r="D27" s="415"/>
      <c r="E27" s="411" t="s">
        <v>314</v>
      </c>
      <c r="F27" s="415"/>
      <c r="G27" s="421" t="s">
        <v>315</v>
      </c>
      <c r="H27" s="415"/>
    </row>
    <row r="28" spans="1:8" ht="14.25" hidden="1" customHeight="1" outlineLevel="1">
      <c r="A28" s="414"/>
      <c r="D28" s="415"/>
      <c r="E28" s="411" t="s">
        <v>316</v>
      </c>
      <c r="F28" s="415"/>
      <c r="G28" s="421" t="s">
        <v>317</v>
      </c>
      <c r="H28" s="415"/>
    </row>
    <row r="29" spans="1:8" ht="14.25" hidden="1" customHeight="1" outlineLevel="1">
      <c r="A29" s="414"/>
      <c r="D29" s="415"/>
      <c r="E29" s="411" t="s">
        <v>274</v>
      </c>
      <c r="F29" s="415"/>
      <c r="G29" s="415">
        <v>95130</v>
      </c>
      <c r="H29" s="415"/>
    </row>
    <row r="30" spans="1:8" ht="14.25" hidden="1" customHeight="1" outlineLevel="1">
      <c r="A30" s="414"/>
      <c r="D30" s="415"/>
      <c r="F30" s="415"/>
      <c r="G30" s="415"/>
      <c r="H30" s="415"/>
    </row>
    <row r="31" spans="1:8" ht="14.25" hidden="1" customHeight="1" outlineLevel="1">
      <c r="A31" s="414"/>
      <c r="D31" s="415"/>
      <c r="F31" s="415"/>
      <c r="G31" s="415"/>
      <c r="H31" s="415"/>
    </row>
    <row r="32" spans="1:8" ht="14.25" hidden="1" customHeight="1" outlineLevel="1">
      <c r="A32" s="414"/>
      <c r="D32" s="415"/>
      <c r="F32" s="415"/>
      <c r="G32" s="415"/>
      <c r="H32" s="415"/>
    </row>
    <row r="33" spans="1:15" ht="14.25" hidden="1" customHeight="1" outlineLevel="1">
      <c r="A33" s="414"/>
      <c r="D33" s="415"/>
      <c r="F33" s="415"/>
      <c r="G33" s="415"/>
      <c r="H33" s="415"/>
    </row>
    <row r="34" spans="1:15" ht="14.25" hidden="1" customHeight="1" outlineLevel="1">
      <c r="A34" s="414"/>
      <c r="D34" s="415"/>
      <c r="E34" s="994" t="s">
        <v>113</v>
      </c>
      <c r="F34" s="415"/>
      <c r="G34" s="415"/>
      <c r="H34" s="415"/>
    </row>
    <row r="35" spans="1:15" collapsed="1">
      <c r="A35" s="414"/>
      <c r="M35" s="436"/>
      <c r="O35" s="436"/>
    </row>
    <row r="36" spans="1:15">
      <c r="A36" s="414"/>
    </row>
    <row r="37" spans="1:15" ht="20.25" customHeight="1">
      <c r="K37" s="1141" t="s">
        <v>591</v>
      </c>
    </row>
    <row r="38" spans="1:15" ht="24.75" customHeight="1">
      <c r="K38" s="1141" t="s">
        <v>484</v>
      </c>
      <c r="M38" s="424"/>
      <c r="O38" s="424"/>
    </row>
    <row r="39" spans="1:15" ht="8.25" customHeight="1">
      <c r="K39" s="423"/>
      <c r="M39" s="424"/>
      <c r="O39" s="424"/>
    </row>
    <row r="40" spans="1:15" ht="19.5" customHeight="1">
      <c r="K40" s="425"/>
      <c r="L40" s="425"/>
      <c r="M40" s="1146" t="s">
        <v>249</v>
      </c>
      <c r="O40" s="1146" t="s">
        <v>249</v>
      </c>
    </row>
    <row r="41" spans="1:15" s="426" customFormat="1" ht="19.5" customHeight="1">
      <c r="K41" s="427"/>
      <c r="L41" s="427"/>
      <c r="M41" s="1146">
        <v>2018</v>
      </c>
      <c r="N41" s="410"/>
      <c r="O41" s="1146">
        <v>2018</v>
      </c>
    </row>
    <row r="42" spans="1:15" ht="19.5" customHeight="1">
      <c r="M42" s="1146" t="s">
        <v>316</v>
      </c>
      <c r="O42" s="1146" t="s">
        <v>316</v>
      </c>
    </row>
    <row r="43" spans="1:15" ht="7.5" customHeight="1">
      <c r="M43" s="1148"/>
      <c r="O43" s="1148"/>
    </row>
    <row r="44" spans="1:15" s="414" customFormat="1" ht="18" customHeight="1">
      <c r="K44" s="1149" t="s">
        <v>115</v>
      </c>
      <c r="L44" s="1150"/>
      <c r="M44" s="1151">
        <v>3578676.13</v>
      </c>
      <c r="N44" s="428"/>
      <c r="O44" s="1154">
        <v>362.07319662832271</v>
      </c>
    </row>
    <row r="45" spans="1:15" s="414" customFormat="1" ht="18" customHeight="1">
      <c r="K45" s="917" t="s">
        <v>592</v>
      </c>
      <c r="L45" s="429"/>
      <c r="M45" s="918">
        <v>9883.8471428571429</v>
      </c>
      <c r="N45" s="432"/>
      <c r="O45" s="918">
        <v>9883.8471428571429</v>
      </c>
    </row>
    <row r="46" spans="1:15" s="414" customFormat="1" ht="18" customHeight="1">
      <c r="K46" s="919" t="s">
        <v>50</v>
      </c>
      <c r="L46" s="920"/>
      <c r="M46" s="921">
        <v>72</v>
      </c>
      <c r="N46" s="433"/>
      <c r="O46" s="921">
        <v>72</v>
      </c>
    </row>
    <row r="47" spans="1:15" ht="6.75" customHeight="1">
      <c r="K47" s="429"/>
      <c r="L47" s="429"/>
      <c r="M47" s="1157"/>
      <c r="N47" s="436"/>
      <c r="O47" s="1157"/>
    </row>
    <row r="48" spans="1:15">
      <c r="K48" s="437" t="s">
        <v>47</v>
      </c>
      <c r="M48" s="924">
        <v>597942.76</v>
      </c>
      <c r="N48" s="436"/>
      <c r="O48" s="925">
        <v>60.496965539589631</v>
      </c>
    </row>
    <row r="49" spans="11:15">
      <c r="K49" s="437" t="s">
        <v>117</v>
      </c>
      <c r="M49" s="924">
        <v>156152.37</v>
      </c>
      <c r="N49" s="436"/>
      <c r="O49" s="925">
        <v>15.798743924611195</v>
      </c>
    </row>
    <row r="50" spans="11:15">
      <c r="K50" s="437" t="s">
        <v>118</v>
      </c>
      <c r="M50" s="924">
        <v>213817.43999999997</v>
      </c>
      <c r="N50" s="436"/>
      <c r="O50" s="925">
        <v>21.633017681229674</v>
      </c>
    </row>
    <row r="51" spans="11:15">
      <c r="K51" s="437" t="s">
        <v>119</v>
      </c>
      <c r="M51" s="924">
        <v>1182699.03</v>
      </c>
      <c r="N51" s="436"/>
      <c r="O51" s="925">
        <v>119.65978559823365</v>
      </c>
    </row>
    <row r="52" spans="11:15">
      <c r="K52" s="437" t="s">
        <v>120</v>
      </c>
      <c r="M52" s="924">
        <v>4811.55</v>
      </c>
      <c r="N52" s="436"/>
      <c r="O52" s="925">
        <v>0.48680943062511955</v>
      </c>
    </row>
    <row r="53" spans="11:15" ht="12.75" customHeight="1">
      <c r="K53" s="437" t="s">
        <v>57</v>
      </c>
      <c r="L53" s="442"/>
      <c r="M53" s="924">
        <v>46122.499999999993</v>
      </c>
      <c r="N53" s="443"/>
      <c r="O53" s="925">
        <v>4.6664521752880193</v>
      </c>
    </row>
    <row r="54" spans="11:15" s="414" customFormat="1">
      <c r="K54" s="444" t="s">
        <v>121</v>
      </c>
      <c r="M54" s="926">
        <v>2201545.65</v>
      </c>
      <c r="N54" s="428"/>
      <c r="O54" s="927">
        <v>222.7417743495773</v>
      </c>
    </row>
    <row r="55" spans="11:15" ht="9" customHeight="1">
      <c r="K55" s="437"/>
      <c r="M55" s="1158"/>
      <c r="N55" s="436"/>
      <c r="O55" s="1159"/>
    </row>
    <row r="56" spans="11:15">
      <c r="K56" s="437" t="s">
        <v>122</v>
      </c>
      <c r="M56" s="924">
        <v>194669.74000000002</v>
      </c>
      <c r="N56" s="436"/>
      <c r="O56" s="925">
        <v>19.695745713821964</v>
      </c>
    </row>
    <row r="57" spans="11:15">
      <c r="K57" s="437" t="s">
        <v>123</v>
      </c>
      <c r="M57" s="924">
        <v>58955.01</v>
      </c>
      <c r="N57" s="436"/>
      <c r="O57" s="925">
        <v>5.9647836665104235</v>
      </c>
    </row>
    <row r="58" spans="11:15" s="414" customFormat="1">
      <c r="K58" s="444" t="s">
        <v>124</v>
      </c>
      <c r="M58" s="926">
        <v>253624.75000000003</v>
      </c>
      <c r="N58" s="436"/>
      <c r="O58" s="927">
        <v>25.660529380332388</v>
      </c>
    </row>
    <row r="59" spans="11:15">
      <c r="K59" s="420"/>
      <c r="M59" s="1158"/>
      <c r="N59" s="436"/>
      <c r="O59" s="1159"/>
    </row>
    <row r="60" spans="11:15" s="453" customFormat="1">
      <c r="K60" s="1160" t="s">
        <v>125</v>
      </c>
      <c r="L60" s="1161"/>
      <c r="M60" s="1162">
        <v>2455170.4000000004</v>
      </c>
      <c r="N60" s="436"/>
      <c r="O60" s="1165">
        <v>248.4023037299097</v>
      </c>
    </row>
    <row r="61" spans="11:15">
      <c r="K61" s="437"/>
      <c r="M61" s="1168"/>
      <c r="N61" s="436"/>
      <c r="O61" s="1169"/>
    </row>
    <row r="62" spans="11:15" outlineLevel="1">
      <c r="K62" s="437" t="s">
        <v>127</v>
      </c>
      <c r="M62" s="924">
        <v>112760.37</v>
      </c>
      <c r="N62" s="436"/>
      <c r="O62" s="925">
        <v>11.408550574508798</v>
      </c>
    </row>
    <row r="63" spans="11:15" outlineLevel="1">
      <c r="K63" s="437" t="s">
        <v>128</v>
      </c>
      <c r="M63" s="924">
        <v>56260.960000000006</v>
      </c>
      <c r="N63" s="436"/>
      <c r="O63" s="925">
        <v>5.6922126765850143</v>
      </c>
    </row>
    <row r="64" spans="11:15" outlineLevel="1">
      <c r="K64" s="437" t="s">
        <v>129</v>
      </c>
      <c r="M64" s="924">
        <v>876</v>
      </c>
      <c r="N64" s="436"/>
      <c r="O64" s="925">
        <v>8.8629456459478687E-2</v>
      </c>
    </row>
    <row r="65" spans="11:15" outlineLevel="1">
      <c r="K65" s="437" t="s">
        <v>61</v>
      </c>
      <c r="M65" s="924">
        <v>2286.84</v>
      </c>
      <c r="N65" s="436"/>
      <c r="O65" s="925">
        <v>0.23137144544497062</v>
      </c>
    </row>
    <row r="66" spans="11:15" outlineLevel="1">
      <c r="K66" s="437" t="s">
        <v>62</v>
      </c>
      <c r="M66" s="924">
        <v>0</v>
      </c>
      <c r="N66" s="436"/>
      <c r="O66" s="925">
        <v>0</v>
      </c>
    </row>
    <row r="67" spans="11:15" outlineLevel="1">
      <c r="K67" s="437" t="s">
        <v>48</v>
      </c>
      <c r="M67" s="924">
        <v>57500.039999999986</v>
      </c>
      <c r="N67" s="436"/>
      <c r="O67" s="925">
        <v>5.8175768168930162</v>
      </c>
    </row>
    <row r="68" spans="11:15" outlineLevel="1">
      <c r="K68" s="437" t="s">
        <v>63</v>
      </c>
      <c r="M68" s="924">
        <v>17893.41</v>
      </c>
      <c r="N68" s="436"/>
      <c r="O68" s="925">
        <v>1.8103689526331057</v>
      </c>
    </row>
    <row r="69" spans="11:15" outlineLevel="1">
      <c r="K69" s="1170" t="s">
        <v>64</v>
      </c>
      <c r="M69" s="1171">
        <v>614440.43999999994</v>
      </c>
      <c r="N69" s="436"/>
      <c r="O69" s="1203">
        <v>62.166121260185989</v>
      </c>
    </row>
    <row r="70" spans="11:15" s="414" customFormat="1">
      <c r="K70" s="444" t="s">
        <v>130</v>
      </c>
      <c r="M70" s="926">
        <v>862018.06</v>
      </c>
      <c r="N70" s="436"/>
      <c r="O70" s="927">
        <v>87.214831182710384</v>
      </c>
    </row>
    <row r="71" spans="11:15">
      <c r="K71" s="437"/>
      <c r="M71" s="1158"/>
      <c r="N71" s="436"/>
      <c r="O71" s="1159"/>
    </row>
    <row r="72" spans="11:15" s="453" customFormat="1" ht="25.5" customHeight="1">
      <c r="K72" s="1174" t="s">
        <v>131</v>
      </c>
      <c r="L72" s="1175"/>
      <c r="M72" s="1176">
        <v>261487.67000000059</v>
      </c>
      <c r="N72" s="436"/>
      <c r="O72" s="1179">
        <v>26.456061715702724</v>
      </c>
    </row>
    <row r="73" spans="11:15" ht="8.25" customHeight="1">
      <c r="K73" s="458"/>
      <c r="M73" s="1169"/>
      <c r="N73" s="436"/>
      <c r="O73" s="1169"/>
    </row>
    <row r="74" spans="11:15">
      <c r="K74" s="444" t="s">
        <v>320</v>
      </c>
      <c r="M74" s="928">
        <v>7.3068268963472988E-2</v>
      </c>
      <c r="N74" s="436"/>
      <c r="O74" s="928">
        <v>7.3068268963472988E-2</v>
      </c>
    </row>
    <row r="75" spans="11:15" s="414" customFormat="1" ht="8.25" customHeight="1">
      <c r="K75" s="444"/>
      <c r="M75" s="1182"/>
      <c r="N75" s="428"/>
      <c r="O75" s="1182"/>
    </row>
    <row r="76" spans="11:15">
      <c r="M76" s="436"/>
      <c r="N76" s="436"/>
      <c r="O76" s="436"/>
    </row>
    <row r="77" spans="11:15">
      <c r="K77" s="437" t="s">
        <v>321</v>
      </c>
      <c r="M77" s="1185">
        <v>132357.40000000002</v>
      </c>
      <c r="N77" s="436"/>
      <c r="O77" s="1188">
        <v>13.39128358491987</v>
      </c>
    </row>
    <row r="78" spans="11:15">
      <c r="K78" s="437" t="s">
        <v>322</v>
      </c>
      <c r="M78" s="924">
        <v>0</v>
      </c>
      <c r="N78" s="436"/>
      <c r="O78" s="925">
        <v>0</v>
      </c>
    </row>
    <row r="79" spans="11:15">
      <c r="K79" s="437"/>
      <c r="M79" s="924"/>
      <c r="N79" s="436"/>
      <c r="O79" s="925"/>
    </row>
    <row r="80" spans="11:15" s="453" customFormat="1" ht="25.5" customHeight="1">
      <c r="K80" s="1174" t="s">
        <v>323</v>
      </c>
      <c r="L80" s="1175"/>
      <c r="M80" s="1176">
        <v>129130.27000000057</v>
      </c>
      <c r="N80" s="436"/>
      <c r="O80" s="1179">
        <v>13.064778130782852</v>
      </c>
    </row>
    <row r="81" spans="11:13">
      <c r="K81" s="437"/>
      <c r="M81" s="461"/>
    </row>
  </sheetData>
  <dataValidations count="4">
    <dataValidation type="list" allowBlank="1" showInputMessage="1" showErrorMessage="1" sqref="O42 M42">
      <formula1>$E$1:$E$29</formula1>
    </dataValidation>
    <dataValidation type="list" allowBlank="1" showInputMessage="1" showErrorMessage="1" sqref="O41 M41">
      <formula1>$D$1:$D$10</formula1>
    </dataValidation>
    <dataValidation type="list" allowBlank="1" showInputMessage="1" showErrorMessage="1" sqref="O40 M40">
      <formula1>$F$1:$F$3</formula1>
    </dataValidation>
    <dataValidation allowBlank="1" showInputMessage="1" showErrorMessage="1" error="&lt;D$PICK&gt;" sqref="K39"/>
  </dataValidations>
  <pageMargins left="0.2" right="0.2" top="0.25" bottom="0.75" header="0.3" footer="0.3"/>
  <pageSetup scale="60" orientation="landscape"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50"/>
  <sheetViews>
    <sheetView topLeftCell="A31" zoomScale="85" zoomScaleNormal="85" workbookViewId="0">
      <selection activeCell="B16" sqref="B16"/>
    </sheetView>
  </sheetViews>
  <sheetFormatPr defaultRowHeight="15"/>
  <cols>
    <col min="1" max="1" width="53.140625" style="1131" bestFit="1" customWidth="1"/>
    <col min="2" max="2" width="53.140625" style="1131" customWidth="1"/>
    <col min="3" max="3" width="45.7109375" style="1131" bestFit="1" customWidth="1"/>
    <col min="4" max="4" width="19.28515625" style="1131" bestFit="1" customWidth="1"/>
    <col min="5" max="5" width="28" style="1131" bestFit="1" customWidth="1"/>
    <col min="6" max="8" width="11.85546875" style="1131" bestFit="1" customWidth="1"/>
    <col min="9" max="9" width="10.85546875" style="1131" bestFit="1" customWidth="1"/>
    <col min="10" max="10" width="9.140625" style="1131"/>
    <col min="11" max="11" width="10.85546875" style="1131" bestFit="1" customWidth="1"/>
    <col min="12" max="16384" width="9.140625" style="1131"/>
  </cols>
  <sheetData>
    <row r="1" spans="1:9" customFormat="1">
      <c r="A1" t="s">
        <v>583</v>
      </c>
      <c r="C1" s="1210">
        <v>43528</v>
      </c>
      <c r="D1" s="1211">
        <v>0.40554398148148146</v>
      </c>
      <c r="E1" t="s">
        <v>594</v>
      </c>
      <c r="F1" t="s">
        <v>582</v>
      </c>
      <c r="G1">
        <v>1</v>
      </c>
    </row>
    <row r="2" spans="1:9" customFormat="1">
      <c r="A2" t="s">
        <v>581</v>
      </c>
      <c r="C2" s="1210">
        <v>43528</v>
      </c>
      <c r="D2" t="s">
        <v>580</v>
      </c>
      <c r="E2" t="s">
        <v>579</v>
      </c>
    </row>
    <row r="3" spans="1:9" customFormat="1">
      <c r="A3" t="s">
        <v>578</v>
      </c>
    </row>
    <row r="4" spans="1:9" customFormat="1">
      <c r="A4" t="s">
        <v>577</v>
      </c>
    </row>
    <row r="5" spans="1:9" customFormat="1">
      <c r="A5" t="s">
        <v>576</v>
      </c>
    </row>
    <row r="6" spans="1:9" customFormat="1">
      <c r="A6" t="s">
        <v>575</v>
      </c>
    </row>
    <row r="7" spans="1:9" customFormat="1">
      <c r="A7" t="s">
        <v>574</v>
      </c>
      <c r="C7" t="s">
        <v>573</v>
      </c>
    </row>
    <row r="8" spans="1:9" customFormat="1">
      <c r="A8" t="s">
        <v>595</v>
      </c>
      <c r="C8" t="s">
        <v>572</v>
      </c>
    </row>
    <row r="9" spans="1:9" customFormat="1">
      <c r="A9" t="s">
        <v>571</v>
      </c>
      <c r="C9" t="s">
        <v>570</v>
      </c>
    </row>
    <row r="10" spans="1:9" customFormat="1">
      <c r="A10" t="s">
        <v>596</v>
      </c>
      <c r="C10" t="s">
        <v>569</v>
      </c>
    </row>
    <row r="11" spans="1:9" customFormat="1">
      <c r="A11" t="s">
        <v>568</v>
      </c>
      <c r="C11" t="s">
        <v>567</v>
      </c>
    </row>
    <row r="12" spans="1:9" customFormat="1">
      <c r="A12" t="s">
        <v>566</v>
      </c>
      <c r="C12" t="s">
        <v>565</v>
      </c>
    </row>
    <row r="13" spans="1:9" customFormat="1">
      <c r="A13" t="s">
        <v>564</v>
      </c>
      <c r="C13" t="s">
        <v>563</v>
      </c>
    </row>
    <row r="14" spans="1:9" customFormat="1">
      <c r="A14" t="s">
        <v>360</v>
      </c>
      <c r="B14" s="1140" t="s">
        <v>646</v>
      </c>
      <c r="C14" t="s">
        <v>563</v>
      </c>
      <c r="D14" t="s">
        <v>562</v>
      </c>
      <c r="E14" t="s">
        <v>561</v>
      </c>
      <c r="F14" t="s">
        <v>560</v>
      </c>
      <c r="G14" t="s">
        <v>559</v>
      </c>
      <c r="H14" t="s">
        <v>558</v>
      </c>
      <c r="I14" t="s">
        <v>557</v>
      </c>
    </row>
    <row r="15" spans="1:9" customFormat="1">
      <c r="A15" t="s">
        <v>556</v>
      </c>
      <c r="B15" t="s">
        <v>556</v>
      </c>
      <c r="C15" t="s">
        <v>555</v>
      </c>
    </row>
    <row r="16" spans="1:9" customFormat="1">
      <c r="A16" t="s">
        <v>597</v>
      </c>
      <c r="B16" s="1207" t="s">
        <v>584</v>
      </c>
      <c r="C16" t="s">
        <v>598</v>
      </c>
      <c r="D16" t="s">
        <v>599</v>
      </c>
      <c r="E16" s="1210">
        <v>42948</v>
      </c>
      <c r="F16">
        <v>1</v>
      </c>
      <c r="G16" s="1212">
        <v>6986.1</v>
      </c>
      <c r="H16" s="1212">
        <v>4491.12</v>
      </c>
      <c r="I16" s="1212">
        <v>2494.98</v>
      </c>
    </row>
    <row r="17" spans="1:9" customFormat="1">
      <c r="A17" t="s">
        <v>600</v>
      </c>
      <c r="B17" s="1207" t="s">
        <v>584</v>
      </c>
      <c r="C17" t="s">
        <v>601</v>
      </c>
      <c r="D17" t="s">
        <v>599</v>
      </c>
      <c r="E17" s="1210">
        <v>42948</v>
      </c>
      <c r="F17">
        <v>1</v>
      </c>
      <c r="G17" s="1212">
        <v>1039</v>
      </c>
      <c r="H17" s="1212">
        <v>667.94</v>
      </c>
      <c r="I17" s="1212">
        <v>371.06</v>
      </c>
    </row>
    <row r="18" spans="1:9" customFormat="1">
      <c r="A18" t="s">
        <v>602</v>
      </c>
      <c r="B18" s="1207" t="s">
        <v>647</v>
      </c>
      <c r="C18" t="s">
        <v>603</v>
      </c>
      <c r="D18" t="s">
        <v>599</v>
      </c>
      <c r="E18" s="1210">
        <v>43344</v>
      </c>
      <c r="F18">
        <v>1</v>
      </c>
      <c r="G18" s="1212">
        <v>6197</v>
      </c>
      <c r="H18" s="1212">
        <v>517.54999999999995</v>
      </c>
      <c r="I18" s="1212">
        <v>5679.45</v>
      </c>
    </row>
    <row r="19" spans="1:9" customFormat="1">
      <c r="A19" t="s">
        <v>604</v>
      </c>
      <c r="B19" s="1207" t="s">
        <v>647</v>
      </c>
      <c r="C19" t="s">
        <v>605</v>
      </c>
      <c r="D19" t="s">
        <v>599</v>
      </c>
      <c r="E19" s="1210">
        <v>39326</v>
      </c>
      <c r="F19">
        <v>2</v>
      </c>
      <c r="G19" s="1212">
        <v>2240.7800000000002</v>
      </c>
      <c r="H19" s="1212">
        <v>2240.7800000000002</v>
      </c>
      <c r="I19" s="1212">
        <v>0</v>
      </c>
    </row>
    <row r="20" spans="1:9" customFormat="1">
      <c r="A20" t="s">
        <v>606</v>
      </c>
      <c r="B20" s="1207" t="s">
        <v>584</v>
      </c>
      <c r="C20" t="s">
        <v>607</v>
      </c>
      <c r="D20" t="s">
        <v>599</v>
      </c>
      <c r="E20" s="1210">
        <v>41426</v>
      </c>
      <c r="F20">
        <v>1</v>
      </c>
      <c r="G20" s="1212">
        <v>547826.52</v>
      </c>
      <c r="H20" s="1212">
        <v>547826.52</v>
      </c>
      <c r="I20" s="1212">
        <v>0</v>
      </c>
    </row>
    <row r="21" spans="1:9" customFormat="1">
      <c r="A21" t="s">
        <v>608</v>
      </c>
      <c r="B21" s="1207" t="s">
        <v>647</v>
      </c>
      <c r="C21" t="s">
        <v>609</v>
      </c>
      <c r="D21" t="s">
        <v>599</v>
      </c>
      <c r="E21" s="1210">
        <v>41426</v>
      </c>
      <c r="F21">
        <v>1</v>
      </c>
      <c r="G21" s="1212">
        <v>3833.23</v>
      </c>
      <c r="H21" s="1212">
        <v>3833.23</v>
      </c>
      <c r="I21" s="1212">
        <v>0</v>
      </c>
    </row>
    <row r="22" spans="1:9" customFormat="1">
      <c r="A22" t="s">
        <v>610</v>
      </c>
      <c r="B22" s="1207" t="s">
        <v>647</v>
      </c>
      <c r="C22" t="s">
        <v>611</v>
      </c>
      <c r="D22" t="s">
        <v>599</v>
      </c>
      <c r="E22" s="1210">
        <v>41426</v>
      </c>
      <c r="F22">
        <v>1</v>
      </c>
      <c r="G22" s="1212">
        <v>2757</v>
      </c>
      <c r="H22" s="1212">
        <v>2757</v>
      </c>
      <c r="I22" s="1212">
        <v>0</v>
      </c>
    </row>
    <row r="23" spans="1:9" customFormat="1">
      <c r="A23" t="s">
        <v>612</v>
      </c>
      <c r="B23" s="1207" t="s">
        <v>647</v>
      </c>
      <c r="C23" t="s">
        <v>613</v>
      </c>
      <c r="D23" t="s">
        <v>599</v>
      </c>
      <c r="E23" s="1210">
        <v>41426</v>
      </c>
      <c r="F23">
        <v>1</v>
      </c>
      <c r="G23" s="1212">
        <v>3963.25</v>
      </c>
      <c r="H23" s="1212">
        <v>3963.25</v>
      </c>
      <c r="I23" s="1212">
        <v>0</v>
      </c>
    </row>
    <row r="24" spans="1:9" customFormat="1">
      <c r="A24" t="s">
        <v>614</v>
      </c>
      <c r="B24" s="1207" t="s">
        <v>647</v>
      </c>
      <c r="C24" t="s">
        <v>615</v>
      </c>
      <c r="D24" t="s">
        <v>599</v>
      </c>
      <c r="E24" s="1210">
        <v>41426</v>
      </c>
      <c r="F24">
        <v>2</v>
      </c>
      <c r="G24" s="1212">
        <v>3222.24</v>
      </c>
      <c r="H24" s="1212">
        <v>3222.24</v>
      </c>
      <c r="I24" s="1212">
        <v>0</v>
      </c>
    </row>
    <row r="25" spans="1:9" customFormat="1">
      <c r="A25" t="s">
        <v>616</v>
      </c>
      <c r="B25" s="1207" t="s">
        <v>647</v>
      </c>
      <c r="C25" t="s">
        <v>617</v>
      </c>
      <c r="D25" t="s">
        <v>599</v>
      </c>
      <c r="E25" s="1210">
        <v>41426</v>
      </c>
      <c r="F25">
        <v>1</v>
      </c>
      <c r="G25" s="1212">
        <v>1661.35</v>
      </c>
      <c r="H25" s="1212">
        <v>1661.35</v>
      </c>
      <c r="I25" s="1212">
        <v>0</v>
      </c>
    </row>
    <row r="26" spans="1:9" customFormat="1">
      <c r="A26" t="s">
        <v>618</v>
      </c>
      <c r="B26" s="1207" t="s">
        <v>647</v>
      </c>
      <c r="C26" t="s">
        <v>619</v>
      </c>
      <c r="D26" t="s">
        <v>599</v>
      </c>
      <c r="E26" s="1210">
        <v>41426</v>
      </c>
      <c r="F26">
        <v>1</v>
      </c>
      <c r="G26" s="1212">
        <v>7284.48</v>
      </c>
      <c r="H26" s="1212">
        <v>7284.48</v>
      </c>
      <c r="I26" s="1212">
        <v>0</v>
      </c>
    </row>
    <row r="27" spans="1:9" customFormat="1">
      <c r="A27" t="s">
        <v>620</v>
      </c>
      <c r="B27" s="1207" t="s">
        <v>647</v>
      </c>
      <c r="C27" t="s">
        <v>621</v>
      </c>
      <c r="D27" t="s">
        <v>599</v>
      </c>
      <c r="E27" s="1210">
        <v>41426</v>
      </c>
      <c r="F27">
        <v>1</v>
      </c>
      <c r="G27" s="1212">
        <v>9573.68</v>
      </c>
      <c r="H27" s="1212">
        <v>9573.68</v>
      </c>
      <c r="I27" s="1212">
        <v>0</v>
      </c>
    </row>
    <row r="28" spans="1:9" customFormat="1">
      <c r="A28" t="s">
        <v>622</v>
      </c>
      <c r="B28" s="1207" t="s">
        <v>647</v>
      </c>
      <c r="C28" t="s">
        <v>623</v>
      </c>
      <c r="D28" t="s">
        <v>599</v>
      </c>
      <c r="E28" s="1210">
        <v>41426</v>
      </c>
      <c r="F28">
        <v>1</v>
      </c>
      <c r="G28" s="1212">
        <v>1009.03</v>
      </c>
      <c r="H28" s="1212">
        <v>817.27</v>
      </c>
      <c r="I28" s="1212">
        <v>191.76</v>
      </c>
    </row>
    <row r="29" spans="1:9" customFormat="1">
      <c r="A29" t="s">
        <v>624</v>
      </c>
      <c r="B29" s="1207" t="s">
        <v>584</v>
      </c>
      <c r="C29" t="s">
        <v>625</v>
      </c>
      <c r="D29" t="s">
        <v>599</v>
      </c>
      <c r="E29" s="1210">
        <v>41426</v>
      </c>
      <c r="F29">
        <v>1</v>
      </c>
      <c r="G29" s="1212">
        <v>1890</v>
      </c>
      <c r="H29" s="1212">
        <v>1530.8</v>
      </c>
      <c r="I29" s="1212">
        <v>359.2</v>
      </c>
    </row>
    <row r="30" spans="1:9" customFormat="1">
      <c r="A30" t="s">
        <v>626</v>
      </c>
      <c r="B30" s="1207" t="s">
        <v>647</v>
      </c>
      <c r="C30" t="s">
        <v>627</v>
      </c>
      <c r="D30" t="s">
        <v>599</v>
      </c>
      <c r="E30" s="1210">
        <v>41426</v>
      </c>
      <c r="F30">
        <v>1</v>
      </c>
      <c r="G30" s="1212">
        <v>57345.57</v>
      </c>
      <c r="H30" s="1212">
        <v>46446.9</v>
      </c>
      <c r="I30" s="1212">
        <v>10898.67</v>
      </c>
    </row>
    <row r="31" spans="1:9" customFormat="1">
      <c r="A31" t="s">
        <v>628</v>
      </c>
      <c r="B31" s="1207" t="s">
        <v>647</v>
      </c>
      <c r="C31" t="s">
        <v>629</v>
      </c>
      <c r="D31" t="s">
        <v>599</v>
      </c>
      <c r="E31" s="1210">
        <v>41507</v>
      </c>
      <c r="F31">
        <v>1</v>
      </c>
      <c r="G31" s="1212">
        <v>1310</v>
      </c>
      <c r="H31" s="1212">
        <v>1310</v>
      </c>
      <c r="I31" s="1212">
        <v>0</v>
      </c>
    </row>
    <row r="32" spans="1:9" customFormat="1">
      <c r="A32" t="s">
        <v>630</v>
      </c>
      <c r="B32" s="1207" t="s">
        <v>647</v>
      </c>
      <c r="C32" t="s">
        <v>631</v>
      </c>
      <c r="D32" t="s">
        <v>599</v>
      </c>
      <c r="E32" s="1210">
        <v>41640</v>
      </c>
      <c r="F32">
        <v>1</v>
      </c>
      <c r="G32" s="1212">
        <v>1689.89</v>
      </c>
      <c r="H32" s="1212">
        <v>1689.89</v>
      </c>
      <c r="I32" s="1212">
        <v>0</v>
      </c>
    </row>
    <row r="33" spans="1:10" customFormat="1">
      <c r="A33" t="s">
        <v>632</v>
      </c>
      <c r="B33" s="1207" t="s">
        <v>584</v>
      </c>
      <c r="C33" t="s">
        <v>633</v>
      </c>
      <c r="D33" t="s">
        <v>599</v>
      </c>
      <c r="E33" s="1210">
        <v>41913</v>
      </c>
      <c r="F33">
        <v>1</v>
      </c>
      <c r="G33" s="1212">
        <v>1450</v>
      </c>
      <c r="H33" s="1212">
        <v>1257.2</v>
      </c>
      <c r="I33" s="1212">
        <v>192.8</v>
      </c>
    </row>
    <row r="34" spans="1:10" customFormat="1">
      <c r="A34" t="s">
        <v>634</v>
      </c>
      <c r="B34" s="1207" t="s">
        <v>647</v>
      </c>
      <c r="C34" t="s">
        <v>635</v>
      </c>
      <c r="D34" t="s">
        <v>599</v>
      </c>
      <c r="E34" s="1210">
        <v>41936</v>
      </c>
      <c r="F34">
        <v>1</v>
      </c>
      <c r="G34" s="1212">
        <v>5861</v>
      </c>
      <c r="H34" s="1212">
        <v>5007.97</v>
      </c>
      <c r="I34" s="1212">
        <v>853.03</v>
      </c>
    </row>
    <row r="35" spans="1:10" customFormat="1">
      <c r="A35" t="s">
        <v>634</v>
      </c>
      <c r="B35" s="1207" t="s">
        <v>647</v>
      </c>
      <c r="C35" t="s">
        <v>636</v>
      </c>
      <c r="D35" t="s">
        <v>599</v>
      </c>
      <c r="E35" s="1210">
        <v>42052</v>
      </c>
      <c r="F35">
        <v>1</v>
      </c>
      <c r="G35" s="1212">
        <v>9126.08</v>
      </c>
      <c r="H35" s="1212">
        <v>7217.95</v>
      </c>
      <c r="I35" s="1212">
        <v>1908.13</v>
      </c>
    </row>
    <row r="36" spans="1:10" customFormat="1">
      <c r="A36" t="s">
        <v>637</v>
      </c>
      <c r="B36" s="1207" t="s">
        <v>584</v>
      </c>
      <c r="C36" t="s">
        <v>638</v>
      </c>
      <c r="D36" t="s">
        <v>599</v>
      </c>
      <c r="E36" s="1210">
        <v>42419</v>
      </c>
      <c r="F36">
        <v>1</v>
      </c>
      <c r="G36" s="1212">
        <v>2803</v>
      </c>
      <c r="H36" s="1212">
        <v>2803</v>
      </c>
      <c r="I36" s="1212">
        <v>0</v>
      </c>
    </row>
    <row r="37" spans="1:10" customFormat="1">
      <c r="A37" t="s">
        <v>639</v>
      </c>
      <c r="B37" s="1207" t="s">
        <v>584</v>
      </c>
      <c r="C37" t="s">
        <v>640</v>
      </c>
      <c r="D37" t="s">
        <v>599</v>
      </c>
      <c r="E37" s="1210">
        <v>42461</v>
      </c>
      <c r="F37">
        <v>1</v>
      </c>
      <c r="G37" s="1212">
        <v>5162</v>
      </c>
      <c r="H37" s="1212">
        <v>5162</v>
      </c>
      <c r="I37" s="1212">
        <v>0</v>
      </c>
    </row>
    <row r="38" spans="1:10" customFormat="1">
      <c r="A38" t="s">
        <v>641</v>
      </c>
      <c r="B38" s="1207" t="s">
        <v>647</v>
      </c>
      <c r="C38" t="s">
        <v>642</v>
      </c>
      <c r="D38" t="s">
        <v>599</v>
      </c>
      <c r="E38" s="1210">
        <v>42705</v>
      </c>
      <c r="F38">
        <v>1</v>
      </c>
      <c r="G38" s="1212">
        <v>1702</v>
      </c>
      <c r="H38" s="1212">
        <v>776.72</v>
      </c>
      <c r="I38" s="1212">
        <v>925.28</v>
      </c>
    </row>
    <row r="39" spans="1:10" customFormat="1">
      <c r="A39" t="s">
        <v>554</v>
      </c>
      <c r="C39" t="s">
        <v>553</v>
      </c>
      <c r="D39" t="s">
        <v>553</v>
      </c>
      <c r="E39" t="s">
        <v>553</v>
      </c>
    </row>
    <row r="40" spans="1:10" customFormat="1">
      <c r="A40">
        <v>23</v>
      </c>
      <c r="C40" t="s">
        <v>552</v>
      </c>
      <c r="F40">
        <v>25</v>
      </c>
      <c r="G40" s="1213">
        <v>685933.2</v>
      </c>
      <c r="H40" s="1213">
        <v>662058.84</v>
      </c>
      <c r="I40" s="1213">
        <v>23874.36</v>
      </c>
    </row>
    <row r="41" spans="1:10" customFormat="1">
      <c r="A41" t="s">
        <v>551</v>
      </c>
      <c r="C41" t="s">
        <v>550</v>
      </c>
      <c r="D41" t="s">
        <v>550</v>
      </c>
      <c r="E41" t="s">
        <v>550</v>
      </c>
    </row>
    <row r="42" spans="1:10" customFormat="1"/>
    <row r="43" spans="1:10" customFormat="1">
      <c r="H43" t="s">
        <v>643</v>
      </c>
      <c r="I43" s="1212">
        <v>1450</v>
      </c>
    </row>
    <row r="44" spans="1:10" customFormat="1">
      <c r="H44" t="s">
        <v>644</v>
      </c>
      <c r="I44" s="1212">
        <v>1375</v>
      </c>
    </row>
    <row r="45" spans="1:10" customFormat="1">
      <c r="I45" s="1213">
        <v>2825</v>
      </c>
      <c r="J45" s="1214" t="s">
        <v>645</v>
      </c>
    </row>
    <row r="47" spans="1:10">
      <c r="B47" s="1133" t="s">
        <v>585</v>
      </c>
      <c r="C47" s="1134"/>
      <c r="D47" s="1133" t="s">
        <v>586</v>
      </c>
      <c r="E47" s="1134"/>
      <c r="I47" s="1132">
        <f>I40+I45</f>
        <v>26699.360000000001</v>
      </c>
    </row>
    <row r="48" spans="1:10">
      <c r="B48" s="1136" t="s">
        <v>647</v>
      </c>
      <c r="C48" s="1135">
        <f>SUMIF($B$16:$B$40,B48,$G$16:$G$40)</f>
        <v>118776.57999999999</v>
      </c>
      <c r="D48" t="s">
        <v>647</v>
      </c>
      <c r="E48" s="1135">
        <f>SUMIF($B$16:$B$40,D48,$I$16:$I$40)</f>
        <v>20456.32</v>
      </c>
    </row>
    <row r="49" spans="2:5">
      <c r="B49" s="1136" t="s">
        <v>584</v>
      </c>
      <c r="C49" s="1135">
        <f>SUMIF($B$16:$B$40,B49,$G$16:$G$40)</f>
        <v>567156.62</v>
      </c>
      <c r="D49" t="s">
        <v>584</v>
      </c>
      <c r="E49" s="1135">
        <f>SUMIF($B$16:$B$40,D49,$I$16:$I$40)</f>
        <v>3418.04</v>
      </c>
    </row>
    <row r="50" spans="2:5">
      <c r="B50" s="1137" t="s">
        <v>533</v>
      </c>
      <c r="C50" s="1138">
        <f>SUM(C48:C49)</f>
        <v>685933.2</v>
      </c>
      <c r="D50" s="1137" t="s">
        <v>533</v>
      </c>
      <c r="E50" s="1138">
        <f>SUM(E48:E49)</f>
        <v>23874.36</v>
      </c>
    </row>
  </sheetData>
  <pageMargins left="0.2" right="0.2" top="0.25" bottom="0.25" header="0.3" footer="0.3"/>
  <pageSetup scale="64" orientation="landscape"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S162"/>
  <sheetViews>
    <sheetView showGridLines="0" view="pageBreakPreview" zoomScale="85" zoomScaleNormal="100" zoomScaleSheetLayoutView="85" workbookViewId="0">
      <selection activeCell="F15" sqref="F15"/>
    </sheetView>
  </sheetViews>
  <sheetFormatPr defaultColWidth="8" defaultRowHeight="12.75" outlineLevelRow="1"/>
  <cols>
    <col min="1" max="1" width="1.85546875" style="200" customWidth="1"/>
    <col min="2" max="2" width="2.42578125" style="200" customWidth="1"/>
    <col min="3" max="3" width="5.140625" style="200" customWidth="1"/>
    <col min="4" max="4" width="28.42578125" style="200" customWidth="1"/>
    <col min="5" max="5" width="11.42578125" style="200" bestFit="1" customWidth="1"/>
    <col min="6" max="7" width="25.28515625" style="200" customWidth="1"/>
    <col min="8" max="8" width="16.5703125" style="200" customWidth="1"/>
    <col min="9" max="9" width="25.28515625" style="200" customWidth="1"/>
    <col min="10" max="10" width="1.85546875" style="200" customWidth="1"/>
    <col min="11" max="14" width="8" style="200"/>
    <col min="15" max="15" width="11.140625" style="200" customWidth="1"/>
    <col min="16" max="16" width="9.7109375" style="200" customWidth="1"/>
    <col min="17" max="17" width="9" style="200" customWidth="1"/>
    <col min="18" max="18" width="13.7109375" style="200" customWidth="1"/>
    <col min="19" max="16384" width="8" style="200"/>
  </cols>
  <sheetData>
    <row r="1" spans="1:13" s="78" customFormat="1" ht="11.25" customHeight="1" thickBot="1">
      <c r="A1" s="77"/>
      <c r="B1" s="79"/>
      <c r="C1" s="79"/>
      <c r="D1" s="79"/>
      <c r="E1" s="79"/>
      <c r="F1" s="79"/>
      <c r="G1" s="79"/>
      <c r="H1" s="79"/>
    </row>
    <row r="2" spans="1:13" s="81" customFormat="1" ht="16.5" thickTop="1">
      <c r="A2" s="505"/>
      <c r="B2" s="82" t="str">
        <f>Outline!B2</f>
        <v>Satellite Healthcare WB Santa Cruz Valuation</v>
      </c>
      <c r="C2" s="82"/>
      <c r="D2" s="82"/>
      <c r="E2" s="82"/>
      <c r="F2" s="83"/>
      <c r="G2" s="83"/>
      <c r="H2" s="83"/>
      <c r="I2" s="506"/>
    </row>
    <row r="3" spans="1:13" s="81" customFormat="1" ht="15.75">
      <c r="A3" s="507"/>
      <c r="B3" s="89" t="e">
        <f>Outline!#REF!</f>
        <v>#REF!</v>
      </c>
      <c r="C3" s="89"/>
      <c r="D3" s="89"/>
      <c r="E3" s="89"/>
      <c r="F3" s="86"/>
      <c r="G3" s="86"/>
      <c r="H3" s="86"/>
      <c r="I3" s="90"/>
    </row>
    <row r="4" spans="1:13" s="81" customFormat="1" ht="16.5" thickBot="1">
      <c r="A4" s="505"/>
      <c r="B4" s="91" t="s">
        <v>480</v>
      </c>
      <c r="C4" s="91"/>
      <c r="D4" s="91"/>
      <c r="E4" s="91"/>
      <c r="F4" s="92"/>
      <c r="G4" s="92"/>
      <c r="H4" s="92"/>
      <c r="I4" s="508" t="s">
        <v>227</v>
      </c>
    </row>
    <row r="5" spans="1:13" s="81" customFormat="1" ht="16.5" thickTop="1">
      <c r="A5" s="505"/>
    </row>
    <row r="6" spans="1:13" s="201" customFormat="1" ht="43.5" customHeight="1">
      <c r="B6" s="202"/>
      <c r="C6" s="203"/>
      <c r="D6" s="204"/>
      <c r="E6" s="204"/>
      <c r="F6" s="1092" t="s">
        <v>529</v>
      </c>
      <c r="G6" s="1094"/>
      <c r="H6" s="510"/>
      <c r="I6" s="1092" t="s">
        <v>367</v>
      </c>
      <c r="L6" s="247"/>
      <c r="M6" s="247"/>
    </row>
    <row r="7" spans="1:13" s="201" customFormat="1" ht="20.25" hidden="1" customHeight="1">
      <c r="B7" s="202"/>
      <c r="C7" s="203"/>
      <c r="D7" s="204"/>
      <c r="E7" s="204"/>
      <c r="F7" s="247" t="s">
        <v>81</v>
      </c>
      <c r="G7" s="247" t="s">
        <v>82</v>
      </c>
      <c r="H7" s="510"/>
      <c r="L7" s="247"/>
      <c r="M7" s="247"/>
    </row>
    <row r="8" spans="1:13" s="201" customFormat="1" ht="20.25" customHeight="1" collapsed="1">
      <c r="B8" s="202"/>
      <c r="C8" s="515" t="s">
        <v>539</v>
      </c>
      <c r="D8" s="204"/>
      <c r="E8" s="204"/>
      <c r="F8" s="247"/>
      <c r="G8" s="247"/>
      <c r="H8" s="510"/>
      <c r="L8" s="247"/>
      <c r="M8" s="247"/>
    </row>
    <row r="9" spans="1:13" s="117" customFormat="1">
      <c r="B9" s="95"/>
      <c r="D9" s="203" t="str">
        <f>+[14]A1!$M$28</f>
        <v>Equipment</v>
      </c>
      <c r="E9" s="203"/>
      <c r="F9" s="1097">
        <f>'FA INV LIST'!C48/1000</f>
        <v>118.77657999999998</v>
      </c>
      <c r="G9" s="1098"/>
      <c r="H9" s="1095"/>
      <c r="J9" s="133"/>
      <c r="L9" s="513"/>
      <c r="M9" s="513"/>
    </row>
    <row r="10" spans="1:13" s="117" customFormat="1">
      <c r="B10" s="95"/>
      <c r="D10" s="203" t="str">
        <f>+[14]A1!$P$28</f>
        <v>Tenant Impr.</v>
      </c>
      <c r="E10" s="203"/>
      <c r="F10" s="1115">
        <f>'FA INV LIST'!C49/1000</f>
        <v>567.15661999999998</v>
      </c>
      <c r="G10" s="1098"/>
      <c r="H10" s="1095"/>
      <c r="J10" s="133"/>
      <c r="L10" s="513"/>
      <c r="M10" s="513"/>
    </row>
    <row r="11" spans="1:13" s="117" customFormat="1">
      <c r="B11" s="95"/>
      <c r="C11" s="185" t="s">
        <v>536</v>
      </c>
      <c r="D11" s="203"/>
      <c r="E11" s="203"/>
      <c r="F11" s="1113">
        <f>SUM(F9:F10)</f>
        <v>685.93319999999994</v>
      </c>
      <c r="G11" s="1098"/>
      <c r="H11" s="1095"/>
      <c r="J11" s="133"/>
      <c r="L11" s="513"/>
      <c r="M11" s="513"/>
    </row>
    <row r="12" spans="1:13" s="117" customFormat="1">
      <c r="B12" s="95"/>
      <c r="D12" s="203"/>
      <c r="E12" s="203"/>
      <c r="F12" s="1097"/>
      <c r="G12" s="1098"/>
      <c r="H12" s="1095"/>
      <c r="J12" s="133"/>
      <c r="L12" s="513"/>
      <c r="M12" s="513"/>
    </row>
    <row r="13" spans="1:13" s="117" customFormat="1">
      <c r="B13" s="95"/>
      <c r="C13" s="187" t="s">
        <v>534</v>
      </c>
      <c r="D13" s="203"/>
      <c r="E13" s="203"/>
      <c r="F13" s="1097">
        <f>'FA INV LIST'!I45/1000</f>
        <v>2.8250000000000002</v>
      </c>
      <c r="G13" s="1098"/>
      <c r="H13" s="1095"/>
      <c r="J13" s="133"/>
      <c r="L13" s="513"/>
      <c r="M13" s="513"/>
    </row>
    <row r="14" spans="1:13" s="117" customFormat="1">
      <c r="B14" s="95"/>
      <c r="C14" s="187" t="s">
        <v>535</v>
      </c>
      <c r="D14" s="203"/>
      <c r="E14" s="203"/>
      <c r="F14" s="1115">
        <f>-'FA INV LIST'!H40/1000</f>
        <v>-662.05883999999992</v>
      </c>
      <c r="G14" s="1098"/>
      <c r="H14" s="1095"/>
      <c r="J14" s="133"/>
      <c r="L14" s="513"/>
      <c r="M14" s="513"/>
    </row>
    <row r="15" spans="1:13" s="117" customFormat="1" ht="3" customHeight="1">
      <c r="B15" s="95"/>
      <c r="D15" s="203"/>
      <c r="E15" s="203"/>
      <c r="F15" s="1097"/>
      <c r="G15" s="1098"/>
      <c r="H15" s="1095"/>
      <c r="J15" s="133"/>
      <c r="L15" s="513"/>
      <c r="M15" s="513"/>
    </row>
    <row r="16" spans="1:13" s="117" customFormat="1">
      <c r="B16" s="95"/>
      <c r="C16" s="185" t="s">
        <v>533</v>
      </c>
      <c r="D16" s="203"/>
      <c r="E16" s="203"/>
      <c r="F16" s="1113">
        <f>SUM(F11:F14)</f>
        <v>26.69936000000007</v>
      </c>
      <c r="G16" s="1098"/>
      <c r="H16" s="1095"/>
      <c r="J16" s="133"/>
      <c r="L16" s="513"/>
      <c r="M16" s="513"/>
    </row>
    <row r="17" spans="2:19" s="117" customFormat="1">
      <c r="B17" s="95"/>
      <c r="D17" s="203"/>
      <c r="E17" s="203"/>
      <c r="F17" s="1097"/>
      <c r="G17" s="1098"/>
      <c r="H17" s="1095"/>
      <c r="J17" s="133"/>
      <c r="L17" s="513"/>
      <c r="M17" s="513"/>
    </row>
    <row r="18" spans="2:19" s="117" customFormat="1">
      <c r="B18" s="95"/>
      <c r="C18" s="1110" t="s">
        <v>532</v>
      </c>
      <c r="D18" s="203"/>
      <c r="E18" s="203"/>
      <c r="F18" s="1113">
        <f t="array" ref="F18">-MIN(IF('C3'!D60:K60&lt;0,'C3'!D60:K60,0))</f>
        <v>0</v>
      </c>
      <c r="G18" s="1096"/>
      <c r="H18" s="1095"/>
      <c r="I18" s="118" t="str">
        <f>B39</f>
        <v xml:space="preserve">(1) </v>
      </c>
      <c r="J18" s="133"/>
      <c r="L18" s="513"/>
      <c r="M18" s="513"/>
      <c r="R18" s="170"/>
      <c r="S18" s="170"/>
    </row>
    <row r="19" spans="2:19" s="117" customFormat="1">
      <c r="B19" s="131"/>
      <c r="C19" s="131"/>
      <c r="D19" s="131"/>
      <c r="E19" s="131"/>
      <c r="F19" s="163"/>
      <c r="G19" s="163"/>
      <c r="H19" s="163"/>
      <c r="I19" s="118"/>
      <c r="J19" s="164"/>
    </row>
    <row r="20" spans="2:19" s="117" customFormat="1">
      <c r="B20" s="131"/>
      <c r="C20" s="1111" t="s">
        <v>537</v>
      </c>
      <c r="D20" s="1112"/>
      <c r="E20" s="1112"/>
      <c r="F20" s="1114">
        <f>F16+F18</f>
        <v>26.69936000000007</v>
      </c>
      <c r="G20" s="1116"/>
      <c r="H20" s="1117"/>
      <c r="I20" s="118" t="str">
        <f>B40</f>
        <v xml:space="preserve">(2) </v>
      </c>
      <c r="J20" s="164"/>
    </row>
    <row r="21" spans="2:19" s="117" customFormat="1">
      <c r="B21" s="131"/>
      <c r="C21" s="131"/>
      <c r="D21" s="131"/>
      <c r="E21" s="131"/>
      <c r="F21" s="116"/>
      <c r="G21" s="116"/>
      <c r="H21" s="163"/>
      <c r="I21" s="116"/>
      <c r="J21" s="164"/>
    </row>
    <row r="22" spans="2:19" s="117" customFormat="1">
      <c r="B22" s="131"/>
      <c r="C22" s="1120" t="s">
        <v>549</v>
      </c>
      <c r="D22" s="131"/>
      <c r="E22" s="131"/>
      <c r="F22" s="116"/>
      <c r="G22" s="116"/>
      <c r="H22" s="1127" t="s">
        <v>548</v>
      </c>
      <c r="I22" s="1121" t="s">
        <v>336</v>
      </c>
      <c r="J22" s="164"/>
    </row>
    <row r="23" spans="2:19" s="117" customFormat="1">
      <c r="B23" s="131"/>
      <c r="C23" s="131"/>
      <c r="D23" s="131" t="str">
        <f>D9</f>
        <v>Equipment</v>
      </c>
      <c r="E23" s="131"/>
      <c r="F23" s="1097">
        <f>F11+F14</f>
        <v>23.874360000000024</v>
      </c>
      <c r="G23" s="1098"/>
      <c r="H23" s="1139"/>
      <c r="I23" s="116"/>
      <c r="J23" s="164"/>
    </row>
    <row r="24" spans="2:19" s="117" customFormat="1">
      <c r="B24" s="131"/>
      <c r="C24" s="131"/>
      <c r="D24" s="131" t="str">
        <f>D10</f>
        <v>Tenant Impr.</v>
      </c>
      <c r="E24" s="131"/>
      <c r="F24" s="1097">
        <f>H24*F10</f>
        <v>226.86264800000001</v>
      </c>
      <c r="G24" s="1098"/>
      <c r="H24" s="1129">
        <v>0.4</v>
      </c>
      <c r="I24" s="116"/>
      <c r="J24" s="164"/>
    </row>
    <row r="25" spans="2:19" s="117" customFormat="1">
      <c r="B25" s="131"/>
      <c r="C25" s="131"/>
      <c r="D25" s="131" t="s">
        <v>546</v>
      </c>
      <c r="F25" s="1115">
        <f>F13</f>
        <v>2.8250000000000002</v>
      </c>
      <c r="G25" s="1115"/>
      <c r="H25" s="1128"/>
      <c r="I25" s="116"/>
      <c r="J25" s="164"/>
    </row>
    <row r="26" spans="2:19" s="117" customFormat="1" ht="12.75" customHeight="1">
      <c r="B26" s="131"/>
      <c r="C26" s="185" t="s">
        <v>533</v>
      </c>
      <c r="D26" s="131"/>
      <c r="E26" s="131"/>
      <c r="F26" s="1113">
        <f>SUM(F23:F25)</f>
        <v>253.56200800000002</v>
      </c>
      <c r="G26" s="1098"/>
      <c r="H26" s="163"/>
      <c r="I26" s="116"/>
      <c r="J26" s="164"/>
    </row>
    <row r="27" spans="2:19" s="117" customFormat="1">
      <c r="B27" s="131"/>
      <c r="C27" s="131"/>
      <c r="D27" s="131"/>
      <c r="E27" s="131"/>
      <c r="F27" s="116"/>
      <c r="G27" s="116"/>
      <c r="H27" s="163"/>
      <c r="I27" s="116"/>
      <c r="J27" s="164"/>
    </row>
    <row r="28" spans="2:19" s="117" customFormat="1">
      <c r="B28" s="131"/>
      <c r="C28" s="1120" t="s">
        <v>540</v>
      </c>
      <c r="D28" s="131"/>
      <c r="E28" s="131"/>
      <c r="F28" s="1113">
        <f>MAX(-'C3'!K60,0)</f>
        <v>0</v>
      </c>
      <c r="G28" s="1096"/>
      <c r="H28" s="163"/>
      <c r="I28" s="1121" t="s">
        <v>376</v>
      </c>
      <c r="J28" s="164"/>
    </row>
    <row r="29" spans="2:19" s="117" customFormat="1">
      <c r="B29" s="131"/>
      <c r="C29" s="131"/>
      <c r="D29" s="131"/>
      <c r="E29" s="131"/>
      <c r="F29" s="116"/>
      <c r="G29" s="116"/>
      <c r="H29" s="163"/>
      <c r="I29" s="116"/>
      <c r="J29" s="164"/>
    </row>
    <row r="30" spans="2:19" s="117" customFormat="1">
      <c r="B30" s="131"/>
      <c r="C30" s="1111" t="s">
        <v>541</v>
      </c>
      <c r="D30" s="1112"/>
      <c r="E30" s="1112"/>
      <c r="F30" s="1114">
        <f>F26+F28</f>
        <v>253.56200800000002</v>
      </c>
      <c r="G30" s="1122"/>
      <c r="H30" s="163"/>
      <c r="I30" s="1121" t="s">
        <v>379</v>
      </c>
      <c r="J30" s="164"/>
    </row>
    <row r="31" spans="2:19" s="117" customFormat="1">
      <c r="B31" s="131"/>
      <c r="C31" s="131"/>
      <c r="D31" s="131"/>
      <c r="E31" s="131"/>
      <c r="F31" s="116"/>
      <c r="G31" s="116"/>
      <c r="H31" s="163"/>
      <c r="I31" s="116"/>
      <c r="J31" s="164"/>
    </row>
    <row r="32" spans="2:19" s="117" customFormat="1">
      <c r="B32" s="131"/>
      <c r="C32" s="131"/>
      <c r="D32" s="131"/>
      <c r="E32" s="131"/>
      <c r="F32" s="116"/>
      <c r="G32" s="116"/>
      <c r="H32" s="163"/>
      <c r="I32" s="116"/>
      <c r="J32" s="164"/>
    </row>
    <row r="33" spans="1:10" s="117" customFormat="1" ht="12.75" customHeight="1">
      <c r="B33" s="131"/>
      <c r="C33" s="131"/>
      <c r="D33" s="131"/>
      <c r="E33" s="131"/>
      <c r="F33" s="782" t="s">
        <v>81</v>
      </c>
      <c r="G33" s="782" t="s">
        <v>82</v>
      </c>
      <c r="H33" s="163"/>
      <c r="I33" s="116"/>
      <c r="J33" s="164"/>
    </row>
    <row r="34" spans="1:10" s="117" customFormat="1">
      <c r="B34" s="131"/>
      <c r="C34" s="1123" t="s">
        <v>542</v>
      </c>
      <c r="D34" s="1124"/>
      <c r="E34" s="1124"/>
      <c r="F34" s="1125">
        <f>MIN(F30,F20)</f>
        <v>26.69936000000007</v>
      </c>
      <c r="G34" s="1126">
        <f>MAX(F30,F20)</f>
        <v>253.56200800000002</v>
      </c>
      <c r="H34" s="163"/>
      <c r="I34" s="1121"/>
      <c r="J34" s="164"/>
    </row>
    <row r="35" spans="1:10" s="117" customFormat="1" ht="3" customHeight="1">
      <c r="B35" s="131"/>
      <c r="C35" s="131"/>
      <c r="D35" s="131"/>
      <c r="E35" s="131"/>
      <c r="F35" s="116"/>
      <c r="G35" s="116"/>
      <c r="H35" s="163"/>
      <c r="I35" s="116"/>
      <c r="J35" s="164"/>
    </row>
    <row r="36" spans="1:10" s="117" customFormat="1">
      <c r="B36" s="131"/>
      <c r="C36" s="131"/>
      <c r="D36" s="131"/>
      <c r="E36" s="131"/>
      <c r="F36" s="116"/>
      <c r="G36" s="116"/>
      <c r="H36" s="163"/>
      <c r="I36" s="116"/>
      <c r="J36" s="164"/>
    </row>
    <row r="37" spans="1:10" s="117" customFormat="1">
      <c r="B37" s="131"/>
      <c r="C37" s="131"/>
      <c r="D37" s="131"/>
      <c r="E37" s="131"/>
      <c r="F37" s="116"/>
      <c r="G37" s="116"/>
      <c r="H37" s="163"/>
      <c r="I37" s="116"/>
      <c r="J37" s="164"/>
    </row>
    <row r="38" spans="1:10" s="117" customFormat="1">
      <c r="A38" s="95"/>
      <c r="B38" s="116"/>
      <c r="C38" s="522" t="s">
        <v>246</v>
      </c>
      <c r="D38" s="116"/>
      <c r="E38" s="116"/>
      <c r="F38" s="116"/>
      <c r="G38" s="116"/>
      <c r="H38" s="116"/>
      <c r="I38" s="116"/>
      <c r="J38" s="189"/>
    </row>
    <row r="39" spans="1:10" s="117" customFormat="1" ht="14.1" customHeight="1">
      <c r="A39" s="95"/>
      <c r="B39" s="1099" t="s">
        <v>434</v>
      </c>
      <c r="C39" s="1290" t="str">
        <f>"Reflects the largest cumulative loss (adjusted EBITDA) for FY 2011 through the Valuation Date. Refer to "&amp;'C3'!$B$3&amp;"."</f>
        <v>Reflects the largest cumulative loss (adjusted EBITDA) for FY 2011 through the Valuation Date. Refer to Exhibit B3.</v>
      </c>
      <c r="D39" s="1290"/>
      <c r="E39" s="1290"/>
      <c r="F39" s="1290"/>
      <c r="G39" s="1290"/>
      <c r="H39" s="1290"/>
      <c r="I39" s="1290"/>
      <c r="J39" s="189"/>
    </row>
    <row r="40" spans="1:10" s="117" customFormat="1" ht="14.25" customHeight="1">
      <c r="A40" s="95"/>
      <c r="B40" s="1099" t="s">
        <v>531</v>
      </c>
      <c r="C40" s="1290" t="s">
        <v>538</v>
      </c>
      <c r="D40" s="1290"/>
      <c r="E40" s="1290"/>
      <c r="F40" s="1290"/>
      <c r="G40" s="1290"/>
      <c r="H40" s="1290"/>
      <c r="I40" s="1290"/>
      <c r="J40" s="189"/>
    </row>
    <row r="41" spans="1:10" s="525" customFormat="1" ht="14.25" customHeight="1">
      <c r="B41" s="1099" t="s">
        <v>543</v>
      </c>
      <c r="C41" s="1290" t="s">
        <v>587</v>
      </c>
      <c r="D41" s="1290"/>
      <c r="E41" s="1290"/>
      <c r="F41" s="1290"/>
      <c r="G41" s="1290"/>
      <c r="H41" s="1290"/>
      <c r="I41" s="1290"/>
    </row>
    <row r="42" spans="1:10" s="525" customFormat="1" ht="14.1" customHeight="1">
      <c r="B42" s="1099" t="s">
        <v>544</v>
      </c>
      <c r="C42" s="1290" t="str">
        <f>"Reflects cumulative losses (adjusted EBITDA) through the Valuation Date. Refer to "&amp;'C3'!$B$3&amp;"."</f>
        <v>Reflects cumulative losses (adjusted EBITDA) through the Valuation Date. Refer to Exhibit B3.</v>
      </c>
      <c r="D42" s="1290"/>
      <c r="E42" s="1290"/>
      <c r="F42" s="1290"/>
      <c r="G42" s="1290"/>
      <c r="H42" s="1290"/>
      <c r="I42" s="1290"/>
      <c r="J42" s="189"/>
    </row>
    <row r="43" spans="1:10" s="525" customFormat="1" ht="14.1" customHeight="1">
      <c r="B43" s="1099" t="s">
        <v>545</v>
      </c>
      <c r="C43" s="1290" t="s">
        <v>547</v>
      </c>
      <c r="D43" s="1290"/>
      <c r="E43" s="1290"/>
      <c r="F43" s="1290"/>
      <c r="G43" s="1290"/>
      <c r="H43" s="1290"/>
      <c r="I43" s="1290"/>
      <c r="J43" s="189"/>
    </row>
    <row r="44" spans="1:10" s="525" customFormat="1">
      <c r="B44" s="1099"/>
      <c r="C44" s="116"/>
      <c r="D44" s="116"/>
      <c r="E44" s="116"/>
      <c r="F44" s="116"/>
      <c r="G44" s="116"/>
      <c r="H44" s="116"/>
      <c r="I44" s="116"/>
      <c r="J44" s="189"/>
    </row>
    <row r="45" spans="1:10" s="525" customFormat="1">
      <c r="B45" s="116"/>
      <c r="C45" s="116"/>
      <c r="D45" s="116"/>
      <c r="E45" s="116"/>
      <c r="F45" s="116"/>
      <c r="G45" s="116"/>
      <c r="H45" s="116"/>
      <c r="I45" s="116"/>
      <c r="J45" s="189"/>
    </row>
    <row r="46" spans="1:10" s="117" customFormat="1">
      <c r="A46" s="95"/>
      <c r="B46" s="116"/>
      <c r="C46" s="116"/>
      <c r="D46" s="116"/>
      <c r="E46" s="116"/>
      <c r="F46" s="172"/>
      <c r="G46" s="172"/>
      <c r="H46" s="172"/>
      <c r="I46" s="116"/>
      <c r="J46" s="156"/>
    </row>
    <row r="47" spans="1:10" s="117" customFormat="1">
      <c r="A47" s="95"/>
      <c r="B47" s="116"/>
      <c r="C47" s="116"/>
      <c r="D47" s="116"/>
      <c r="E47" s="116"/>
      <c r="F47" s="172"/>
      <c r="G47" s="172"/>
      <c r="H47" s="172"/>
      <c r="I47" s="116"/>
      <c r="J47" s="156"/>
    </row>
    <row r="48" spans="1:10" s="117" customFormat="1">
      <c r="B48" s="173"/>
      <c r="C48" s="173"/>
      <c r="D48" s="173"/>
      <c r="E48" s="173"/>
      <c r="F48" s="95"/>
      <c r="G48" s="95"/>
      <c r="H48" s="95"/>
      <c r="I48" s="95"/>
      <c r="J48" s="175"/>
    </row>
    <row r="49" spans="2:10" s="117" customFormat="1">
      <c r="B49" s="95"/>
      <c r="C49" s="95"/>
      <c r="D49" s="95"/>
      <c r="E49" s="95"/>
      <c r="F49" s="177"/>
      <c r="G49" s="177"/>
      <c r="H49" s="177"/>
      <c r="I49" s="177"/>
      <c r="J49" s="178"/>
    </row>
    <row r="50" spans="2:10" s="117" customFormat="1">
      <c r="B50" s="95"/>
      <c r="C50" s="95"/>
      <c r="D50" s="95"/>
      <c r="E50" s="95"/>
      <c r="F50" s="95"/>
      <c r="G50" s="95"/>
      <c r="I50" s="95"/>
      <c r="J50" s="162"/>
    </row>
    <row r="51" spans="2:10" s="117" customFormat="1">
      <c r="B51" s="179"/>
      <c r="C51" s="179"/>
      <c r="D51" s="179"/>
      <c r="E51" s="179"/>
      <c r="F51" s="163"/>
      <c r="G51" s="163"/>
      <c r="H51" s="163"/>
      <c r="I51" s="163"/>
      <c r="J51" s="164"/>
    </row>
    <row r="52" spans="2:10" s="117" customFormat="1">
      <c r="B52" s="179"/>
      <c r="C52" s="179"/>
      <c r="D52" s="179"/>
      <c r="E52" s="179"/>
      <c r="F52" s="163"/>
      <c r="G52" s="163"/>
      <c r="H52" s="163"/>
      <c r="I52" s="163"/>
      <c r="J52" s="164"/>
    </row>
    <row r="53" spans="2:10" s="117" customFormat="1">
      <c r="B53" s="179"/>
      <c r="C53" s="179"/>
      <c r="D53" s="179"/>
      <c r="E53" s="179"/>
      <c r="F53" s="163"/>
      <c r="G53" s="163"/>
      <c r="H53" s="163"/>
      <c r="I53" s="163"/>
      <c r="J53" s="164"/>
    </row>
    <row r="54" spans="2:10" s="117" customFormat="1">
      <c r="B54" s="179"/>
      <c r="C54" s="179"/>
      <c r="D54" s="179"/>
      <c r="E54" s="179"/>
      <c r="F54" s="163"/>
      <c r="G54" s="163"/>
      <c r="H54" s="163"/>
      <c r="I54" s="163"/>
      <c r="J54" s="164"/>
    </row>
    <row r="55" spans="2:10" s="117" customFormat="1">
      <c r="B55" s="179"/>
      <c r="C55" s="179"/>
      <c r="D55" s="179"/>
      <c r="E55" s="179"/>
      <c r="F55" s="163"/>
      <c r="G55" s="163"/>
      <c r="H55" s="163"/>
      <c r="I55" s="163"/>
      <c r="J55" s="164"/>
    </row>
    <row r="56" spans="2:10" s="117" customFormat="1">
      <c r="B56" s="179"/>
      <c r="C56" s="179"/>
      <c r="D56" s="179"/>
      <c r="E56" s="179"/>
      <c r="F56" s="163"/>
      <c r="G56" s="163"/>
      <c r="H56" s="163"/>
      <c r="I56" s="163"/>
      <c r="J56" s="164"/>
    </row>
    <row r="57" spans="2:10" s="117" customFormat="1">
      <c r="B57" s="179"/>
      <c r="C57" s="179"/>
      <c r="D57" s="179"/>
      <c r="E57" s="179"/>
      <c r="F57" s="163"/>
      <c r="G57" s="163"/>
      <c r="H57" s="163"/>
      <c r="I57" s="163"/>
      <c r="J57" s="164"/>
    </row>
    <row r="58" spans="2:10" s="117" customFormat="1">
      <c r="B58" s="179"/>
      <c r="C58" s="179"/>
      <c r="D58" s="179"/>
      <c r="E58" s="179"/>
      <c r="F58" s="163"/>
      <c r="G58" s="163"/>
      <c r="H58" s="163"/>
      <c r="I58" s="163"/>
      <c r="J58" s="164"/>
    </row>
    <row r="59" spans="2:10" s="117" customFormat="1">
      <c r="B59" s="179"/>
      <c r="C59" s="179"/>
      <c r="D59" s="179"/>
      <c r="E59" s="179"/>
      <c r="F59" s="163"/>
      <c r="G59" s="163"/>
      <c r="H59" s="163"/>
      <c r="I59" s="163"/>
      <c r="J59" s="164"/>
    </row>
    <row r="60" spans="2:10" s="117" customFormat="1">
      <c r="B60" s="179"/>
      <c r="C60" s="179"/>
      <c r="D60" s="179"/>
      <c r="E60" s="179"/>
      <c r="F60" s="163"/>
      <c r="G60" s="163"/>
      <c r="H60" s="163"/>
      <c r="I60" s="163"/>
      <c r="J60" s="164"/>
    </row>
    <row r="61" spans="2:10" s="117" customFormat="1" hidden="1" outlineLevel="1">
      <c r="B61" s="95"/>
      <c r="C61" s="95"/>
      <c r="D61" s="95"/>
      <c r="E61" s="95"/>
      <c r="F61" s="95"/>
      <c r="G61" s="95"/>
      <c r="H61" s="95"/>
      <c r="I61" s="95"/>
      <c r="J61" s="180"/>
    </row>
    <row r="62" spans="2:10" s="117" customFormat="1" hidden="1" outlineLevel="1">
      <c r="B62" s="166"/>
      <c r="C62" s="166"/>
      <c r="D62" s="166"/>
      <c r="E62" s="166"/>
      <c r="F62" s="166"/>
      <c r="G62" s="166"/>
      <c r="H62" s="166"/>
      <c r="I62" s="166"/>
      <c r="J62" s="167"/>
    </row>
    <row r="63" spans="2:10" s="117" customFormat="1" hidden="1" outlineLevel="1">
      <c r="B63" s="166"/>
      <c r="C63" s="166"/>
      <c r="D63" s="166"/>
      <c r="E63" s="166"/>
      <c r="F63" s="166"/>
      <c r="G63" s="166"/>
      <c r="H63" s="166"/>
      <c r="I63" s="166"/>
      <c r="J63" s="167"/>
    </row>
    <row r="64" spans="2:10" s="117" customFormat="1" hidden="1" outlineLevel="1">
      <c r="B64" s="166"/>
      <c r="C64" s="166"/>
      <c r="D64" s="166"/>
      <c r="E64" s="166"/>
      <c r="F64" s="166"/>
      <c r="G64" s="166"/>
      <c r="H64" s="166"/>
      <c r="I64" s="166"/>
      <c r="J64" s="167"/>
    </row>
    <row r="65" spans="2:10" s="117" customFormat="1" hidden="1" outlineLevel="1">
      <c r="B65" s="166"/>
      <c r="C65" s="166"/>
      <c r="D65" s="166"/>
      <c r="E65" s="166"/>
      <c r="F65" s="166"/>
      <c r="G65" s="166"/>
      <c r="H65" s="166"/>
      <c r="I65" s="166"/>
      <c r="J65" s="167"/>
    </row>
    <row r="66" spans="2:10" s="117" customFormat="1" hidden="1" outlineLevel="1">
      <c r="B66" s="166"/>
      <c r="C66" s="166"/>
      <c r="D66" s="166"/>
      <c r="E66" s="166"/>
      <c r="F66" s="166"/>
      <c r="G66" s="166"/>
      <c r="H66" s="166"/>
      <c r="I66" s="166"/>
      <c r="J66" s="167"/>
    </row>
    <row r="67" spans="2:10" s="117" customFormat="1" hidden="1" outlineLevel="1">
      <c r="B67" s="116"/>
      <c r="C67" s="116"/>
      <c r="D67" s="116"/>
      <c r="E67" s="116"/>
      <c r="F67" s="116"/>
      <c r="G67" s="116"/>
      <c r="H67" s="116"/>
      <c r="I67" s="116"/>
      <c r="J67" s="156"/>
    </row>
    <row r="68" spans="2:10" s="117" customFormat="1" hidden="1" outlineLevel="1">
      <c r="B68" s="157"/>
      <c r="C68" s="157"/>
      <c r="D68" s="157"/>
      <c r="E68" s="157"/>
      <c r="F68" s="95"/>
      <c r="G68" s="95"/>
      <c r="H68" s="95"/>
      <c r="I68" s="95"/>
      <c r="J68" s="158"/>
    </row>
    <row r="69" spans="2:10" s="117" customFormat="1" hidden="1" outlineLevel="1">
      <c r="B69" s="95"/>
      <c r="C69" s="95"/>
      <c r="D69" s="95"/>
      <c r="E69" s="95"/>
      <c r="F69" s="159"/>
      <c r="G69" s="159"/>
      <c r="H69" s="159"/>
      <c r="I69" s="159"/>
      <c r="J69" s="161"/>
    </row>
    <row r="70" spans="2:10" s="117" customFormat="1" hidden="1" outlineLevel="1">
      <c r="B70" s="95"/>
      <c r="C70" s="95"/>
      <c r="D70" s="95"/>
      <c r="E70" s="95"/>
      <c r="F70" s="95"/>
      <c r="G70" s="95"/>
      <c r="I70" s="95"/>
      <c r="J70" s="162"/>
    </row>
    <row r="71" spans="2:10" s="117" customFormat="1" collapsed="1">
      <c r="B71" s="179"/>
      <c r="C71" s="179"/>
      <c r="D71" s="179"/>
      <c r="E71" s="179"/>
      <c r="F71" s="163"/>
      <c r="G71" s="163"/>
      <c r="H71" s="163"/>
      <c r="I71" s="163"/>
      <c r="J71" s="164"/>
    </row>
    <row r="72" spans="2:10" s="117" customFormat="1">
      <c r="B72" s="179"/>
      <c r="C72" s="179"/>
      <c r="D72" s="179"/>
      <c r="E72" s="179"/>
      <c r="F72" s="163"/>
      <c r="G72" s="163"/>
      <c r="H72" s="163"/>
      <c r="I72" s="163"/>
      <c r="J72" s="164"/>
    </row>
    <row r="73" spans="2:10" s="117" customFormat="1">
      <c r="B73" s="179"/>
      <c r="C73" s="179"/>
      <c r="D73" s="179"/>
      <c r="E73" s="179"/>
      <c r="F73" s="163"/>
      <c r="G73" s="163"/>
      <c r="H73" s="163"/>
      <c r="I73" s="163"/>
      <c r="J73" s="164"/>
    </row>
    <row r="74" spans="2:10" s="117" customFormat="1" hidden="1" outlineLevel="1">
      <c r="B74" s="179"/>
      <c r="C74" s="179"/>
      <c r="D74" s="179"/>
      <c r="E74" s="179"/>
      <c r="F74" s="163"/>
      <c r="G74" s="163"/>
      <c r="H74" s="163"/>
      <c r="I74" s="163"/>
      <c r="J74" s="164"/>
    </row>
    <row r="75" spans="2:10" s="117" customFormat="1" hidden="1" outlineLevel="1">
      <c r="B75" s="179"/>
      <c r="C75" s="179"/>
      <c r="D75" s="179"/>
      <c r="E75" s="179"/>
      <c r="F75" s="163"/>
      <c r="G75" s="163"/>
      <c r="H75" s="163"/>
      <c r="I75" s="163"/>
      <c r="J75" s="164"/>
    </row>
    <row r="76" spans="2:10" s="117" customFormat="1" hidden="1" outlineLevel="1">
      <c r="B76" s="179"/>
      <c r="C76" s="179"/>
      <c r="D76" s="179"/>
      <c r="E76" s="179"/>
      <c r="F76" s="163"/>
      <c r="G76" s="163"/>
      <c r="H76" s="163"/>
      <c r="I76" s="163"/>
      <c r="J76" s="164"/>
    </row>
    <row r="77" spans="2:10" s="117" customFormat="1" hidden="1" outlineLevel="1">
      <c r="B77" s="179"/>
      <c r="C77" s="179"/>
      <c r="D77" s="179"/>
      <c r="E77" s="179"/>
      <c r="F77" s="163"/>
      <c r="G77" s="163"/>
      <c r="H77" s="163"/>
      <c r="I77" s="163"/>
      <c r="J77" s="164"/>
    </row>
    <row r="78" spans="2:10" s="117" customFormat="1" hidden="1" outlineLevel="1">
      <c r="B78" s="179"/>
      <c r="C78" s="179"/>
      <c r="D78" s="179"/>
      <c r="E78" s="179"/>
      <c r="F78" s="163"/>
      <c r="G78" s="163"/>
      <c r="H78" s="163"/>
      <c r="I78" s="163"/>
      <c r="J78" s="164"/>
    </row>
    <row r="79" spans="2:10" s="117" customFormat="1" hidden="1" outlineLevel="1">
      <c r="B79" s="179"/>
      <c r="C79" s="179"/>
      <c r="D79" s="179"/>
      <c r="E79" s="179"/>
      <c r="F79" s="163"/>
      <c r="G79" s="163"/>
      <c r="H79" s="163"/>
      <c r="I79" s="163"/>
      <c r="J79" s="164"/>
    </row>
    <row r="80" spans="2:10" s="117" customFormat="1" hidden="1" outlineLevel="1">
      <c r="B80" s="179"/>
      <c r="C80" s="179"/>
      <c r="D80" s="179"/>
      <c r="E80" s="179"/>
      <c r="F80" s="163"/>
      <c r="G80" s="163"/>
      <c r="H80" s="163"/>
      <c r="I80" s="163"/>
      <c r="J80" s="164"/>
    </row>
    <row r="81" spans="2:10" s="117" customFormat="1" hidden="1" outlineLevel="1">
      <c r="B81" s="95"/>
      <c r="C81" s="95"/>
      <c r="D81" s="95"/>
      <c r="E81" s="95"/>
      <c r="F81" s="95"/>
      <c r="G81" s="95"/>
      <c r="H81" s="95"/>
      <c r="I81" s="95"/>
      <c r="J81" s="180"/>
    </row>
    <row r="82" spans="2:10" s="117" customFormat="1" hidden="1" outlineLevel="1">
      <c r="B82" s="166"/>
      <c r="C82" s="166"/>
      <c r="D82" s="166"/>
      <c r="E82" s="166"/>
      <c r="F82" s="166"/>
      <c r="G82" s="166"/>
      <c r="H82" s="166"/>
      <c r="I82" s="166"/>
      <c r="J82" s="167"/>
    </row>
    <row r="83" spans="2:10" s="117" customFormat="1" hidden="1" outlineLevel="1">
      <c r="B83" s="166"/>
      <c r="C83" s="166"/>
      <c r="D83" s="166"/>
      <c r="E83" s="166"/>
      <c r="F83" s="166"/>
      <c r="G83" s="166"/>
      <c r="H83" s="166"/>
      <c r="I83" s="166"/>
      <c r="J83" s="167"/>
    </row>
    <row r="84" spans="2:10" s="117" customFormat="1" hidden="1" outlineLevel="1">
      <c r="B84" s="166"/>
      <c r="C84" s="166"/>
      <c r="D84" s="166"/>
      <c r="E84" s="166"/>
      <c r="F84" s="166"/>
      <c r="G84" s="166"/>
      <c r="H84" s="166"/>
      <c r="I84" s="166"/>
      <c r="J84" s="167"/>
    </row>
    <row r="85" spans="2:10" s="117" customFormat="1" hidden="1" outlineLevel="1">
      <c r="B85" s="166"/>
      <c r="C85" s="166"/>
      <c r="D85" s="166"/>
      <c r="E85" s="166"/>
      <c r="F85" s="166"/>
      <c r="G85" s="166"/>
      <c r="H85" s="166"/>
      <c r="I85" s="166"/>
      <c r="J85" s="167"/>
    </row>
    <row r="86" spans="2:10" s="117" customFormat="1" hidden="1" outlineLevel="1">
      <c r="B86" s="166"/>
      <c r="C86" s="166"/>
      <c r="D86" s="166"/>
      <c r="E86" s="166"/>
      <c r="F86" s="166"/>
      <c r="G86" s="166"/>
      <c r="H86" s="166"/>
      <c r="I86" s="166"/>
      <c r="J86" s="167"/>
    </row>
    <row r="87" spans="2:10" s="117" customFormat="1" collapsed="1">
      <c r="B87" s="525"/>
      <c r="C87" s="525"/>
      <c r="D87" s="525"/>
      <c r="E87" s="525"/>
      <c r="F87" s="525"/>
      <c r="G87" s="525"/>
      <c r="H87" s="525"/>
      <c r="I87" s="525"/>
      <c r="J87" s="525"/>
    </row>
    <row r="88" spans="2:10" s="117" customFormat="1">
      <c r="B88" s="170"/>
      <c r="C88" s="170"/>
      <c r="D88" s="170"/>
      <c r="E88" s="170"/>
      <c r="F88" s="170"/>
      <c r="G88" s="170"/>
      <c r="H88" s="170"/>
      <c r="I88" s="170"/>
      <c r="J88" s="171"/>
    </row>
    <row r="89" spans="2:10" s="117" customFormat="1">
      <c r="B89" s="170"/>
      <c r="C89" s="170"/>
      <c r="D89" s="170"/>
      <c r="E89" s="170"/>
      <c r="F89" s="170"/>
      <c r="G89" s="170"/>
      <c r="H89" s="170"/>
      <c r="I89" s="170"/>
      <c r="J89" s="171"/>
    </row>
    <row r="90" spans="2:10" s="117" customFormat="1">
      <c r="B90" s="170"/>
      <c r="C90" s="170"/>
      <c r="D90" s="170"/>
      <c r="E90" s="170"/>
      <c r="F90" s="170"/>
      <c r="G90" s="170"/>
      <c r="H90" s="170"/>
      <c r="I90" s="170"/>
      <c r="J90" s="171"/>
    </row>
    <row r="91" spans="2:10" s="117" customFormat="1">
      <c r="B91" s="170"/>
      <c r="C91" s="170"/>
      <c r="D91" s="170"/>
      <c r="E91" s="170"/>
      <c r="F91" s="170"/>
      <c r="G91" s="170"/>
      <c r="H91" s="170"/>
      <c r="I91" s="170"/>
      <c r="J91" s="171"/>
    </row>
    <row r="92" spans="2:10" s="117" customFormat="1">
      <c r="B92" s="170"/>
      <c r="C92" s="170"/>
      <c r="D92" s="170"/>
      <c r="E92" s="170"/>
      <c r="F92" s="170"/>
      <c r="G92" s="170"/>
      <c r="H92" s="170"/>
      <c r="I92" s="170"/>
      <c r="J92" s="171"/>
    </row>
    <row r="93" spans="2:10" s="525" customFormat="1"/>
    <row r="94" spans="2:10" s="525" customFormat="1"/>
    <row r="95" spans="2:10" s="117" customFormat="1">
      <c r="B95" s="173"/>
      <c r="C95" s="173"/>
      <c r="D95" s="173"/>
      <c r="E95" s="173"/>
      <c r="F95" s="95"/>
      <c r="G95" s="95"/>
      <c r="H95" s="95"/>
      <c r="I95" s="95"/>
      <c r="J95" s="181"/>
    </row>
    <row r="96" spans="2:10" s="117" customFormat="1">
      <c r="B96" s="95"/>
      <c r="C96" s="95"/>
      <c r="D96" s="95"/>
      <c r="E96" s="95"/>
      <c r="F96" s="177"/>
      <c r="G96" s="177"/>
      <c r="H96" s="177"/>
      <c r="I96" s="177"/>
      <c r="J96" s="181"/>
    </row>
    <row r="97" spans="2:10" s="117" customFormat="1">
      <c r="B97" s="95"/>
      <c r="C97" s="95"/>
      <c r="D97" s="95"/>
      <c r="E97" s="95"/>
      <c r="F97" s="95"/>
      <c r="G97" s="95"/>
      <c r="I97" s="95"/>
      <c r="J97" s="162"/>
    </row>
    <row r="98" spans="2:10" s="117" customFormat="1">
      <c r="B98" s="179"/>
      <c r="C98" s="179"/>
      <c r="D98" s="179"/>
      <c r="E98" s="179"/>
      <c r="F98" s="163"/>
      <c r="G98" s="163"/>
      <c r="H98" s="163"/>
      <c r="I98" s="163"/>
      <c r="J98" s="164"/>
    </row>
    <row r="99" spans="2:10" s="117" customFormat="1">
      <c r="B99" s="179"/>
      <c r="C99" s="179"/>
      <c r="D99" s="179"/>
      <c r="E99" s="179"/>
      <c r="F99" s="163"/>
      <c r="G99" s="163"/>
      <c r="H99" s="163"/>
      <c r="I99" s="163"/>
      <c r="J99" s="164"/>
    </row>
    <row r="100" spans="2:10" s="117" customFormat="1">
      <c r="B100" s="179"/>
      <c r="C100" s="179"/>
      <c r="D100" s="179"/>
      <c r="E100" s="179"/>
      <c r="F100" s="163"/>
      <c r="G100" s="163"/>
      <c r="H100" s="163"/>
      <c r="I100" s="163"/>
      <c r="J100" s="164"/>
    </row>
    <row r="101" spans="2:10" s="117" customFormat="1">
      <c r="B101" s="179"/>
      <c r="C101" s="179"/>
      <c r="D101" s="179"/>
      <c r="E101" s="179"/>
      <c r="F101" s="163"/>
      <c r="G101" s="163"/>
      <c r="H101" s="163"/>
      <c r="I101" s="163"/>
      <c r="J101" s="164"/>
    </row>
    <row r="102" spans="2:10" s="117" customFormat="1">
      <c r="B102" s="179"/>
      <c r="C102" s="179"/>
      <c r="D102" s="179"/>
      <c r="E102" s="179"/>
      <c r="F102" s="163"/>
      <c r="G102" s="163"/>
      <c r="H102" s="163"/>
      <c r="I102" s="163"/>
      <c r="J102" s="164"/>
    </row>
    <row r="103" spans="2:10" s="117" customFormat="1">
      <c r="B103" s="179"/>
      <c r="C103" s="179"/>
      <c r="D103" s="179"/>
      <c r="E103" s="179"/>
      <c r="F103" s="163"/>
      <c r="G103" s="163"/>
      <c r="H103" s="163"/>
      <c r="I103" s="163"/>
      <c r="J103" s="164"/>
    </row>
    <row r="104" spans="2:10" s="117" customFormat="1">
      <c r="B104" s="179"/>
      <c r="C104" s="179"/>
      <c r="D104" s="179"/>
      <c r="E104" s="179"/>
      <c r="F104" s="163"/>
      <c r="G104" s="163"/>
      <c r="H104" s="163"/>
      <c r="I104" s="163"/>
      <c r="J104" s="164"/>
    </row>
    <row r="105" spans="2:10" s="117" customFormat="1">
      <c r="B105" s="179"/>
      <c r="C105" s="179"/>
      <c r="D105" s="179"/>
      <c r="E105" s="179"/>
      <c r="F105" s="163"/>
      <c r="G105" s="163"/>
      <c r="H105" s="163"/>
      <c r="I105" s="163"/>
      <c r="J105" s="164"/>
    </row>
    <row r="106" spans="2:10" s="117" customFormat="1">
      <c r="B106" s="179"/>
      <c r="C106" s="179"/>
      <c r="D106" s="179"/>
      <c r="E106" s="179"/>
      <c r="F106" s="163"/>
      <c r="G106" s="163"/>
      <c r="H106" s="163"/>
      <c r="I106" s="163"/>
      <c r="J106" s="164"/>
    </row>
    <row r="107" spans="2:10" s="117" customFormat="1">
      <c r="B107" s="179"/>
      <c r="C107" s="179"/>
      <c r="D107" s="179"/>
      <c r="E107" s="179"/>
      <c r="F107" s="163"/>
      <c r="G107" s="163"/>
      <c r="H107" s="163"/>
      <c r="I107" s="163"/>
      <c r="J107" s="164"/>
    </row>
    <row r="108" spans="2:10" s="117" customFormat="1" hidden="1" outlineLevel="1">
      <c r="B108" s="179"/>
      <c r="C108" s="179"/>
      <c r="D108" s="179"/>
      <c r="E108" s="179"/>
      <c r="F108" s="182"/>
      <c r="G108" s="182"/>
      <c r="H108" s="182"/>
      <c r="I108" s="182"/>
      <c r="J108" s="164"/>
    </row>
    <row r="109" spans="2:10" s="117" customFormat="1" hidden="1" outlineLevel="1">
      <c r="B109" s="166"/>
      <c r="C109" s="166"/>
      <c r="D109" s="166"/>
      <c r="E109" s="166"/>
      <c r="F109" s="166"/>
      <c r="G109" s="166"/>
      <c r="H109" s="166"/>
      <c r="I109" s="166"/>
      <c r="J109" s="164"/>
    </row>
    <row r="110" spans="2:10" s="117" customFormat="1" hidden="1" outlineLevel="1">
      <c r="B110" s="166"/>
      <c r="C110" s="166"/>
      <c r="D110" s="166"/>
      <c r="E110" s="166"/>
      <c r="F110" s="166"/>
      <c r="G110" s="166"/>
      <c r="H110" s="166"/>
      <c r="I110" s="166"/>
      <c r="J110" s="164"/>
    </row>
    <row r="111" spans="2:10" s="117" customFormat="1" hidden="1" outlineLevel="1">
      <c r="B111" s="166"/>
      <c r="C111" s="166"/>
      <c r="D111" s="166"/>
      <c r="E111" s="166"/>
      <c r="F111" s="166"/>
      <c r="G111" s="166"/>
      <c r="H111" s="166"/>
      <c r="I111" s="166"/>
      <c r="J111" s="164"/>
    </row>
    <row r="112" spans="2:10" s="117" customFormat="1" hidden="1" outlineLevel="1">
      <c r="B112" s="166"/>
      <c r="C112" s="166"/>
      <c r="D112" s="166"/>
      <c r="E112" s="166"/>
      <c r="F112" s="166"/>
      <c r="G112" s="166"/>
      <c r="H112" s="166"/>
      <c r="I112" s="166"/>
      <c r="J112" s="164"/>
    </row>
    <row r="113" spans="1:10" s="117" customFormat="1" hidden="1" outlineLevel="1">
      <c r="B113" s="166"/>
      <c r="C113" s="166"/>
      <c r="D113" s="166"/>
      <c r="E113" s="166"/>
      <c r="F113" s="166"/>
      <c r="G113" s="166"/>
      <c r="H113" s="166"/>
      <c r="I113" s="166"/>
      <c r="J113" s="164"/>
    </row>
    <row r="114" spans="1:10" s="117" customFormat="1" hidden="1" outlineLevel="1">
      <c r="A114" s="95"/>
      <c r="B114" s="185"/>
      <c r="C114" s="185"/>
      <c r="D114" s="185"/>
      <c r="E114" s="185"/>
      <c r="F114" s="185"/>
      <c r="G114" s="185"/>
      <c r="H114" s="185"/>
      <c r="I114" s="185"/>
      <c r="J114" s="156"/>
    </row>
    <row r="115" spans="1:10" s="117" customFormat="1" hidden="1" outlineLevel="1">
      <c r="B115" s="157"/>
      <c r="C115" s="157"/>
      <c r="D115" s="157"/>
      <c r="E115" s="157"/>
      <c r="F115" s="95"/>
      <c r="G115" s="95"/>
      <c r="H115" s="95"/>
      <c r="I115" s="95"/>
      <c r="J115" s="162"/>
    </row>
    <row r="116" spans="1:10" s="117" customFormat="1" hidden="1" outlineLevel="1">
      <c r="B116" s="95"/>
      <c r="C116" s="95"/>
      <c r="D116" s="95"/>
      <c r="E116" s="95"/>
      <c r="F116" s="159"/>
      <c r="G116" s="159"/>
      <c r="H116" s="159"/>
      <c r="I116" s="159"/>
      <c r="J116" s="162"/>
    </row>
    <row r="117" spans="1:10" s="117" customFormat="1" hidden="1" outlineLevel="1">
      <c r="B117" s="95"/>
      <c r="C117" s="95"/>
      <c r="D117" s="95"/>
      <c r="E117" s="95"/>
      <c r="F117" s="95"/>
      <c r="G117" s="95"/>
      <c r="I117" s="95"/>
      <c r="J117" s="162"/>
    </row>
    <row r="118" spans="1:10" s="117" customFormat="1" collapsed="1">
      <c r="B118" s="179"/>
      <c r="C118" s="179"/>
      <c r="D118" s="179"/>
      <c r="E118" s="179"/>
      <c r="F118" s="163"/>
      <c r="G118" s="163"/>
      <c r="H118" s="163"/>
      <c r="I118" s="163"/>
      <c r="J118" s="162"/>
    </row>
    <row r="119" spans="1:10" s="117" customFormat="1">
      <c r="B119" s="179"/>
      <c r="C119" s="179"/>
      <c r="D119" s="179"/>
      <c r="E119" s="179"/>
      <c r="F119" s="163"/>
      <c r="G119" s="163"/>
      <c r="H119" s="163"/>
      <c r="I119" s="163"/>
      <c r="J119" s="162"/>
    </row>
    <row r="120" spans="1:10" s="117" customFormat="1">
      <c r="B120" s="179"/>
      <c r="C120" s="179"/>
      <c r="D120" s="179"/>
      <c r="E120" s="179"/>
      <c r="F120" s="163"/>
      <c r="G120" s="163"/>
      <c r="H120" s="163"/>
      <c r="I120" s="163"/>
      <c r="J120" s="162"/>
    </row>
    <row r="121" spans="1:10" s="117" customFormat="1" hidden="1" outlineLevel="1">
      <c r="B121" s="179"/>
      <c r="C121" s="179"/>
      <c r="D121" s="179"/>
      <c r="E121" s="179"/>
      <c r="F121" s="163"/>
      <c r="G121" s="163"/>
      <c r="H121" s="163"/>
      <c r="I121" s="163"/>
      <c r="J121" s="162"/>
    </row>
    <row r="122" spans="1:10" s="117" customFormat="1" hidden="1" outlineLevel="1">
      <c r="B122" s="179"/>
      <c r="C122" s="179"/>
      <c r="D122" s="179"/>
      <c r="E122" s="179"/>
      <c r="F122" s="163"/>
      <c r="G122" s="163"/>
      <c r="H122" s="163"/>
      <c r="I122" s="163"/>
      <c r="J122" s="162"/>
    </row>
    <row r="123" spans="1:10" s="117" customFormat="1" hidden="1" outlineLevel="1">
      <c r="B123" s="179"/>
      <c r="C123" s="179"/>
      <c r="D123" s="179"/>
      <c r="E123" s="179"/>
      <c r="F123" s="163"/>
      <c r="G123" s="163"/>
      <c r="H123" s="163"/>
      <c r="I123" s="163"/>
      <c r="J123" s="162"/>
    </row>
    <row r="124" spans="1:10" s="117" customFormat="1" hidden="1" outlineLevel="1">
      <c r="B124" s="179"/>
      <c r="C124" s="179"/>
      <c r="D124" s="179"/>
      <c r="E124" s="179"/>
      <c r="F124" s="163"/>
      <c r="G124" s="163"/>
      <c r="H124" s="163"/>
      <c r="I124" s="163"/>
      <c r="J124" s="162"/>
    </row>
    <row r="125" spans="1:10" s="117" customFormat="1" hidden="1" outlineLevel="1">
      <c r="B125" s="179"/>
      <c r="C125" s="179"/>
      <c r="D125" s="179"/>
      <c r="E125" s="179"/>
      <c r="F125" s="163"/>
      <c r="G125" s="163"/>
      <c r="H125" s="163"/>
      <c r="I125" s="163"/>
      <c r="J125" s="162"/>
    </row>
    <row r="126" spans="1:10" s="117" customFormat="1" hidden="1" outlineLevel="1">
      <c r="B126" s="179"/>
      <c r="C126" s="179"/>
      <c r="D126" s="179"/>
      <c r="E126" s="179"/>
      <c r="F126" s="163"/>
      <c r="G126" s="163"/>
      <c r="H126" s="163"/>
      <c r="I126" s="163"/>
      <c r="J126" s="162"/>
    </row>
    <row r="127" spans="1:10" s="117" customFormat="1" hidden="1" outlineLevel="1">
      <c r="B127" s="179"/>
      <c r="C127" s="179"/>
      <c r="D127" s="179"/>
      <c r="E127" s="179"/>
      <c r="F127" s="163"/>
      <c r="G127" s="163"/>
      <c r="H127" s="163"/>
      <c r="I127" s="163"/>
      <c r="J127" s="162"/>
    </row>
    <row r="128" spans="1:10" s="117" customFormat="1" hidden="1" outlineLevel="1">
      <c r="B128" s="179"/>
      <c r="C128" s="179"/>
      <c r="D128" s="179"/>
      <c r="E128" s="179"/>
      <c r="F128" s="182"/>
      <c r="G128" s="182"/>
      <c r="H128" s="182"/>
      <c r="I128" s="182"/>
      <c r="J128" s="164"/>
    </row>
    <row r="129" spans="1:10" s="117" customFormat="1" hidden="1" outlineLevel="1">
      <c r="B129" s="166"/>
      <c r="C129" s="166"/>
      <c r="D129" s="166"/>
      <c r="E129" s="166"/>
      <c r="F129" s="166"/>
      <c r="G129" s="166"/>
      <c r="H129" s="166"/>
      <c r="I129" s="166"/>
      <c r="J129" s="164"/>
    </row>
    <row r="130" spans="1:10" s="117" customFormat="1" hidden="1" outlineLevel="1">
      <c r="B130" s="166"/>
      <c r="C130" s="166"/>
      <c r="D130" s="166"/>
      <c r="E130" s="166"/>
      <c r="F130" s="166"/>
      <c r="G130" s="166"/>
      <c r="H130" s="166"/>
      <c r="I130" s="166"/>
      <c r="J130" s="164"/>
    </row>
    <row r="131" spans="1:10" s="117" customFormat="1" hidden="1" outlineLevel="1">
      <c r="B131" s="166"/>
      <c r="C131" s="166"/>
      <c r="D131" s="166"/>
      <c r="E131" s="166"/>
      <c r="F131" s="166"/>
      <c r="G131" s="166"/>
      <c r="H131" s="166"/>
      <c r="I131" s="166"/>
      <c r="J131" s="164"/>
    </row>
    <row r="132" spans="1:10" s="117" customFormat="1" hidden="1" outlineLevel="1">
      <c r="B132" s="166"/>
      <c r="C132" s="166"/>
      <c r="D132" s="166"/>
      <c r="E132" s="166"/>
      <c r="F132" s="166"/>
      <c r="G132" s="166"/>
      <c r="H132" s="166"/>
      <c r="I132" s="166"/>
      <c r="J132" s="164"/>
    </row>
    <row r="133" spans="1:10" s="117" customFormat="1" hidden="1" outlineLevel="1">
      <c r="B133" s="166"/>
      <c r="C133" s="166"/>
      <c r="D133" s="166"/>
      <c r="E133" s="166"/>
      <c r="F133" s="166"/>
      <c r="G133" s="166"/>
      <c r="H133" s="166"/>
      <c r="I133" s="166"/>
      <c r="J133" s="164"/>
    </row>
    <row r="134" spans="1:10" s="117" customFormat="1" collapsed="1">
      <c r="A134" s="95"/>
      <c r="B134" s="187"/>
      <c r="C134" s="187"/>
      <c r="D134" s="187"/>
      <c r="E134" s="187"/>
      <c r="F134" s="116"/>
      <c r="G134" s="116"/>
      <c r="H134" s="116"/>
      <c r="I134" s="116"/>
      <c r="J134" s="156"/>
    </row>
    <row r="135" spans="1:10" s="117" customFormat="1">
      <c r="A135" s="95"/>
      <c r="B135" s="170"/>
      <c r="C135" s="170"/>
      <c r="D135" s="170"/>
      <c r="E135" s="170"/>
      <c r="F135" s="170"/>
      <c r="G135" s="170"/>
      <c r="H135" s="170"/>
      <c r="I135" s="170"/>
    </row>
    <row r="136" spans="1:10" s="117" customFormat="1">
      <c r="A136" s="95"/>
      <c r="B136" s="170"/>
      <c r="C136" s="170"/>
      <c r="D136" s="170"/>
      <c r="E136" s="170"/>
      <c r="F136" s="170"/>
      <c r="G136" s="170"/>
      <c r="H136" s="170"/>
      <c r="I136" s="170"/>
    </row>
    <row r="137" spans="1:10" s="117" customFormat="1">
      <c r="A137" s="95"/>
      <c r="B137" s="170"/>
      <c r="C137" s="170"/>
      <c r="D137" s="170"/>
      <c r="E137" s="170"/>
      <c r="F137" s="170"/>
      <c r="G137" s="170"/>
      <c r="H137" s="170"/>
      <c r="I137" s="170"/>
    </row>
    <row r="138" spans="1:10" s="117" customFormat="1">
      <c r="A138" s="95"/>
      <c r="B138" s="170"/>
      <c r="C138" s="170"/>
      <c r="D138" s="170"/>
      <c r="E138" s="170"/>
      <c r="F138" s="170"/>
      <c r="G138" s="170"/>
      <c r="H138" s="170"/>
      <c r="I138" s="170"/>
    </row>
    <row r="139" spans="1:10" s="117" customFormat="1">
      <c r="A139" s="95"/>
      <c r="B139" s="170"/>
      <c r="C139" s="170"/>
      <c r="D139" s="170"/>
      <c r="E139" s="170"/>
      <c r="F139" s="170"/>
      <c r="G139" s="170"/>
      <c r="H139" s="170"/>
      <c r="I139" s="170"/>
    </row>
    <row r="140" spans="1:10" s="525" customFormat="1"/>
    <row r="141" spans="1:10" s="117" customFormat="1">
      <c r="B141" s="188"/>
      <c r="C141" s="188"/>
      <c r="D141" s="188"/>
      <c r="E141" s="188"/>
      <c r="F141" s="116"/>
      <c r="G141" s="116"/>
      <c r="H141" s="116"/>
      <c r="I141" s="116"/>
      <c r="J141" s="189"/>
    </row>
    <row r="142" spans="1:10" s="117" customFormat="1">
      <c r="B142" s="185"/>
      <c r="C142" s="185"/>
      <c r="D142" s="185"/>
      <c r="E142" s="185"/>
      <c r="F142" s="190"/>
      <c r="G142" s="190"/>
      <c r="H142" s="190"/>
      <c r="I142" s="190"/>
      <c r="J142" s="191"/>
    </row>
    <row r="143" spans="1:10" s="117" customFormat="1">
      <c r="B143" s="192"/>
      <c r="C143" s="192"/>
      <c r="D143" s="192"/>
      <c r="E143" s="192"/>
      <c r="F143" s="192"/>
      <c r="G143" s="192"/>
      <c r="H143" s="192"/>
      <c r="I143" s="192"/>
      <c r="J143" s="192"/>
    </row>
    <row r="144" spans="1:10" s="117" customFormat="1">
      <c r="B144" s="118"/>
      <c r="C144" s="118"/>
      <c r="D144" s="118"/>
      <c r="E144" s="118"/>
      <c r="F144" s="193"/>
      <c r="G144" s="193"/>
      <c r="H144" s="193"/>
      <c r="I144" s="193"/>
      <c r="J144" s="192"/>
    </row>
    <row r="145" spans="1:10" s="117" customFormat="1">
      <c r="A145" s="95"/>
      <c r="J145" s="192"/>
    </row>
    <row r="146" spans="1:10" s="117" customFormat="1"/>
    <row r="147" spans="1:10" s="117" customFormat="1">
      <c r="B147" s="196"/>
      <c r="C147" s="196"/>
      <c r="D147" s="196"/>
      <c r="E147" s="196"/>
    </row>
    <row r="148" spans="1:10" s="117" customFormat="1">
      <c r="F148" s="197"/>
      <c r="G148" s="197"/>
      <c r="H148" s="197"/>
    </row>
    <row r="149" spans="1:10" s="117" customFormat="1">
      <c r="F149" s="197"/>
      <c r="G149" s="197"/>
      <c r="H149" s="197"/>
    </row>
    <row r="150" spans="1:10" s="117" customFormat="1">
      <c r="F150" s="197"/>
      <c r="G150" s="197"/>
      <c r="H150" s="197"/>
    </row>
    <row r="151" spans="1:10" s="117" customFormat="1">
      <c r="F151" s="197"/>
      <c r="G151" s="197"/>
      <c r="H151" s="197"/>
    </row>
    <row r="152" spans="1:10" s="117" customFormat="1">
      <c r="F152" s="197"/>
      <c r="G152" s="197"/>
      <c r="H152" s="197"/>
    </row>
    <row r="153" spans="1:10" s="117" customFormat="1">
      <c r="F153" s="197"/>
      <c r="G153" s="197"/>
      <c r="H153" s="197"/>
    </row>
    <row r="154" spans="1:10" s="117" customFormat="1">
      <c r="B154" s="185"/>
      <c r="C154" s="185"/>
      <c r="D154" s="185"/>
      <c r="E154" s="185"/>
    </row>
    <row r="155" spans="1:10" s="117" customFormat="1">
      <c r="B155" s="185"/>
      <c r="C155" s="185"/>
      <c r="D155" s="185"/>
      <c r="E155" s="185"/>
    </row>
    <row r="156" spans="1:10" s="117" customFormat="1"/>
    <row r="157" spans="1:10" s="117" customFormat="1"/>
    <row r="158" spans="1:10" s="117" customFormat="1"/>
    <row r="159" spans="1:10" s="117" customFormat="1"/>
    <row r="160" spans="1:10" ht="15">
      <c r="B160" s="198"/>
      <c r="C160" s="198"/>
      <c r="D160" s="198"/>
      <c r="E160" s="198"/>
      <c r="F160" s="198"/>
      <c r="G160" s="198"/>
      <c r="H160" s="198"/>
      <c r="I160" s="198"/>
      <c r="J160" s="198"/>
    </row>
    <row r="161" spans="2:10" ht="15">
      <c r="B161" s="198"/>
      <c r="C161" s="198"/>
      <c r="D161" s="198"/>
      <c r="E161" s="198"/>
      <c r="F161" s="198"/>
      <c r="G161" s="198"/>
      <c r="H161" s="198"/>
      <c r="I161" s="198"/>
      <c r="J161" s="198"/>
    </row>
    <row r="162" spans="2:10" ht="15">
      <c r="B162" s="198"/>
      <c r="C162" s="198"/>
      <c r="D162" s="198"/>
      <c r="E162" s="198"/>
      <c r="F162" s="198"/>
      <c r="G162" s="198"/>
      <c r="H162" s="198"/>
      <c r="I162" s="198"/>
      <c r="J162" s="198"/>
    </row>
  </sheetData>
  <mergeCells count="5">
    <mergeCell ref="C40:I40"/>
    <mergeCell ref="C41:I41"/>
    <mergeCell ref="C43:I43"/>
    <mergeCell ref="C39:I39"/>
    <mergeCell ref="C42:I42"/>
  </mergeCells>
  <conditionalFormatting sqref="I3 I142 B142:G142 F2:G4">
    <cfRule type="cellIs" dxfId="6" priority="7" stopIfTrue="1" operator="equal">
      <formula>"input"</formula>
    </cfRule>
  </conditionalFormatting>
  <conditionalFormatting sqref="D4:E4">
    <cfRule type="cellIs" dxfId="5" priority="6" stopIfTrue="1" operator="equal">
      <formula>"input"</formula>
    </cfRule>
  </conditionalFormatting>
  <conditionalFormatting sqref="I2">
    <cfRule type="cellIs" dxfId="4" priority="5" stopIfTrue="1" operator="equal">
      <formula>"input"</formula>
    </cfRule>
  </conditionalFormatting>
  <conditionalFormatting sqref="C4">
    <cfRule type="cellIs" dxfId="3" priority="4" stopIfTrue="1" operator="equal">
      <formula>"input"</formula>
    </cfRule>
  </conditionalFormatting>
  <conditionalFormatting sqref="B4">
    <cfRule type="cellIs" dxfId="2" priority="3" stopIfTrue="1" operator="equal">
      <formula>"input"</formula>
    </cfRule>
  </conditionalFormatting>
  <conditionalFormatting sqref="I4">
    <cfRule type="cellIs" dxfId="1" priority="2" stopIfTrue="1" operator="equal">
      <formula>"input"</formula>
    </cfRule>
  </conditionalFormatting>
  <conditionalFormatting sqref="H142 H2:H4">
    <cfRule type="cellIs" dxfId="0" priority="1" stopIfTrue="1" operator="equal">
      <formula>"input"</formula>
    </cfRule>
  </conditionalFormatting>
  <printOptions horizontalCentered="1"/>
  <pageMargins left="0.7" right="0.7" top="0.75" bottom="0.75" header="0.3" footer="0.3"/>
  <pageSetup scale="85" fitToWidth="0" fitToHeight="0" orientation="landscape" r:id="rId1"/>
  <headerFooter alignWithMargins="0"/>
  <rowBreaks count="2" manualBreakCount="2">
    <brk id="46" max="15" man="1"/>
    <brk id="93" max="15" man="1"/>
  </rowBreaks>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X25"/>
  <sheetViews>
    <sheetView workbookViewId="0"/>
  </sheetViews>
  <sheetFormatPr defaultColWidth="8.7109375" defaultRowHeight="15"/>
  <cols>
    <col min="1" max="1" width="1.42578125" style="22" customWidth="1"/>
    <col min="2" max="2" width="3.28515625" style="22" customWidth="1"/>
    <col min="3" max="3" width="4" style="22" customWidth="1"/>
    <col min="4" max="4" width="14.7109375" style="22" customWidth="1"/>
    <col min="5" max="5" width="9.7109375" style="22" customWidth="1"/>
    <col min="6" max="12" width="10" style="22" customWidth="1"/>
    <col min="13" max="13" width="5.28515625" style="22" customWidth="1"/>
    <col min="14" max="14" width="11.28515625" style="22" bestFit="1" customWidth="1"/>
    <col min="15" max="15" width="8.7109375" style="22"/>
    <col min="16" max="16" width="2.42578125" style="22" customWidth="1"/>
    <col min="17" max="16384" width="8.7109375" style="22"/>
  </cols>
  <sheetData>
    <row r="1" spans="1:24" ht="6.4" customHeight="1" thickBot="1">
      <c r="A1" s="18"/>
      <c r="B1" s="19"/>
      <c r="C1" s="19"/>
      <c r="D1" s="1"/>
      <c r="E1" s="1"/>
      <c r="F1" s="19"/>
      <c r="G1" s="19"/>
      <c r="H1" s="19"/>
      <c r="I1" s="20"/>
      <c r="J1" s="19"/>
      <c r="K1" s="19"/>
      <c r="L1" s="19"/>
      <c r="M1" s="21"/>
      <c r="N1" s="21"/>
      <c r="O1" s="21"/>
    </row>
    <row r="2" spans="1:24" ht="18.75" thickTop="1">
      <c r="A2" s="18"/>
      <c r="B2" s="2" t="str">
        <f>Outline!B2</f>
        <v>Satellite Healthcare WB Santa Cruz Valuation</v>
      </c>
      <c r="C2" s="2"/>
      <c r="D2" s="23"/>
      <c r="E2" s="23"/>
      <c r="F2" s="23"/>
      <c r="G2" s="23"/>
      <c r="H2" s="23"/>
      <c r="I2" s="24"/>
      <c r="J2" s="23"/>
      <c r="K2" s="23"/>
      <c r="L2" s="3">
        <f>$A3</f>
        <v>0</v>
      </c>
      <c r="M2" s="21"/>
      <c r="N2" s="21"/>
      <c r="O2" s="21"/>
    </row>
    <row r="3" spans="1:24" ht="18">
      <c r="A3" s="25">
        <f>Outline!B13</f>
        <v>0</v>
      </c>
      <c r="B3" s="4" t="str">
        <f>Outline!$C$13</f>
        <v>Exhibit B3</v>
      </c>
      <c r="C3" s="4"/>
      <c r="D3" s="26"/>
      <c r="E3" s="26"/>
      <c r="F3" s="26"/>
      <c r="G3" s="26"/>
      <c r="H3" s="26"/>
      <c r="I3" s="27"/>
      <c r="J3" s="26"/>
      <c r="K3" s="26"/>
      <c r="L3" s="26"/>
      <c r="M3" s="21"/>
      <c r="N3" s="21"/>
      <c r="O3" s="21"/>
    </row>
    <row r="4" spans="1:24" ht="18.75" thickBot="1">
      <c r="A4" s="18"/>
      <c r="B4" s="5" t="s">
        <v>41</v>
      </c>
      <c r="C4" s="5"/>
      <c r="D4" s="28"/>
      <c r="E4" s="28"/>
      <c r="F4" s="28"/>
      <c r="G4" s="28"/>
      <c r="H4" s="28"/>
      <c r="I4" s="29"/>
      <c r="J4" s="28"/>
      <c r="K4" s="28"/>
      <c r="L4" s="6" t="s">
        <v>10</v>
      </c>
      <c r="M4" s="21"/>
      <c r="N4" s="21"/>
      <c r="O4" s="21"/>
    </row>
    <row r="5" spans="1:24" ht="18" thickTop="1">
      <c r="K5" s="21"/>
      <c r="M5" s="21"/>
      <c r="N5" s="21"/>
      <c r="O5" s="21"/>
    </row>
    <row r="6" spans="1:24" s="21" customFormat="1" ht="17.25">
      <c r="F6" s="39"/>
      <c r="G6" s="21" t="s">
        <v>4</v>
      </c>
      <c r="H6" s="21" t="s">
        <v>5</v>
      </c>
      <c r="I6" s="21" t="s">
        <v>6</v>
      </c>
      <c r="J6" s="21" t="s">
        <v>7</v>
      </c>
      <c r="K6" s="21" t="s">
        <v>8</v>
      </c>
      <c r="L6" s="21" t="s">
        <v>9</v>
      </c>
    </row>
    <row r="7" spans="1:24" s="21" customFormat="1" ht="17.25">
      <c r="B7" s="22" t="s">
        <v>43</v>
      </c>
      <c r="F7" s="39"/>
    </row>
    <row r="8" spans="1:24" ht="17.25">
      <c r="C8" s="22" t="s">
        <v>37</v>
      </c>
      <c r="F8" s="39"/>
      <c r="G8" s="75">
        <v>10</v>
      </c>
      <c r="H8" s="39">
        <f>G8</f>
        <v>10</v>
      </c>
      <c r="I8" s="39">
        <f>H8</f>
        <v>10</v>
      </c>
      <c r="J8" s="39">
        <f>I8</f>
        <v>10</v>
      </c>
      <c r="K8" s="39">
        <f>J8</f>
        <v>10</v>
      </c>
      <c r="L8" s="39">
        <f>K8</f>
        <v>10</v>
      </c>
      <c r="N8" s="21"/>
      <c r="O8" s="21"/>
      <c r="P8" s="21"/>
      <c r="Q8" s="21"/>
      <c r="R8" s="21"/>
      <c r="S8" s="21"/>
      <c r="T8" s="21"/>
      <c r="U8" s="21"/>
      <c r="V8" s="21"/>
      <c r="W8" s="21"/>
      <c r="X8" s="32"/>
    </row>
    <row r="9" spans="1:24" ht="17.25">
      <c r="C9" s="22" t="s">
        <v>42</v>
      </c>
      <c r="F9" s="39"/>
      <c r="G9" s="76">
        <v>0.2</v>
      </c>
      <c r="H9" s="76">
        <v>0.5</v>
      </c>
      <c r="I9" s="76">
        <v>1</v>
      </c>
      <c r="J9" s="76">
        <v>1</v>
      </c>
      <c r="K9" s="76">
        <v>1</v>
      </c>
      <c r="L9" s="76">
        <v>1</v>
      </c>
      <c r="N9" s="21"/>
      <c r="O9" s="21"/>
      <c r="P9" s="21"/>
      <c r="Q9" s="21"/>
      <c r="R9" s="21"/>
      <c r="S9" s="21"/>
      <c r="T9" s="21"/>
      <c r="U9" s="21"/>
      <c r="V9" s="21"/>
      <c r="W9" s="21"/>
      <c r="X9" s="32"/>
    </row>
    <row r="10" spans="1:24" ht="17.25">
      <c r="C10" s="22" t="s">
        <v>38</v>
      </c>
      <c r="F10" s="39"/>
      <c r="G10" s="39">
        <f t="shared" ref="G10:L10" si="0">G8*G9</f>
        <v>2</v>
      </c>
      <c r="H10" s="39">
        <f t="shared" si="0"/>
        <v>5</v>
      </c>
      <c r="I10" s="39">
        <f t="shared" si="0"/>
        <v>10</v>
      </c>
      <c r="J10" s="39">
        <f t="shared" si="0"/>
        <v>10</v>
      </c>
      <c r="K10" s="39">
        <f t="shared" si="0"/>
        <v>10</v>
      </c>
      <c r="L10" s="39">
        <f t="shared" si="0"/>
        <v>10</v>
      </c>
      <c r="N10" s="21"/>
      <c r="O10" s="21"/>
      <c r="P10" s="21"/>
      <c r="Q10" s="21"/>
      <c r="R10" s="21"/>
      <c r="S10" s="21"/>
      <c r="T10" s="21"/>
      <c r="U10" s="21"/>
      <c r="V10" s="21"/>
      <c r="W10" s="21"/>
      <c r="X10" s="32"/>
    </row>
    <row r="11" spans="1:24" ht="17.25">
      <c r="C11" s="22" t="s">
        <v>39</v>
      </c>
      <c r="F11" s="39"/>
      <c r="G11" s="39" t="e">
        <f>#REF!</f>
        <v>#REF!</v>
      </c>
      <c r="H11" s="39" t="e">
        <f>#REF!</f>
        <v>#REF!</v>
      </c>
      <c r="I11" s="39" t="e">
        <f>#REF!</f>
        <v>#REF!</v>
      </c>
      <c r="J11" s="39" t="e">
        <f>#REF!</f>
        <v>#REF!</v>
      </c>
      <c r="K11" s="39" t="e">
        <f>#REF!</f>
        <v>#REF!</v>
      </c>
      <c r="L11" s="39" t="e">
        <f>#REF!</f>
        <v>#REF!</v>
      </c>
      <c r="N11" s="21"/>
      <c r="O11" s="21"/>
      <c r="P11" s="21"/>
      <c r="Q11" s="21"/>
      <c r="R11" s="21"/>
      <c r="S11" s="21"/>
      <c r="T11" s="21"/>
      <c r="U11" s="21"/>
      <c r="V11" s="21"/>
      <c r="W11" s="21"/>
      <c r="X11" s="32"/>
    </row>
    <row r="13" spans="1:24" ht="15.75" thickBot="1">
      <c r="C13" s="31" t="s">
        <v>40</v>
      </c>
      <c r="D13" s="31"/>
      <c r="E13" s="31"/>
      <c r="F13" s="31"/>
      <c r="G13" s="40" t="e">
        <f t="shared" ref="G13:L13" si="1">G10*G11/1000</f>
        <v>#REF!</v>
      </c>
      <c r="H13" s="40" t="e">
        <f t="shared" si="1"/>
        <v>#REF!</v>
      </c>
      <c r="I13" s="40" t="e">
        <f t="shared" si="1"/>
        <v>#REF!</v>
      </c>
      <c r="J13" s="40" t="e">
        <f t="shared" si="1"/>
        <v>#REF!</v>
      </c>
      <c r="K13" s="40" t="e">
        <f t="shared" si="1"/>
        <v>#REF!</v>
      </c>
      <c r="L13" s="40" t="e">
        <f t="shared" si="1"/>
        <v>#REF!</v>
      </c>
      <c r="N13" s="22" t="e">
        <f>K13*(1+#REF!)</f>
        <v>#REF!</v>
      </c>
    </row>
    <row r="14" spans="1:24" ht="15.75" thickTop="1"/>
    <row r="16" spans="1:24">
      <c r="B16" s="22" t="s">
        <v>24</v>
      </c>
    </row>
    <row r="17" spans="3:12">
      <c r="C17" s="22" t="s">
        <v>25</v>
      </c>
      <c r="G17" s="22">
        <v>0.5</v>
      </c>
      <c r="H17" s="22">
        <f>G17+1</f>
        <v>1.5</v>
      </c>
      <c r="I17" s="22">
        <f>H17+1</f>
        <v>2.5</v>
      </c>
      <c r="J17" s="22">
        <f>I17+1</f>
        <v>3.5</v>
      </c>
      <c r="K17" s="22">
        <f>J17+1</f>
        <v>4.5</v>
      </c>
      <c r="L17" s="22">
        <f>K17</f>
        <v>4.5</v>
      </c>
    </row>
    <row r="18" spans="3:12">
      <c r="C18" s="22" t="s">
        <v>26</v>
      </c>
      <c r="E18" s="41" t="e">
        <f>#REF!</f>
        <v>#REF!</v>
      </c>
      <c r="G18" s="42" t="e">
        <f t="shared" ref="G18:L18" si="2">1/(1+$E18)^G$17</f>
        <v>#REF!</v>
      </c>
      <c r="H18" s="42" t="e">
        <f t="shared" si="2"/>
        <v>#REF!</v>
      </c>
      <c r="I18" s="42" t="e">
        <f t="shared" si="2"/>
        <v>#REF!</v>
      </c>
      <c r="J18" s="42" t="e">
        <f t="shared" si="2"/>
        <v>#REF!</v>
      </c>
      <c r="K18" s="42" t="e">
        <f t="shared" si="2"/>
        <v>#REF!</v>
      </c>
      <c r="L18" s="42" t="e">
        <f t="shared" si="2"/>
        <v>#REF!</v>
      </c>
    </row>
    <row r="19" spans="3:12">
      <c r="C19" s="22" t="s">
        <v>27</v>
      </c>
      <c r="G19" s="39" t="e">
        <f>G13*G18</f>
        <v>#REF!</v>
      </c>
      <c r="H19" s="39" t="e">
        <f>H13*H18</f>
        <v>#REF!</v>
      </c>
      <c r="I19" s="39" t="e">
        <f>I13*I18</f>
        <v>#REF!</v>
      </c>
      <c r="J19" s="39" t="e">
        <f>J13*J18</f>
        <v>#REF!</v>
      </c>
      <c r="K19" s="39" t="e">
        <f>K13*K18</f>
        <v>#REF!</v>
      </c>
    </row>
    <row r="22" spans="3:12" s="44" customFormat="1" ht="16.5">
      <c r="C22" s="45" t="s">
        <v>28</v>
      </c>
      <c r="D22" s="45"/>
      <c r="E22" s="45"/>
      <c r="G22" s="46" t="s">
        <v>32</v>
      </c>
      <c r="H22" s="47"/>
      <c r="I22" s="48"/>
    </row>
    <row r="23" spans="3:12">
      <c r="C23" s="43" t="s">
        <v>29</v>
      </c>
      <c r="E23" s="30" t="e">
        <f>L13</f>
        <v>#REF!</v>
      </c>
      <c r="G23" s="49" t="s">
        <v>34</v>
      </c>
      <c r="H23" s="50"/>
      <c r="I23" s="51" t="e">
        <f>SUM(G19:K19)</f>
        <v>#REF!</v>
      </c>
    </row>
    <row r="24" spans="3:12" ht="17.25">
      <c r="C24" s="43" t="s">
        <v>30</v>
      </c>
      <c r="E24" s="30" t="e">
        <f>E23*(1+#REF!)/(E18-#REF!)</f>
        <v>#REF!</v>
      </c>
      <c r="G24" s="49" t="s">
        <v>33</v>
      </c>
      <c r="H24" s="50"/>
      <c r="I24" s="52" t="e">
        <f>E25</f>
        <v>#REF!</v>
      </c>
    </row>
    <row r="25" spans="3:12">
      <c r="C25" s="43" t="s">
        <v>31</v>
      </c>
      <c r="E25" s="30" t="e">
        <f>E24*L18</f>
        <v>#REF!</v>
      </c>
      <c r="G25" s="53" t="s">
        <v>35</v>
      </c>
      <c r="H25" s="54"/>
      <c r="I25" s="55" t="e">
        <f>I23+I24</f>
        <v>#REF!</v>
      </c>
    </row>
  </sheetData>
  <printOptions horizontalCentered="1"/>
  <pageMargins left="0.7" right="0.7" top="0.75" bottom="0.75" header="0.3" footer="0.3"/>
  <pageSetup scale="87"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37</vt:i4>
      </vt:variant>
    </vt:vector>
  </HeadingPairs>
  <TitlesOfParts>
    <vt:vector size="63" baseType="lpstr">
      <vt:lpstr>Title</vt:lpstr>
      <vt:lpstr>Outline</vt:lpstr>
      <vt:lpstr>A1</vt:lpstr>
      <vt:lpstr>C1</vt:lpstr>
      <vt:lpstr>C2</vt:lpstr>
      <vt:lpstr>C3</vt:lpstr>
      <vt:lpstr>E1</vt:lpstr>
      <vt:lpstr>E2</vt:lpstr>
      <vt:lpstr>E3</vt:lpstr>
      <vt:lpstr>F1</vt:lpstr>
      <vt:lpstr>F2</vt:lpstr>
      <vt:lpstr>F3</vt:lpstr>
      <vt:lpstr>BackgroundInfo&gt;&gt;&gt;</vt:lpstr>
      <vt:lpstr>WACC CAPM</vt:lpstr>
      <vt:lpstr>Beta Calc</vt:lpstr>
      <vt:lpstr>WACC</vt:lpstr>
      <vt:lpstr>Trends for Comparables_Historic</vt:lpstr>
      <vt:lpstr>Trends for Comparables_Forecast</vt:lpstr>
      <vt:lpstr>Trends for M&amp;A Targets</vt:lpstr>
      <vt:lpstr>Do not include&gt;&gt;&gt;</vt:lpstr>
      <vt:lpstr>Historical Actuals</vt:lpstr>
      <vt:lpstr>2019 FY Budget</vt:lpstr>
      <vt:lpstr>YTD 2018 Budget</vt:lpstr>
      <vt:lpstr>FA INV LIST</vt:lpstr>
      <vt:lpstr>D1</vt:lpstr>
      <vt:lpstr>C2notUsed</vt:lpstr>
      <vt:lpstr>'A1'!Print_Area</vt:lpstr>
      <vt:lpstr>'Beta Calc'!Print_Area</vt:lpstr>
      <vt:lpstr>'C1'!Print_Area</vt:lpstr>
      <vt:lpstr>'C2'!Print_Area</vt:lpstr>
      <vt:lpstr>'C2notUsed'!Print_Area</vt:lpstr>
      <vt:lpstr>'C3'!Print_Area</vt:lpstr>
      <vt:lpstr>'D1'!Print_Area</vt:lpstr>
      <vt:lpstr>'E1'!Print_Area</vt:lpstr>
      <vt:lpstr>'E2'!Print_Area</vt:lpstr>
      <vt:lpstr>'E3'!Print_Area</vt:lpstr>
      <vt:lpstr>'F1'!Print_Area</vt:lpstr>
      <vt:lpstr>'F2'!Print_Area</vt:lpstr>
      <vt:lpstr>'F3'!Print_Area</vt:lpstr>
      <vt:lpstr>Outline!Print_Area</vt:lpstr>
      <vt:lpstr>Title!Print_Area</vt:lpstr>
      <vt:lpstr>'Trends for Comparables_Forecast'!Print_Area</vt:lpstr>
      <vt:lpstr>'Trends for Comparables_Historic'!Print_Area</vt:lpstr>
      <vt:lpstr>'Trends for M&amp;A Targets'!Print_Area</vt:lpstr>
      <vt:lpstr>WACC!Print_Area</vt:lpstr>
      <vt:lpstr>'WACC CAPM'!Print_Area</vt:lpstr>
      <vt:lpstr>'2019 FY Budget'!Print_Titles</vt:lpstr>
      <vt:lpstr>'Beta Calc'!Print_Titles</vt:lpstr>
      <vt:lpstr>'C1'!Print_Titles</vt:lpstr>
      <vt:lpstr>'C3'!Print_Titles</vt:lpstr>
      <vt:lpstr>'D1'!Print_Titles</vt:lpstr>
      <vt:lpstr>'E1'!Print_Titles</vt:lpstr>
      <vt:lpstr>'E2'!Print_Titles</vt:lpstr>
      <vt:lpstr>'E3'!Print_Titles</vt:lpstr>
      <vt:lpstr>'F1'!Print_Titles</vt:lpstr>
      <vt:lpstr>'F2'!Print_Titles</vt:lpstr>
      <vt:lpstr>'F3'!Print_Titles</vt:lpstr>
      <vt:lpstr>'Historical Actuals'!Print_Titles</vt:lpstr>
      <vt:lpstr>Outline!Print_Titles</vt:lpstr>
      <vt:lpstr>'Trends for Comparables_Forecast'!Print_Titles</vt:lpstr>
      <vt:lpstr>'Trends for Comparables_Historic'!Print_Titles</vt:lpstr>
      <vt:lpstr>'Trends for M&amp;A Targets'!Print_Titles</vt:lpstr>
      <vt:lpstr>'YTD 2018 Budget'!Print_Titles</vt:lpstr>
    </vt:vector>
  </TitlesOfParts>
  <Company>IU Health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Matthew Dickerson</dc:creator>
  <cp:lastModifiedBy>Priyadarshini Pant</cp:lastModifiedBy>
  <cp:lastPrinted>2019-05-10T11:39:11Z</cp:lastPrinted>
  <dcterms:created xsi:type="dcterms:W3CDTF">2015-07-02T20:26:19Z</dcterms:created>
  <dcterms:modified xsi:type="dcterms:W3CDTF">2019-05-10T11:40:27Z</dcterms:modified>
</cp:coreProperties>
</file>